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Schedule'!$A$1:$AA$5696</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5695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5.7%</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5695</v>
      </c>
      <c r="D8" s="10" t="inlineStr">
        <is>
          <t>0 estimated (build-out bays D4-D6 and utilities without drawn trench / bank)</t>
        </is>
      </c>
    </row>
    <row r="9">
      <c r="A9" s="10" t="inlineStr">
        <is>
          <t>Copper runs &gt; 3,000 ft</t>
        </is>
      </c>
      <c r="B9" s="14" t="inlineStr">
        <is>
          <t>INFO</t>
        </is>
      </c>
      <c r="C9" s="12" t="n">
        <v>114</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15</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6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6" t="n">
        <v>88</v>
      </c>
      <c r="U723" s="16" t="n">
        <v>10</v>
      </c>
      <c r="V723" s="16">
        <f>ROUNDUP((T723+U723+2*'Read Me'!$B$13)*(1+'Read Me'!$B$12),-1)</f>
        <v/>
      </c>
      <c r="W723" s="16">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6" t="n">
        <v>88</v>
      </c>
      <c r="U724" s="16" t="n">
        <v>84</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6" t="n">
        <v>88</v>
      </c>
      <c r="U725" s="16" t="n">
        <v>10</v>
      </c>
      <c r="V725" s="16">
        <f>ROUNDUP((T725+U725+2*'Read Me'!$B$13)*(1+'Read Me'!$B$12),-1)</f>
        <v/>
      </c>
      <c r="W725" s="16">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6" t="n">
        <v>88</v>
      </c>
      <c r="U726" s="16" t="n">
        <v>84</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6" t="n">
        <v>68</v>
      </c>
      <c r="U727" s="16" t="n">
        <v>10</v>
      </c>
      <c r="V727" s="16">
        <f>ROUNDUP((T727+U727+2*'Read Me'!$B$13)*(1+'Read Me'!$B$12),-1)</f>
        <v/>
      </c>
      <c r="W727" s="16">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R2A</t>
        </is>
      </c>
      <c r="F728" s="12" t="inlineStr">
        <is>
          <t>R2A: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6" t="n">
        <v>481</v>
      </c>
      <c r="U728" s="16" t="n">
        <v>84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6" t="n">
        <v>68</v>
      </c>
      <c r="U729" s="16" t="n">
        <v>10</v>
      </c>
      <c r="V729" s="16">
        <f>ROUNDUP((T729+U729+2*'Read Me'!$B$13)*(1+'Read Me'!$B$12),-1)</f>
        <v/>
      </c>
      <c r="W729" s="16">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R2A</t>
        </is>
      </c>
      <c r="F730" s="12" t="inlineStr">
        <is>
          <t>R2A: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6" t="n">
        <v>481</v>
      </c>
      <c r="U730" s="16" t="n">
        <v>84</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6" t="n">
        <v>68</v>
      </c>
      <c r="U731" s="16" t="n">
        <v>10</v>
      </c>
      <c r="V731" s="16">
        <f>ROUNDUP((T731+U731+2*'Read Me'!$B$13)*(1+'Read Me'!$B$12),-1)</f>
        <v/>
      </c>
      <c r="W731" s="16">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R2A</t>
        </is>
      </c>
      <c r="F732" s="12" t="inlineStr">
        <is>
          <t>R2A: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6" t="n">
        <v>481</v>
      </c>
      <c r="U732" s="16" t="n">
        <v>84</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6" t="n">
        <v>68</v>
      </c>
      <c r="U733" s="16" t="n">
        <v>10</v>
      </c>
      <c r="V733" s="16">
        <f>ROUNDUP((T733+U733+2*'Read Me'!$B$13)*(1+'Read Me'!$B$12),-1)</f>
        <v/>
      </c>
      <c r="W733" s="16">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R2A</t>
        </is>
      </c>
      <c r="F734" s="12" t="inlineStr">
        <is>
          <t>R2A: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6" t="n">
        <v>481</v>
      </c>
      <c r="U734" s="16" t="n">
        <v>84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6" t="n">
        <v>68</v>
      </c>
      <c r="U735" s="16" t="n">
        <v>10</v>
      </c>
      <c r="V735" s="16">
        <f>ROUNDUP((T735+U735+2*'Read Me'!$B$13)*(1+'Read Me'!$B$12),-1)</f>
        <v/>
      </c>
      <c r="W735" s="16">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R2A</t>
        </is>
      </c>
      <c r="F736" s="12" t="inlineStr">
        <is>
          <t>R2A: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6" t="n">
        <v>481</v>
      </c>
      <c r="U736" s="16" t="n">
        <v>84</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6" t="n">
        <v>68</v>
      </c>
      <c r="U737" s="16" t="n">
        <v>10</v>
      </c>
      <c r="V737" s="16">
        <f>ROUNDUP((T737+U737+2*'Read Me'!$B$13)*(1+'Read Me'!$B$12),-1)</f>
        <v/>
      </c>
      <c r="W737" s="16">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R2A</t>
        </is>
      </c>
      <c r="F738" s="12" t="inlineStr">
        <is>
          <t>R2A: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6" t="n">
        <v>481</v>
      </c>
      <c r="U738" s="16" t="n">
        <v>84</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6" t="n">
        <v>68</v>
      </c>
      <c r="U739" s="16" t="n">
        <v>10</v>
      </c>
      <c r="V739" s="16">
        <f>ROUNDUP((T739+U739+2*'Read Me'!$B$13)*(1+'Read Me'!$B$12),-1)</f>
        <v/>
      </c>
      <c r="W739" s="16">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R2B</t>
        </is>
      </c>
      <c r="F740" s="12" t="inlineStr">
        <is>
          <t>R2B: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6" t="n">
        <v>479</v>
      </c>
      <c r="U740" s="16" t="n">
        <v>84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6" t="n">
        <v>68</v>
      </c>
      <c r="U741" s="16" t="n">
        <v>10</v>
      </c>
      <c r="V741" s="16">
        <f>ROUNDUP((T741+U741+2*'Read Me'!$B$13)*(1+'Read Me'!$B$12),-1)</f>
        <v/>
      </c>
      <c r="W741" s="16">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R2B</t>
        </is>
      </c>
      <c r="F742" s="12" t="inlineStr">
        <is>
          <t>R2B: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6" t="n">
        <v>479</v>
      </c>
      <c r="U742" s="16" t="n">
        <v>84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6" t="n">
        <v>68</v>
      </c>
      <c r="U743" s="16" t="n">
        <v>10</v>
      </c>
      <c r="V743" s="16">
        <f>ROUNDUP((T743+U743+2*'Read Me'!$B$13)*(1+'Read Me'!$B$12),-1)</f>
        <v/>
      </c>
      <c r="W743" s="16">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R2B</t>
        </is>
      </c>
      <c r="F744" s="12" t="inlineStr">
        <is>
          <t>R2B: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6" t="n">
        <v>479</v>
      </c>
      <c r="U744" s="16" t="n">
        <v>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6" t="n">
        <v>68</v>
      </c>
      <c r="U745" s="16" t="n">
        <v>10</v>
      </c>
      <c r="V745" s="16">
        <f>ROUNDUP((T745+U745+2*'Read Me'!$B$13)*(1+'Read Me'!$B$12),-1)</f>
        <v/>
      </c>
      <c r="W745" s="16">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R2B</t>
        </is>
      </c>
      <c r="F746" s="12" t="inlineStr">
        <is>
          <t>R2B: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6" t="n">
        <v>479</v>
      </c>
      <c r="U746" s="16" t="n">
        <v>84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6" t="n">
        <v>68</v>
      </c>
      <c r="U747" s="16" t="n">
        <v>10</v>
      </c>
      <c r="V747" s="16">
        <f>ROUNDUP((T747+U747+2*'Read Me'!$B$13)*(1+'Read Me'!$B$12),-1)</f>
        <v/>
      </c>
      <c r="W747" s="16">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R2B</t>
        </is>
      </c>
      <c r="F748" s="12" t="inlineStr">
        <is>
          <t>R2B: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6" t="n">
        <v>479</v>
      </c>
      <c r="U748" s="16" t="n">
        <v>84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6" t="n">
        <v>68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R2B</t>
        </is>
      </c>
      <c r="F750" s="12" t="inlineStr">
        <is>
          <t>R2B: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6" t="n">
        <v>479</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6" t="n">
        <v>68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R2C</t>
        </is>
      </c>
      <c r="F752" s="12" t="inlineStr">
        <is>
          <t>R2C: unit / HRSG electrical e-house (32 x 40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6" t="n">
        <v>481</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R2C</t>
        </is>
      </c>
      <c r="F754" s="12" t="inlineStr">
        <is>
          <t>R2C: unit / HRSG electrical e-house (32 x 40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R2C</t>
        </is>
      </c>
      <c r="F756" s="12" t="inlineStr">
        <is>
          <t>R2C: unit / HRSG electrical e-house (32 x 40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R2C</t>
        </is>
      </c>
      <c r="F758" s="12" t="inlineStr">
        <is>
          <t>R2C: unit / HRSG electrical e-house (32 x 40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R2C</t>
        </is>
      </c>
      <c r="F760" s="12" t="inlineStr">
        <is>
          <t>R2C: unit / HRSG electrical e-house (32 x 40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R2C</t>
        </is>
      </c>
      <c r="F762" s="12" t="inlineStr">
        <is>
          <t>R2C: unit / HRSG electrical e-house (32 x 40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6" t="n">
        <v>45</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R2A</t>
        </is>
      </c>
      <c r="F764" s="12" t="inlineStr">
        <is>
          <t>R2A: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277</v>
      </c>
      <c r="U764" s="16" t="n">
        <v>97</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6" t="n">
        <v>45</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R2A</t>
        </is>
      </c>
      <c r="F766" s="12" t="inlineStr">
        <is>
          <t>R2A: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277</v>
      </c>
      <c r="U766" s="16" t="n">
        <v>97</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6" t="n">
        <v>45</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R2B</t>
        </is>
      </c>
      <c r="F768" s="12" t="inlineStr">
        <is>
          <t>R2B: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273</v>
      </c>
      <c r="U768" s="16" t="n">
        <v>93</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6" t="n">
        <v>45</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R2B</t>
        </is>
      </c>
      <c r="F770" s="12" t="inlineStr">
        <is>
          <t>R2B: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273</v>
      </c>
      <c r="U770" s="16" t="n">
        <v>93</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6" t="n">
        <v>45</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277</v>
      </c>
      <c r="U772" s="16" t="n">
        <v>97</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45</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277</v>
      </c>
      <c r="U774" s="16" t="n">
        <v>97</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6" t="n">
        <v>75</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6" t="n">
        <v>258</v>
      </c>
      <c r="U776" s="16" t="n">
        <v>35</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6" t="n">
        <v>75</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6" t="n">
        <v>258</v>
      </c>
      <c r="U778" s="16" t="n">
        <v>35</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53</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67</v>
      </c>
      <c r="U780" s="16" t="n">
        <v>89</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6" t="n">
        <v>53</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67</v>
      </c>
      <c r="U782" s="16" t="n">
        <v>89</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6" t="n">
        <v>403</v>
      </c>
      <c r="U783" s="16" t="n">
        <v>119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6" t="n">
        <v>1277</v>
      </c>
      <c r="U793" s="16" t="n">
        <v>209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Duct bank</t>
        </is>
      </c>
      <c r="T803" s="16" t="n">
        <v>1214</v>
      </c>
      <c r="U803" s="16" t="n">
        <v>102</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41</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R2A</t>
        </is>
      </c>
      <c r="F814" s="12" t="inlineStr">
        <is>
          <t>R2A: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366</v>
      </c>
      <c r="U814" s="16" t="n">
        <v>106</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6" t="n">
        <v>41</v>
      </c>
      <c r="U815" s="16" t="n">
        <v>10</v>
      </c>
      <c r="V815" s="16">
        <f>ROUNDUP((T815+U815+2*'Read Me'!$B$13)*(1+'Read Me'!$B$12),-1)</f>
        <v/>
      </c>
      <c r="W815" s="16">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R2A</t>
        </is>
      </c>
      <c r="F816" s="12" t="inlineStr">
        <is>
          <t>R2A: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6" t="n">
        <v>366</v>
      </c>
      <c r="U816" s="16" t="n">
        <v>106</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6" t="n">
        <v>41</v>
      </c>
      <c r="U817" s="16" t="n">
        <v>10</v>
      </c>
      <c r="V817" s="16">
        <f>ROUNDUP((T817+U817+2*'Read Me'!$B$13)*(1+'Read Me'!$B$12),-1)</f>
        <v/>
      </c>
      <c r="W817" s="16">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R2B</t>
        </is>
      </c>
      <c r="F818" s="12" t="inlineStr">
        <is>
          <t>R2B: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6" t="n">
        <v>1240</v>
      </c>
      <c r="U818" s="16" t="n">
        <v>196</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6" t="n">
        <v>41</v>
      </c>
      <c r="U819" s="16" t="n">
        <v>10</v>
      </c>
      <c r="V819" s="16">
        <f>ROUNDUP((T819+U819+2*'Read Me'!$B$13)*(1+'Read Me'!$B$12),-1)</f>
        <v/>
      </c>
      <c r="W819" s="16">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R2B</t>
        </is>
      </c>
      <c r="F820" s="12" t="inlineStr">
        <is>
          <t>R2B: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6" t="n">
        <v>1240</v>
      </c>
      <c r="U820" s="16" t="n">
        <v>196</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6" t="n">
        <v>41</v>
      </c>
      <c r="U821" s="16" t="n">
        <v>10</v>
      </c>
      <c r="V821" s="16">
        <f>ROUNDUP((T821+U821+2*'Read Me'!$B$13)*(1+'Read Me'!$B$12),-1)</f>
        <v/>
      </c>
      <c r="W821" s="16">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R2C</t>
        </is>
      </c>
      <c r="F822" s="12" t="inlineStr">
        <is>
          <t>R2C: unit / HRSG electrical e-house (32 x 40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Duct bank</t>
        </is>
      </c>
      <c r="T822" s="16" t="n">
        <v>1260</v>
      </c>
      <c r="U822" s="16" t="n">
        <v>148</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6" t="n">
        <v>41</v>
      </c>
      <c r="U823" s="16" t="n">
        <v>10</v>
      </c>
      <c r="V823" s="16">
        <f>ROUNDUP((T823+U823+2*'Read Me'!$B$13)*(1+'Read Me'!$B$12),-1)</f>
        <v/>
      </c>
      <c r="W823" s="16">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R2C</t>
        </is>
      </c>
      <c r="F824" s="12" t="inlineStr">
        <is>
          <t>R2C: unit / HRSG electrical e-house (32 x 40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Duct bank</t>
        </is>
      </c>
      <c r="T824" s="16" t="n">
        <v>1260</v>
      </c>
      <c r="U824" s="16" t="n">
        <v>148</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6" t="n">
        <v>41</v>
      </c>
      <c r="U825" s="16" t="n">
        <v>10</v>
      </c>
      <c r="V825" s="16">
        <f>ROUNDUP((T825+U825+2*'Read Me'!$B$13)*(1+'Read Me'!$B$12),-1)</f>
        <v/>
      </c>
      <c r="W825" s="16">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6" t="n">
        <v>392</v>
      </c>
      <c r="U826" s="16" t="n">
        <v>96</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6" t="n">
        <v>41</v>
      </c>
      <c r="U827" s="16" t="n">
        <v>10</v>
      </c>
      <c r="V827" s="16">
        <f>ROUNDUP((T827+U827+2*'Read Me'!$B$13)*(1+'Read Me'!$B$12),-1)</f>
        <v/>
      </c>
      <c r="W827" s="16">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6" t="n">
        <v>392</v>
      </c>
      <c r="U828" s="16" t="n">
        <v>96</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6" t="n">
        <v>140</v>
      </c>
      <c r="U829" s="16" t="n">
        <v>10</v>
      </c>
      <c r="V829" s="16">
        <f>ROUNDUP((T829+U829+2*'Read Me'!$B$13)*(1+'Read Me'!$B$12),-1)</f>
        <v/>
      </c>
      <c r="W829" s="16">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6" t="n">
        <v>373</v>
      </c>
      <c r="U830" s="16" t="n">
        <v>106</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6" t="n">
        <v>140</v>
      </c>
      <c r="U831" s="16" t="n">
        <v>10</v>
      </c>
      <c r="V831" s="16">
        <f>ROUNDUP((T831+U831+2*'Read Me'!$B$13)*(1+'Read Me'!$B$12),-1)</f>
        <v/>
      </c>
      <c r="W831" s="16">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6" t="n">
        <v>373</v>
      </c>
      <c r="U832" s="16" t="n">
        <v>106</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6" t="n">
        <v>140</v>
      </c>
      <c r="U833" s="16" t="n">
        <v>10</v>
      </c>
      <c r="V833" s="16">
        <f>ROUNDUP((T833+U833+2*'Read Me'!$B$13)*(1+'Read Me'!$B$12),-1)</f>
        <v/>
      </c>
      <c r="W833" s="16">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6" t="n">
        <v>373</v>
      </c>
      <c r="U834" s="16" t="n">
        <v>106</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6" t="n">
        <v>140</v>
      </c>
      <c r="U835" s="16" t="n">
        <v>10</v>
      </c>
      <c r="V835" s="16">
        <f>ROUNDUP((T835+U835+2*'Read Me'!$B$13)*(1+'Read Me'!$B$12),-1)</f>
        <v/>
      </c>
      <c r="W835" s="16">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6" t="n">
        <v>1247</v>
      </c>
      <c r="U836" s="16" t="n">
        <v>196</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6" t="n">
        <v>140</v>
      </c>
      <c r="U837" s="16" t="n">
        <v>10</v>
      </c>
      <c r="V837" s="16">
        <f>ROUNDUP((T837+U837+2*'Read Me'!$B$13)*(1+'Read Me'!$B$12),-1)</f>
        <v/>
      </c>
      <c r="W837" s="16">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6" t="n">
        <v>1247</v>
      </c>
      <c r="U838" s="16" t="n">
        <v>196</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140</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1247</v>
      </c>
      <c r="U840" s="16" t="n">
        <v>196</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6" t="n">
        <v>140</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R2C</t>
        </is>
      </c>
      <c r="F842" s="12" t="inlineStr">
        <is>
          <t>R2C: unit / HRSG electrical e-house (32 x 40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Duct bank</t>
        </is>
      </c>
      <c r="T842" s="16" t="n">
        <v>1193</v>
      </c>
      <c r="U842" s="16" t="n">
        <v>96</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6" t="n">
        <v>140</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R2C</t>
        </is>
      </c>
      <c r="F844" s="12" t="inlineStr">
        <is>
          <t>R2C: unit / HRSG electrical e-house (32 x 40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Duct bank</t>
        </is>
      </c>
      <c r="T844" s="16" t="n">
        <v>1193</v>
      </c>
      <c r="U844" s="16" t="n">
        <v>96</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140</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R2C</t>
        </is>
      </c>
      <c r="F846" s="12" t="inlineStr">
        <is>
          <t>R2C: unit / HRSG electrical e-house (32 x 40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Duct bank</t>
        </is>
      </c>
      <c r="T846" s="16" t="n">
        <v>1193</v>
      </c>
      <c r="U846" s="16" t="n">
        <v>96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6" t="n">
        <v>54</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R2A</t>
        </is>
      </c>
      <c r="F848" s="12" t="inlineStr">
        <is>
          <t>R2A: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210</v>
      </c>
      <c r="U848" s="16" t="n">
        <v>104</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54</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R2A</t>
        </is>
      </c>
      <c r="F850" s="12" t="inlineStr">
        <is>
          <t>R2A: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210</v>
      </c>
      <c r="U850" s="16" t="n">
        <v>104</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6" t="n">
        <v>54</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R2B</t>
        </is>
      </c>
      <c r="F852" s="12" t="inlineStr">
        <is>
          <t>R2B: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1102</v>
      </c>
      <c r="U852" s="16" t="n">
        <v>198</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54</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R2B</t>
        </is>
      </c>
      <c r="F854" s="12" t="inlineStr">
        <is>
          <t>R2B: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1102</v>
      </c>
      <c r="U854" s="16" t="n">
        <v>198</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6" t="n">
        <v>54</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R2C</t>
        </is>
      </c>
      <c r="F856" s="12" t="inlineStr">
        <is>
          <t>R2C: unit / HRSG electrical e-house (32 x 40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908</v>
      </c>
      <c r="U856" s="16" t="n">
        <v>238</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54</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R2C</t>
        </is>
      </c>
      <c r="F858" s="12" t="inlineStr">
        <is>
          <t>R2C: unit / HRSG electrical e-house (32 x 40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908</v>
      </c>
      <c r="U858" s="16" t="n">
        <v>238</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47</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373</v>
      </c>
      <c r="U860" s="16" t="n">
        <v>118</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6" t="n">
        <v>47</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1247</v>
      </c>
      <c r="U862" s="16" t="n">
        <v>208</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47</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R2C</t>
        </is>
      </c>
      <c r="F864" s="12" t="inlineStr">
        <is>
          <t>R2C: unit / HRSG electrical e-house (32 x 40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Duct bank</t>
        </is>
      </c>
      <c r="T864" s="16" t="n">
        <v>1193</v>
      </c>
      <c r="U864" s="16" t="n">
        <v>97</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6" t="n">
        <v>47</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Tray</t>
        </is>
      </c>
      <c r="T866" s="16" t="n">
        <v>366</v>
      </c>
      <c r="U866" s="16" t="n">
        <v>111</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6" t="n">
        <v>70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R2A</t>
        </is>
      </c>
      <c r="F868" s="12" t="inlineStr">
        <is>
          <t>R2A: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Tray</t>
        </is>
      </c>
      <c r="T868" s="16" t="n">
        <v>220</v>
      </c>
      <c r="U868" s="16" t="n">
        <v>94</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6" t="n">
        <v>70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R2A</t>
        </is>
      </c>
      <c r="F870" s="12" t="inlineStr">
        <is>
          <t>R2A: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Tray</t>
        </is>
      </c>
      <c r="T870" s="16" t="n">
        <v>220</v>
      </c>
      <c r="U870" s="16" t="n">
        <v>94</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6" t="n">
        <v>70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R2B</t>
        </is>
      </c>
      <c r="F872" s="12" t="inlineStr">
        <is>
          <t>R2B: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Tray</t>
        </is>
      </c>
      <c r="T872" s="16" t="n">
        <v>1124</v>
      </c>
      <c r="U872" s="16" t="n">
        <v>188</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6" t="n">
        <v>70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R2B</t>
        </is>
      </c>
      <c r="F874" s="12" t="inlineStr">
        <is>
          <t>R2B: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Tray</t>
        </is>
      </c>
      <c r="T874" s="16" t="n">
        <v>1124</v>
      </c>
      <c r="U874" s="16" t="n">
        <v>188</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6" t="n">
        <v>70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R2C</t>
        </is>
      </c>
      <c r="F876" s="12" t="inlineStr">
        <is>
          <t>R2C: unit / HRSG electrical e-house (32 x 40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6" t="n">
        <v>896</v>
      </c>
      <c r="U876" s="16" t="n">
        <v>212</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6" t="n">
        <v>70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R2C</t>
        </is>
      </c>
      <c r="F878" s="12" t="inlineStr">
        <is>
          <t>R2C: unit / HRSG electrical e-house (32 x 40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6" t="n">
        <v>896</v>
      </c>
      <c r="U878" s="16" t="n">
        <v>212</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6" t="n">
        <v>55</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72</v>
      </c>
      <c r="U880" s="16" t="n">
        <v>139</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6" t="n">
        <v>55</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72</v>
      </c>
      <c r="U882" s="16" t="n">
        <v>139</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6" t="n">
        <v>63</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416</v>
      </c>
      <c r="U884" s="16" t="n">
        <v>181</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6" t="n">
        <v>63</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416</v>
      </c>
      <c r="U886" s="16" t="n">
        <v>181</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6" t="n">
        <v>83</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419</v>
      </c>
      <c r="U888" s="16" t="n">
        <v>179</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6" t="n">
        <v>83</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419</v>
      </c>
      <c r="U890" s="16" t="n">
        <v>179</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6" t="n">
        <v>63</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1290</v>
      </c>
      <c r="U892" s="16" t="n">
        <v>271</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6" t="n">
        <v>63</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1290</v>
      </c>
      <c r="U894" s="16" t="n">
        <v>271</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6" t="n">
        <v>83</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Duct bank</t>
        </is>
      </c>
      <c r="T896" s="16" t="n">
        <v>1423</v>
      </c>
      <c r="U896" s="16" t="n">
        <v>113</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6" t="n">
        <v>83</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Duct bank</t>
        </is>
      </c>
      <c r="T898" s="16" t="n">
        <v>1423</v>
      </c>
      <c r="U898" s="16" t="n">
        <v>113</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6" t="n">
        <v>63</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R2C</t>
        </is>
      </c>
      <c r="F900" s="12" t="inlineStr">
        <is>
          <t>R2C: unit / HRSG electrical e-house (32 x 40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6" t="n">
        <v>1140</v>
      </c>
      <c r="U900" s="16" t="n">
        <v>110</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6" t="n">
        <v>63</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R2C</t>
        </is>
      </c>
      <c r="F902" s="12" t="inlineStr">
        <is>
          <t>R2C: unit / HRSG electrical e-house (32 x 40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6" t="n">
        <v>1140</v>
      </c>
      <c r="U902" s="16" t="n">
        <v>110</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6" t="n">
        <v>83</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R2C</t>
        </is>
      </c>
      <c r="F904" s="12" t="inlineStr">
        <is>
          <t>R2C: unit / HRSG electrical e-house (32 x 40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6" t="n">
        <v>1103</v>
      </c>
      <c r="U904" s="16" t="n">
        <v>113</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6" t="n">
        <v>83</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R2C</t>
        </is>
      </c>
      <c r="F906" s="12" t="inlineStr">
        <is>
          <t>R2C: unit / HRSG electrical e-house (32 x 40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6" t="n">
        <v>1103</v>
      </c>
      <c r="U906" s="16" t="n">
        <v>113</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6" t="n">
        <v>63</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6" t="n">
        <v>463</v>
      </c>
      <c r="U908" s="16" t="n">
        <v>35</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6" t="n">
        <v>463</v>
      </c>
      <c r="U910" s="16" t="n">
        <v>35</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6" t="n">
        <v>89</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6" t="n">
        <v>408</v>
      </c>
      <c r="U912" s="16" t="n">
        <v>32</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6" t="n">
        <v>89</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6" t="n">
        <v>408</v>
      </c>
      <c r="U914" s="16" t="n">
        <v>32</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6" t="n">
        <v>62</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R2A</t>
        </is>
      </c>
      <c r="F916" s="12" t="inlineStr">
        <is>
          <t>R2A: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Tray</t>
        </is>
      </c>
      <c r="T916" s="16" t="n">
        <v>224</v>
      </c>
      <c r="U916" s="16" t="n">
        <v>119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6" t="n">
        <v>62</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R2A</t>
        </is>
      </c>
      <c r="F918" s="12" t="inlineStr">
        <is>
          <t>R2A: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Tray</t>
        </is>
      </c>
      <c r="T918" s="16" t="n">
        <v>224</v>
      </c>
      <c r="U918" s="16" t="n">
        <v>119</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6" t="n">
        <v>62</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R2A</t>
        </is>
      </c>
      <c r="F920" s="12" t="inlineStr">
        <is>
          <t>R2A: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Tray</t>
        </is>
      </c>
      <c r="T920" s="16" t="n">
        <v>224</v>
      </c>
      <c r="U920" s="16" t="n">
        <v>119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6" t="n">
        <v>62</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R2A</t>
        </is>
      </c>
      <c r="F922" s="12" t="inlineStr">
        <is>
          <t>R2A: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Tray</t>
        </is>
      </c>
      <c r="T922" s="16" t="n">
        <v>224</v>
      </c>
      <c r="U922" s="16" t="n">
        <v>119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6" t="n">
        <v>132</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R2A</t>
        </is>
      </c>
      <c r="F924" s="12" t="inlineStr">
        <is>
          <t>R2A: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6" t="n">
        <v>359</v>
      </c>
      <c r="U924" s="16" t="n">
        <v>109</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6" t="n">
        <v>132</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R2A</t>
        </is>
      </c>
      <c r="F926" s="12" t="inlineStr">
        <is>
          <t>R2A: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6" t="n">
        <v>359</v>
      </c>
      <c r="U926" s="16" t="n">
        <v>109</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6" t="n">
        <v>96</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6" t="n">
        <v>154</v>
      </c>
      <c r="U928" s="16" t="n">
        <v>103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6" t="n">
        <v>96</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6" t="n">
        <v>154</v>
      </c>
      <c r="U930" s="16" t="n">
        <v>103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6" t="n">
        <v>96</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6" t="n">
        <v>154</v>
      </c>
      <c r="U932" s="16" t="n">
        <v>103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6" t="n">
        <v>96</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6" t="n">
        <v>154</v>
      </c>
      <c r="U934" s="16" t="n">
        <v>103</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6" t="n">
        <v>96</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6" t="n">
        <v>154</v>
      </c>
      <c r="U936" s="16" t="n">
        <v>103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6" t="n">
        <v>96</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6" t="n">
        <v>154</v>
      </c>
      <c r="U938" s="16" t="n">
        <v>103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6" t="n">
        <v>96</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6" t="n">
        <v>154</v>
      </c>
      <c r="U940" s="16" t="n">
        <v>103</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96</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154</v>
      </c>
      <c r="U942" s="16" t="n">
        <v>103</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96</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154</v>
      </c>
      <c r="U944" s="16" t="n">
        <v>103</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96</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154</v>
      </c>
      <c r="U946" s="16" t="n">
        <v>103</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6" t="n">
        <v>96</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6" t="n">
        <v>154</v>
      </c>
      <c r="U948" s="16" t="n">
        <v>103</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6" t="n">
        <v>96</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6" t="n">
        <v>154</v>
      </c>
      <c r="U950" s="16" t="n">
        <v>103</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6" t="n">
        <v>96</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154</v>
      </c>
      <c r="U952" s="16" t="n">
        <v>103</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R2B</t>
        </is>
      </c>
      <c r="F955" s="12" t="inlineStr">
        <is>
          <t>R2B: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1116</v>
      </c>
      <c r="U955" s="16" t="n">
        <v>213</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R2B</t>
        </is>
      </c>
      <c r="F957" s="12" t="inlineStr">
        <is>
          <t>R2B: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1116</v>
      </c>
      <c r="U957" s="16" t="n">
        <v>213</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6" t="n">
        <v>62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R2B</t>
        </is>
      </c>
      <c r="F959" s="12" t="inlineStr">
        <is>
          <t>R2B: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1116</v>
      </c>
      <c r="U959" s="16" t="n">
        <v>213</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6" t="n">
        <v>62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R2B</t>
        </is>
      </c>
      <c r="F961" s="12" t="inlineStr">
        <is>
          <t>R2B: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Tray</t>
        </is>
      </c>
      <c r="T961" s="16" t="n">
        <v>1116</v>
      </c>
      <c r="U961" s="16" t="n">
        <v>213</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6" t="n">
        <v>132</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R2B</t>
        </is>
      </c>
      <c r="F963" s="12" t="inlineStr">
        <is>
          <t>R2B: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1233</v>
      </c>
      <c r="U963" s="16" t="n">
        <v>199</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6" t="n">
        <v>132</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R2B</t>
        </is>
      </c>
      <c r="F965" s="12" t="inlineStr">
        <is>
          <t>R2B: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6" t="n">
        <v>1233</v>
      </c>
      <c r="U965" s="16" t="n">
        <v>199</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1046</v>
      </c>
      <c r="U967" s="16" t="n">
        <v>197</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1046</v>
      </c>
      <c r="U969" s="16" t="n">
        <v>197</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1046</v>
      </c>
      <c r="U971" s="16" t="n">
        <v>197</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1046</v>
      </c>
      <c r="U973" s="16" t="n">
        <v>197</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1046</v>
      </c>
      <c r="U975" s="16" t="n">
        <v>197</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1046</v>
      </c>
      <c r="U977" s="16" t="n">
        <v>197</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1046</v>
      </c>
      <c r="U979" s="16" t="n">
        <v>197</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1046</v>
      </c>
      <c r="U981" s="16" t="n">
        <v>197</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1046</v>
      </c>
      <c r="U983" s="16" t="n">
        <v>197</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1046</v>
      </c>
      <c r="U985" s="16" t="n">
        <v>197</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1046</v>
      </c>
      <c r="U987" s="16" t="n">
        <v>197</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Tray</t>
        </is>
      </c>
      <c r="T989" s="16" t="n">
        <v>1046</v>
      </c>
      <c r="U989" s="16" t="n">
        <v>197</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1046</v>
      </c>
      <c r="U991" s="16" t="n">
        <v>197</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R2C</t>
        </is>
      </c>
      <c r="F994" s="12" t="inlineStr">
        <is>
          <t>R2C: unit / HRSG electrical e-house (32 x 40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926</v>
      </c>
      <c r="U994" s="16" t="n">
        <v>248</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R2C</t>
        </is>
      </c>
      <c r="F996" s="12" t="inlineStr">
        <is>
          <t>R2C: unit / HRSG electrical e-house (32 x 40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926</v>
      </c>
      <c r="U996" s="16" t="n">
        <v>248</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6" t="n">
        <v>62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R2C</t>
        </is>
      </c>
      <c r="F998" s="12" t="inlineStr">
        <is>
          <t>R2C: unit / HRSG electrical e-house (32 x 40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926</v>
      </c>
      <c r="U998" s="16" t="n">
        <v>248</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6" t="n">
        <v>62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R2C</t>
        </is>
      </c>
      <c r="F1000" s="12" t="inlineStr">
        <is>
          <t>R2C: unit / HRSG electrical e-house (32 x 40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6" t="n">
        <v>926</v>
      </c>
      <c r="U1000" s="16" t="n">
        <v>248</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6" t="n">
        <v>132</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R2C</t>
        </is>
      </c>
      <c r="F1002" s="12" t="inlineStr">
        <is>
          <t>R2C: unit / HRSG electrical e-house (32 x 40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6" t="n">
        <v>1135</v>
      </c>
      <c r="U1002" s="16" t="n">
        <v>96</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6" t="n">
        <v>132</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R2C</t>
        </is>
      </c>
      <c r="F1004" s="12" t="inlineStr">
        <is>
          <t>R2C: unit / HRSG electrical e-house (32 x 40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6" t="n">
        <v>1135</v>
      </c>
      <c r="U1004" s="16" t="n">
        <v>96</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986</v>
      </c>
      <c r="U1006" s="16" t="n">
        <v>249</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986</v>
      </c>
      <c r="U1008" s="16" t="n">
        <v>249</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986</v>
      </c>
      <c r="U1010" s="16" t="n">
        <v>249</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986</v>
      </c>
      <c r="U1012" s="16" t="n">
        <v>249</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986</v>
      </c>
      <c r="U1014" s="16" t="n">
        <v>249</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986</v>
      </c>
      <c r="U1016" s="16" t="n">
        <v>249</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986</v>
      </c>
      <c r="U1018" s="16" t="n">
        <v>249</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986</v>
      </c>
      <c r="U1020" s="16" t="n">
        <v>249</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986</v>
      </c>
      <c r="U1022" s="16" t="n">
        <v>249</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986</v>
      </c>
      <c r="U1024" s="16" t="n">
        <v>249</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986</v>
      </c>
      <c r="U1026" s="16" t="n">
        <v>249</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Tray</t>
        </is>
      </c>
      <c r="T1028" s="16" t="n">
        <v>986</v>
      </c>
      <c r="U1028" s="16" t="n">
        <v>249</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Tray</t>
        </is>
      </c>
      <c r="T1030" s="16" t="n">
        <v>986</v>
      </c>
      <c r="U1030" s="16" t="n">
        <v>249</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6" t="n">
        <v>70</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6" t="n">
        <v>367</v>
      </c>
      <c r="U1033" s="16" t="n">
        <v>127</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6" t="n">
        <v>70</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6" t="n">
        <v>367</v>
      </c>
      <c r="U1035" s="16" t="n">
        <v>127</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6" t="n">
        <v>70</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6" t="n">
        <v>367</v>
      </c>
      <c r="U1037" s="16" t="n">
        <v>127</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6" t="n">
        <v>70</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6" t="n">
        <v>367</v>
      </c>
      <c r="U1039" s="16" t="n">
        <v>127</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6" t="n">
        <v>70</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6" t="n">
        <v>367</v>
      </c>
      <c r="U1041" s="16" t="n">
        <v>127</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6" t="n">
        <v>70</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6" t="n">
        <v>1241</v>
      </c>
      <c r="U1044" s="16" t="n">
        <v>217</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6" t="n">
        <v>70</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6" t="n">
        <v>1241</v>
      </c>
      <c r="U1046" s="16" t="n">
        <v>217</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6" t="n">
        <v>70</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6" t="n">
        <v>1241</v>
      </c>
      <c r="U1048" s="16" t="n">
        <v>217</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6" t="n">
        <v>70</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6" t="n">
        <v>1241</v>
      </c>
      <c r="U1050" s="16" t="n">
        <v>217</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6" t="n">
        <v>70</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6" t="n">
        <v>1241</v>
      </c>
      <c r="U1052" s="16" t="n">
        <v>217</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6" t="n">
        <v>70</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R2C</t>
        </is>
      </c>
      <c r="F1055" s="12" t="inlineStr">
        <is>
          <t>R2C: unit / HRSG electrical e-house (32 x 40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Duct bank</t>
        </is>
      </c>
      <c r="T1055" s="16" t="n">
        <v>1193</v>
      </c>
      <c r="U1055" s="16" t="n">
        <v>117</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6" t="n">
        <v>70</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R2C</t>
        </is>
      </c>
      <c r="F1057" s="12" t="inlineStr">
        <is>
          <t>R2C: unit / HRSG electrical e-house (32 x 40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Duct bank</t>
        </is>
      </c>
      <c r="T1057" s="16" t="n">
        <v>1193</v>
      </c>
      <c r="U1057" s="16" t="n">
        <v>117</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R2C</t>
        </is>
      </c>
      <c r="F1059" s="12" t="inlineStr">
        <is>
          <t>R2C: unit / HRSG electrical e-house (32 x 40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Duct bank</t>
        </is>
      </c>
      <c r="T1059" s="16" t="n">
        <v>1193</v>
      </c>
      <c r="U1059" s="16" t="n">
        <v>117</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R2C</t>
        </is>
      </c>
      <c r="F1061" s="12" t="inlineStr">
        <is>
          <t>R2C: unit / HRSG electrical e-house (32 x 40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Duct bank</t>
        </is>
      </c>
      <c r="T1061" s="16" t="n">
        <v>1193</v>
      </c>
      <c r="U1061" s="16" t="n">
        <v>117</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R2C</t>
        </is>
      </c>
      <c r="F1063" s="12" t="inlineStr">
        <is>
          <t>R2C: unit / HRSG electrical e-house (32 x 40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Duct bank</t>
        </is>
      </c>
      <c r="T1063" s="16" t="n">
        <v>1193</v>
      </c>
      <c r="U1063" s="16" t="n">
        <v>117</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R2C</t>
        </is>
      </c>
      <c r="F1064" s="12" t="inlineStr">
        <is>
          <t>R2C: unit / HRSG electrical e-house (32 x 40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6" t="n">
        <v>180</v>
      </c>
      <c r="U1065" s="16" t="n">
        <v>10</v>
      </c>
      <c r="V1065" s="16">
        <f>ROUNDUP((T1065+U1065+2*'Read Me'!$B$13)*(1+'Read Me'!$B$12),-1)</f>
        <v/>
      </c>
      <c r="W1065" s="16">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6" t="n">
        <v>0</v>
      </c>
      <c r="U1066" s="16" t="n">
        <v>87</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180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0</v>
      </c>
      <c r="U1068" s="16" t="n">
        <v>87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180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0</v>
      </c>
      <c r="U1070" s="16" t="n">
        <v>87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180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0</v>
      </c>
      <c r="U1072" s="16" t="n">
        <v>87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6" t="n">
        <v>180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6" t="n">
        <v>0</v>
      </c>
      <c r="U1074" s="16" t="n">
        <v>87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180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0</v>
      </c>
      <c r="U1076" s="16" t="n">
        <v>87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180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0</v>
      </c>
      <c r="U1078" s="16" t="n">
        <v>87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6" t="n">
        <v>180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6" t="n">
        <v>0</v>
      </c>
      <c r="U1080" s="16" t="n">
        <v>87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6" t="n">
        <v>180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6" t="n">
        <v>0</v>
      </c>
      <c r="U1082" s="16" t="n">
        <v>87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180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0</v>
      </c>
      <c r="U1084" s="16" t="n">
        <v>87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180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0</v>
      </c>
      <c r="U1086" s="16" t="n">
        <v>87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6" t="n">
        <v>180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6" t="n">
        <v>0</v>
      </c>
      <c r="U1088" s="16" t="n">
        <v>87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6" t="n">
        <v>180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6" t="n">
        <v>0</v>
      </c>
      <c r="U1090" s="16" t="n">
        <v>87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6" t="n">
        <v>43</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38</v>
      </c>
      <c r="U1098" s="16" t="n">
        <v>86</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6" t="n">
        <v>43</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38</v>
      </c>
      <c r="U1100" s="16" t="n">
        <v>86</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6" t="n">
        <v>42</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R2A</t>
        </is>
      </c>
      <c r="F1102" s="12" t="inlineStr">
        <is>
          <t>R2A: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404</v>
      </c>
      <c r="U1102" s="16" t="n">
        <v>108</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6" t="n">
        <v>42</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R2A</t>
        </is>
      </c>
      <c r="F1104" s="12" t="inlineStr">
        <is>
          <t>R2A: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404</v>
      </c>
      <c r="U1104" s="16" t="n">
        <v>108</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53</v>
      </c>
      <c r="U1106" s="16" t="n">
        <v>96</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53</v>
      </c>
      <c r="U1108" s="16" t="n">
        <v>96</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53</v>
      </c>
      <c r="U1110" s="16" t="n">
        <v>96</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53</v>
      </c>
      <c r="U1112" s="16" t="n">
        <v>96</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53</v>
      </c>
      <c r="U1114" s="16" t="n">
        <v>96</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53</v>
      </c>
      <c r="U1116" s="16" t="n">
        <v>96</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53</v>
      </c>
      <c r="U1118" s="16" t="n">
        <v>96</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53</v>
      </c>
      <c r="U1120" s="16" t="n">
        <v>96</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6" t="n">
        <v>53</v>
      </c>
      <c r="U1122" s="16" t="n">
        <v>96</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53</v>
      </c>
      <c r="U1124" s="16" t="n">
        <v>96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53</v>
      </c>
      <c r="U1126" s="16" t="n">
        <v>96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53</v>
      </c>
      <c r="U1128" s="16" t="n">
        <v>96</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6" t="n">
        <v>180</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6" t="n">
        <v>53</v>
      </c>
      <c r="U1130" s="16" t="n">
        <v>96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6" t="n">
        <v>43</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38</v>
      </c>
      <c r="U1138" s="16" t="n">
        <v>86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6" t="n">
        <v>43</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38</v>
      </c>
      <c r="U1140" s="16" t="n">
        <v>86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6" t="n">
        <v>42</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R2B</t>
        </is>
      </c>
      <c r="F1142" s="12" t="inlineStr">
        <is>
          <t>R2B: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404</v>
      </c>
      <c r="U1142" s="16" t="n">
        <v>108</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6" t="n">
        <v>42</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R2B</t>
        </is>
      </c>
      <c r="F1144" s="12" t="inlineStr">
        <is>
          <t>R2B: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404</v>
      </c>
      <c r="U1144" s="16" t="n">
        <v>108</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0</v>
      </c>
      <c r="U1146" s="16" t="n">
        <v>87</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0</v>
      </c>
      <c r="U1148" s="16" t="n">
        <v>87</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0</v>
      </c>
      <c r="U1150" s="16" t="n">
        <v>87</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0</v>
      </c>
      <c r="U1152" s="16" t="n">
        <v>87</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0</v>
      </c>
      <c r="U1154" s="16" t="n">
        <v>87</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0</v>
      </c>
      <c r="U1156" s="16" t="n">
        <v>87</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0</v>
      </c>
      <c r="U1158" s="16" t="n">
        <v>87</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0</v>
      </c>
      <c r="U1160" s="16" t="n">
        <v>87</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0</v>
      </c>
      <c r="U1162" s="16" t="n">
        <v>87</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0</v>
      </c>
      <c r="U1164" s="16" t="n">
        <v>87</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0</v>
      </c>
      <c r="U1166" s="16" t="n">
        <v>87</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0</v>
      </c>
      <c r="U1168" s="16" t="n">
        <v>87</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0</v>
      </c>
      <c r="U1170" s="16" t="n">
        <v>87</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6" t="n">
        <v>43</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38</v>
      </c>
      <c r="U1180" s="16" t="n">
        <v>86</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R2C</t>
        </is>
      </c>
      <c r="F1182" s="12" t="inlineStr">
        <is>
          <t>R2C: unit / HRSG electrical e-house (32 x 40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6" t="n">
        <v>42</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R2C</t>
        </is>
      </c>
      <c r="F1184" s="12" t="inlineStr">
        <is>
          <t>R2C: unit / HRSG electrical e-house (32 x 40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404</v>
      </c>
      <c r="U1184" s="16" t="n">
        <v>108</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6" t="n">
        <v>41</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718</v>
      </c>
      <c r="U1186" s="16" t="n">
        <v>124</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6" t="n">
        <v>41</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718</v>
      </c>
      <c r="U1188" s="16" t="n">
        <v>124</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6" t="n">
        <v>41</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718</v>
      </c>
      <c r="U1190" s="16" t="n">
        <v>146</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6" t="n">
        <v>41</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718</v>
      </c>
      <c r="U1192" s="16" t="n">
        <v>146</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6" t="n">
        <v>43</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R2A</t>
        </is>
      </c>
      <c r="F1194" s="12" t="inlineStr">
        <is>
          <t>R2A: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359</v>
      </c>
      <c r="U1194" s="16" t="n">
        <v>120</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43</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R2A</t>
        </is>
      </c>
      <c r="F1196" s="12" t="inlineStr">
        <is>
          <t>R2A: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359</v>
      </c>
      <c r="U1196" s="16" t="n">
        <v>120</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6" t="n">
        <v>43</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R2B</t>
        </is>
      </c>
      <c r="F1198" s="12" t="inlineStr">
        <is>
          <t>R2B: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1233</v>
      </c>
      <c r="U1198" s="16" t="n">
        <v>210</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43</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R2B</t>
        </is>
      </c>
      <c r="F1200" s="12" t="inlineStr">
        <is>
          <t>R2B: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1233</v>
      </c>
      <c r="U1200" s="16" t="n">
        <v>210</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6" t="n">
        <v>43</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R2C</t>
        </is>
      </c>
      <c r="F1202" s="12" t="inlineStr">
        <is>
          <t>R2C: unit / HRSG electrical e-house (32 x 40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Duct bank</t>
        </is>
      </c>
      <c r="T1202" s="16" t="n">
        <v>1229</v>
      </c>
      <c r="U1202" s="16" t="n">
        <v>198</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R2C</t>
        </is>
      </c>
      <c r="F1204" s="12" t="inlineStr">
        <is>
          <t>R2C: unit / HRSG electrical e-house (32 x 40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Duct bank</t>
        </is>
      </c>
      <c r="T1204" s="16" t="n">
        <v>1229</v>
      </c>
      <c r="U1204" s="16" t="n">
        <v>198</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392</v>
      </c>
      <c r="U1206" s="16" t="n">
        <v>105</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43</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392</v>
      </c>
      <c r="U1208" s="16" t="n">
        <v>105</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6" t="n">
        <v>0</v>
      </c>
      <c r="U1209" s="16" t="n">
        <v>73</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109</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667</v>
      </c>
      <c r="U1211" s="16" t="n">
        <v>144</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6" t="n">
        <v>51</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R2A</t>
        </is>
      </c>
      <c r="F1213" s="12" t="inlineStr">
        <is>
          <t>R2A: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404</v>
      </c>
      <c r="U1213" s="16" t="n">
        <v>72</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6" t="n">
        <v>51</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R2A</t>
        </is>
      </c>
      <c r="F1215" s="12" t="inlineStr">
        <is>
          <t>R2A: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404</v>
      </c>
      <c r="U1215" s="16" t="n">
        <v>72</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6" t="n">
        <v>51</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R2B</t>
        </is>
      </c>
      <c r="F1217" s="12" t="inlineStr">
        <is>
          <t>R2B: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404</v>
      </c>
      <c r="U1217" s="16" t="n">
        <v>72</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6" t="n">
        <v>51</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R2B</t>
        </is>
      </c>
      <c r="F1219" s="12" t="inlineStr">
        <is>
          <t>R2B: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404</v>
      </c>
      <c r="U1219" s="16" t="n">
        <v>72</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6" t="n">
        <v>51</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R2C</t>
        </is>
      </c>
      <c r="F1221" s="12" t="inlineStr">
        <is>
          <t>R2C: unit / HRSG electrical e-house (32 x 40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404</v>
      </c>
      <c r="U1221" s="16" t="n">
        <v>72</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6" t="n">
        <v>51</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R2C</t>
        </is>
      </c>
      <c r="F1223" s="12" t="inlineStr">
        <is>
          <t>R2C: unit / HRSG electrical e-house (32 x 40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404</v>
      </c>
      <c r="U1223" s="16" t="n">
        <v>72</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6" t="n">
        <v>54</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R2A</t>
        </is>
      </c>
      <c r="F1225" s="12" t="inlineStr">
        <is>
          <t>R2A: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359</v>
      </c>
      <c r="U1225" s="16" t="n">
        <v>147</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54</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R2A</t>
        </is>
      </c>
      <c r="F1227" s="12" t="inlineStr">
        <is>
          <t>R2A: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359</v>
      </c>
      <c r="U1227" s="16" t="n">
        <v>147</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6" t="n">
        <v>54</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R2B</t>
        </is>
      </c>
      <c r="F1229" s="12" t="inlineStr">
        <is>
          <t>R2B: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1233</v>
      </c>
      <c r="U1229" s="16" t="n">
        <v>237</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54</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R2B</t>
        </is>
      </c>
      <c r="F1231" s="12" t="inlineStr">
        <is>
          <t>R2B: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1233</v>
      </c>
      <c r="U1231" s="16" t="n">
        <v>237</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6" t="n">
        <v>54</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R2C</t>
        </is>
      </c>
      <c r="F1233" s="12" t="inlineStr">
        <is>
          <t>R2C: unit / HRSG electrical e-house (32 x 40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Tray</t>
        </is>
      </c>
      <c r="T1233" s="16" t="n">
        <v>987</v>
      </c>
      <c r="U1233" s="16" t="n">
        <v>184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6" t="n">
        <v>54</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R2C</t>
        </is>
      </c>
      <c r="F1235" s="12" t="inlineStr">
        <is>
          <t>R2C: unit / HRSG electrical e-house (32 x 40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Tray</t>
        </is>
      </c>
      <c r="T1235" s="16" t="n">
        <v>987</v>
      </c>
      <c r="U1235" s="16" t="n">
        <v>184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6" t="n">
        <v>52</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403</v>
      </c>
      <c r="U1237" s="16" t="n">
        <v>138</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6" t="n">
        <v>52</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6" t="n">
        <v>403</v>
      </c>
      <c r="U1239" s="16" t="n">
        <v>138</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6" t="n">
        <v>52</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6" t="n">
        <v>1277</v>
      </c>
      <c r="U1241" s="16" t="n">
        <v>228</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6" t="n">
        <v>52</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6" t="n">
        <v>1277</v>
      </c>
      <c r="U1243" s="16" t="n">
        <v>228</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6" t="n">
        <v>52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Duct bank</t>
        </is>
      </c>
      <c r="T1245" s="16" t="n">
        <v>1214</v>
      </c>
      <c r="U1245" s="16" t="n">
        <v>126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6" t="n">
        <v>52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Duct bank</t>
        </is>
      </c>
      <c r="T1247" s="16" t="n">
        <v>1214</v>
      </c>
      <c r="U1247" s="16" t="n">
        <v>126</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6" t="n">
        <v>40</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395</v>
      </c>
      <c r="U1249" s="16" t="n">
        <v>124</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6" t="n">
        <v>40</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395</v>
      </c>
      <c r="U1251" s="16" t="n">
        <v>124</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6" t="n">
        <v>40</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1269</v>
      </c>
      <c r="U1253" s="16" t="n">
        <v>214</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6" t="n">
        <v>40</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1269</v>
      </c>
      <c r="U1255" s="16" t="n">
        <v>214</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6" t="n">
        <v>40</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R2C</t>
        </is>
      </c>
      <c r="F1257" s="12" t="inlineStr">
        <is>
          <t>R2C: unit / HRSG electrical e-house (32 x 40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1193</v>
      </c>
      <c r="U1257" s="16" t="n">
        <v>114</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6" t="n">
        <v>40</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R2C</t>
        </is>
      </c>
      <c r="F1259" s="12" t="inlineStr">
        <is>
          <t>R2C: unit / HRSG electrical e-house (32 x 40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Duct bank</t>
        </is>
      </c>
      <c r="T1259" s="16" t="n">
        <v>1193</v>
      </c>
      <c r="U1259" s="16" t="n">
        <v>114</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62</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67</v>
      </c>
      <c r="U1261" s="16" t="n">
        <v>84</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62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67</v>
      </c>
      <c r="U1263" s="16" t="n">
        <v>84</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62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67</v>
      </c>
      <c r="U1265" s="16" t="n">
        <v>84</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62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67</v>
      </c>
      <c r="U1267" s="16" t="n">
        <v>84</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119</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Duct bank</t>
        </is>
      </c>
      <c r="T1269" s="16" t="n">
        <v>12</v>
      </c>
      <c r="U1269" s="16" t="n">
        <v>50</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6" t="n">
        <v>119</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6" t="n">
        <v>12</v>
      </c>
      <c r="U1271" s="16" t="n">
        <v>50</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119</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6" t="n">
        <v>12</v>
      </c>
      <c r="U1273" s="16" t="n">
        <v>50</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6" t="n">
        <v>119</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Duct bank</t>
        </is>
      </c>
      <c r="T1275" s="16" t="n">
        <v>12</v>
      </c>
      <c r="U1275" s="16" t="n">
        <v>50</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119</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Duct bank</t>
        </is>
      </c>
      <c r="T1277" s="16" t="n">
        <v>12</v>
      </c>
      <c r="U1277" s="16" t="n">
        <v>50</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6" t="n">
        <v>119</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Duct bank</t>
        </is>
      </c>
      <c r="T1279" s="16" t="n">
        <v>12</v>
      </c>
      <c r="U1279" s="16" t="n">
        <v>50</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119</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Duct bank</t>
        </is>
      </c>
      <c r="T1281" s="16" t="n">
        <v>12</v>
      </c>
      <c r="U1281" s="16" t="n">
        <v>50</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119</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Duct bank</t>
        </is>
      </c>
      <c r="T1283" s="16" t="n">
        <v>12</v>
      </c>
      <c r="U1283" s="16" t="n">
        <v>50</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119</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Duct bank</t>
        </is>
      </c>
      <c r="T1285" s="16" t="n">
        <v>12</v>
      </c>
      <c r="U1285" s="16" t="n">
        <v>50</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119</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Duct bank</t>
        </is>
      </c>
      <c r="T1287" s="16" t="n">
        <v>12</v>
      </c>
      <c r="U1287" s="16" t="n">
        <v>50</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6" t="n">
        <v>119</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Duct bank</t>
        </is>
      </c>
      <c r="T1289" s="16" t="n">
        <v>12</v>
      </c>
      <c r="U1289" s="16" t="n">
        <v>50</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119</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Duct bank</t>
        </is>
      </c>
      <c r="T1291" s="16" t="n">
        <v>12</v>
      </c>
      <c r="U1291" s="16" t="n">
        <v>50</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6" t="n">
        <v>119</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Duct bank</t>
        </is>
      </c>
      <c r="T1293" s="16" t="n">
        <v>12</v>
      </c>
      <c r="U1293" s="16" t="n">
        <v>50</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Duct bank</t>
        </is>
      </c>
      <c r="T1295" s="16" t="n">
        <v>12</v>
      </c>
      <c r="U1295" s="16" t="n">
        <v>50</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Duct bank</t>
        </is>
      </c>
      <c r="T1297" s="16" t="n">
        <v>12</v>
      </c>
      <c r="U1297" s="16" t="n">
        <v>50</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74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Duct bank</t>
        </is>
      </c>
      <c r="T1300" s="16" t="n">
        <v>517</v>
      </c>
      <c r="U1300" s="16" t="n">
        <v>35</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6" t="n">
        <v>74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Duct bank</t>
        </is>
      </c>
      <c r="T1302" s="16" t="n">
        <v>517</v>
      </c>
      <c r="U1302" s="16" t="n">
        <v>35</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6" t="n">
        <v>74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Duct bank</t>
        </is>
      </c>
      <c r="T1304" s="16" t="n">
        <v>517</v>
      </c>
      <c r="U1304" s="16" t="n">
        <v>35</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6" t="n">
        <v>74</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Duct bank</t>
        </is>
      </c>
      <c r="T1306" s="16" t="n">
        <v>517</v>
      </c>
      <c r="U1306" s="16" t="n">
        <v>35</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6" t="n">
        <v>74</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Duct bank</t>
        </is>
      </c>
      <c r="T1308" s="16" t="n">
        <v>517</v>
      </c>
      <c r="U1308" s="16" t="n">
        <v>35</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75</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258</v>
      </c>
      <c r="U1311" s="16" t="n">
        <v>32</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6" t="n">
        <v>75</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258</v>
      </c>
      <c r="U1313" s="16" t="n">
        <v>32</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6" t="n">
        <v>75</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258</v>
      </c>
      <c r="U1315" s="16" t="n">
        <v>32</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6" t="n">
        <v>41</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0</v>
      </c>
      <c r="U1317" s="16" t="n">
        <v>86</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6" t="n">
        <v>41</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6" t="n">
        <v>0</v>
      </c>
      <c r="U1319" s="16" t="n">
        <v>86</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6" t="n">
        <v>41</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6" t="n">
        <v>0</v>
      </c>
      <c r="U1321" s="16" t="n">
        <v>97</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6" t="n">
        <v>41</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6" t="n">
        <v>0</v>
      </c>
      <c r="U1323" s="16" t="n">
        <v>97</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6" t="n">
        <v>41</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6" t="n">
        <v>0</v>
      </c>
      <c r="U1325" s="16" t="n">
        <v>97</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6" t="n">
        <v>41</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6" t="n">
        <v>0</v>
      </c>
      <c r="U1327" s="16" t="n">
        <v>97</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6" t="n">
        <v>41</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Duct bank</t>
        </is>
      </c>
      <c r="T1329" s="16" t="n">
        <v>0</v>
      </c>
      <c r="U1329" s="16" t="n">
        <v>71</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6" t="n">
        <v>41</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Duct bank</t>
        </is>
      </c>
      <c r="T1331" s="16" t="n">
        <v>0</v>
      </c>
      <c r="U1331" s="16" t="n">
        <v>71</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6" t="n">
        <v>49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6" t="n">
        <v>730</v>
      </c>
      <c r="U1333" s="16" t="n">
        <v>124</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6" t="n">
        <v>49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6" t="n">
        <v>730</v>
      </c>
      <c r="U1335" s="16" t="n">
        <v>124</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6" t="n">
        <v>49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6" t="n">
        <v>752</v>
      </c>
      <c r="U1337" s="16" t="n">
        <v>124</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6" t="n">
        <v>49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6" t="n">
        <v>752</v>
      </c>
      <c r="U1339" s="16" t="n">
        <v>124</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6" t="n">
        <v>178</v>
      </c>
      <c r="U1340" s="16" t="n">
        <v>94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1069</v>
      </c>
      <c r="U1341" s="16" t="n">
        <v>184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1024</v>
      </c>
      <c r="U1342" s="16" t="n">
        <v>240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408</v>
      </c>
      <c r="U1343" s="16" t="n">
        <v>183</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6" t="n">
        <v>51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R2A</t>
        </is>
      </c>
      <c r="F1345" s="12" t="inlineStr">
        <is>
          <t>R2A: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566</v>
      </c>
      <c r="U1345" s="16" t="n">
        <v>158</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6" t="n">
        <v>51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R2A</t>
        </is>
      </c>
      <c r="F1347" s="12" t="inlineStr">
        <is>
          <t>R2A: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566</v>
      </c>
      <c r="U1347" s="16" t="n">
        <v>158</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6" t="n">
        <v>51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R2B</t>
        </is>
      </c>
      <c r="F1349" s="12" t="inlineStr">
        <is>
          <t>R2B: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Duct bank</t>
        </is>
      </c>
      <c r="T1349" s="16" t="n">
        <v>1423</v>
      </c>
      <c r="U1349" s="16" t="n">
        <v>96</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6" t="n">
        <v>51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R2B</t>
        </is>
      </c>
      <c r="F1351" s="12" t="inlineStr">
        <is>
          <t>R2B: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Duct bank</t>
        </is>
      </c>
      <c r="T1351" s="16" t="n">
        <v>1423</v>
      </c>
      <c r="U1351" s="16" t="n">
        <v>96</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6" t="n">
        <v>51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R2C</t>
        </is>
      </c>
      <c r="F1353" s="12" t="inlineStr">
        <is>
          <t>R2C: unit / HRSG electrical e-house (32 x 40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1103</v>
      </c>
      <c r="U1353" s="16" t="n">
        <v>96</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6" t="n">
        <v>51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R2C</t>
        </is>
      </c>
      <c r="F1355" s="12" t="inlineStr">
        <is>
          <t>R2C: unit / HRSG electrical e-house (32 x 40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1103</v>
      </c>
      <c r="U1355" s="16" t="n">
        <v>96</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6" t="n">
        <v>52</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6" t="n">
        <v>183</v>
      </c>
      <c r="U1357" s="16" t="n">
        <v>94</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6" t="n">
        <v>52</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6" t="n">
        <v>183</v>
      </c>
      <c r="U1359" s="16" t="n">
        <v>94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6" t="n">
        <v>52</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Tray</t>
        </is>
      </c>
      <c r="T1361" s="16" t="n">
        <v>1075</v>
      </c>
      <c r="U1361" s="16" t="n">
        <v>188</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6" t="n">
        <v>52</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Tray</t>
        </is>
      </c>
      <c r="T1363" s="16" t="n">
        <v>1075</v>
      </c>
      <c r="U1363" s="16" t="n">
        <v>188</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6" t="n">
        <v>52</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Tray</t>
        </is>
      </c>
      <c r="T1365" s="16" t="n">
        <v>1024</v>
      </c>
      <c r="U1365" s="16" t="n">
        <v>267</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6" t="n">
        <v>52</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Tray</t>
        </is>
      </c>
      <c r="T1367" s="16" t="n">
        <v>1024</v>
      </c>
      <c r="U1367" s="16" t="n">
        <v>267</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6" t="n">
        <v>88</v>
      </c>
      <c r="U1368" s="16" t="n">
        <v>84</v>
      </c>
      <c r="V1368" s="16">
        <f>ROUNDUP((T1368+U1368+2*'Read Me'!$B$13)*(1+'Read Me'!$B$12),-1)</f>
        <v/>
      </c>
      <c r="W1368" s="16">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R2A</t>
        </is>
      </c>
      <c r="F1371" s="12" t="inlineStr">
        <is>
          <t>R2A: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LV|3/C+G|6</t>
        </is>
      </c>
      <c r="L1371" s="12" t="inlineStr">
        <is>
          <t>3/C+G</t>
        </is>
      </c>
      <c r="M1371" s="12" t="inlineStr">
        <is>
          <t>6</t>
        </is>
      </c>
      <c r="N1371" s="12" t="n">
        <v>1</v>
      </c>
      <c r="O1371" s="12" t="n">
        <v>1</v>
      </c>
      <c r="P1371" s="12" t="n">
        <v>480</v>
      </c>
      <c r="Q1371" s="12" t="n">
        <v>15</v>
      </c>
      <c r="R1371" s="12" t="n">
        <v>21.2</v>
      </c>
      <c r="S1371" s="12" t="inlineStr">
        <is>
          <t>Tray</t>
        </is>
      </c>
      <c r="T1371" s="16" t="n">
        <v>481</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2.3 %</t>
        </is>
      </c>
      <c r="AA1371" s="12">
        <f>N1371*O1371</f>
        <v/>
      </c>
    </row>
    <row r="1372">
      <c r="A1372" s="12" t="inlineStr">
        <is>
          <t>A-P-0005</t>
        </is>
      </c>
      <c r="B1372" s="12" t="inlineStr">
        <is>
          <t>A</t>
        </is>
      </c>
      <c r="C1372" s="12" t="inlineStr">
        <is>
          <t>Power block</t>
        </is>
      </c>
      <c r="D1372" s="12" t="inlineStr">
        <is>
          <t>Motor 2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A-P-0006</t>
        </is>
      </c>
      <c r="B1373" s="12" t="inlineStr">
        <is>
          <t>A</t>
        </is>
      </c>
      <c r="C1373" s="12" t="inlineStr">
        <is>
          <t>Power block</t>
        </is>
      </c>
      <c r="D1373" s="12" t="inlineStr">
        <is>
          <t>Motor 3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A-P-0007</t>
        </is>
      </c>
      <c r="B1374" s="12" t="inlineStr">
        <is>
          <t>A</t>
        </is>
      </c>
      <c r="C1374" s="12" t="inlineStr">
        <is>
          <t>Power block</t>
        </is>
      </c>
      <c r="D1374" s="12" t="inlineStr">
        <is>
          <t>Motor 4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A-P-0008</t>
        </is>
      </c>
      <c r="B1375" s="12" t="inlineStr">
        <is>
          <t>A</t>
        </is>
      </c>
      <c r="C1375" s="12" t="inlineStr">
        <is>
          <t>Power block</t>
        </is>
      </c>
      <c r="D1375" s="12" t="inlineStr">
        <is>
          <t>Motor 1 of 4, 15 kW</t>
        </is>
      </c>
      <c r="E1375" s="12" t="inlineStr">
        <is>
          <t>R2B</t>
        </is>
      </c>
      <c r="F1375" s="12" t="inlineStr">
        <is>
          <t>R2B: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479</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A-P-0009</t>
        </is>
      </c>
      <c r="B1376" s="12" t="inlineStr">
        <is>
          <t>A</t>
        </is>
      </c>
      <c r="C1376" s="12" t="inlineStr">
        <is>
          <t>Power block</t>
        </is>
      </c>
      <c r="D1376" s="12" t="inlineStr">
        <is>
          <t>Motor 2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A-P-0010</t>
        </is>
      </c>
      <c r="B1377" s="12" t="inlineStr">
        <is>
          <t>A</t>
        </is>
      </c>
      <c r="C1377" s="12" t="inlineStr">
        <is>
          <t>Power block</t>
        </is>
      </c>
      <c r="D1377" s="12" t="inlineStr">
        <is>
          <t>Motor 3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A-P-0011</t>
        </is>
      </c>
      <c r="B1378" s="12" t="inlineStr">
        <is>
          <t>A</t>
        </is>
      </c>
      <c r="C1378" s="12" t="inlineStr">
        <is>
          <t>Power block</t>
        </is>
      </c>
      <c r="D1378" s="12" t="inlineStr">
        <is>
          <t>Motor 4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A-P-0012</t>
        </is>
      </c>
      <c r="B1379" s="12" t="inlineStr">
        <is>
          <t>A</t>
        </is>
      </c>
      <c r="C1379" s="12" t="inlineStr">
        <is>
          <t>Power block</t>
        </is>
      </c>
      <c r="D1379" s="12" t="inlineStr">
        <is>
          <t>Motor 1 of 4, 15 kW</t>
        </is>
      </c>
      <c r="E1379" s="12" t="inlineStr">
        <is>
          <t>R2C</t>
        </is>
      </c>
      <c r="F1379" s="12" t="inlineStr">
        <is>
          <t>R2C: unit / HRSG electrical e-house (32 x 40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481</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A-P-0013</t>
        </is>
      </c>
      <c r="B1380" s="12" t="inlineStr">
        <is>
          <t>A</t>
        </is>
      </c>
      <c r="C1380" s="12" t="inlineStr">
        <is>
          <t>Power block</t>
        </is>
      </c>
      <c r="D1380" s="12" t="inlineStr">
        <is>
          <t>Motor 2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A-P-0014</t>
        </is>
      </c>
      <c r="B1381" s="12" t="inlineStr">
        <is>
          <t>A</t>
        </is>
      </c>
      <c r="C1381" s="12" t="inlineStr">
        <is>
          <t>Power block</t>
        </is>
      </c>
      <c r="D1381" s="12" t="inlineStr">
        <is>
          <t>Motor 3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A-P-0015</t>
        </is>
      </c>
      <c r="B1382" s="12" t="inlineStr">
        <is>
          <t>A</t>
        </is>
      </c>
      <c r="C1382" s="12" t="inlineStr">
        <is>
          <t>Power block</t>
        </is>
      </c>
      <c r="D1382" s="12" t="inlineStr">
        <is>
          <t>Motor 4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6" t="n">
        <v>361</v>
      </c>
      <c r="U1383" s="16" t="n">
        <v>160</v>
      </c>
      <c r="V1383" s="16">
        <f>ROUNDUP((T1383+U1383+2*'Read Me'!$B$13)*(1+'Read Me'!$B$12),-1)</f>
        <v/>
      </c>
      <c r="W1383" s="16">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R2A</t>
        </is>
      </c>
      <c r="F1384" s="12" t="inlineStr">
        <is>
          <t>R2A: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6" t="n">
        <v>277</v>
      </c>
      <c r="U1384" s="16" t="n">
        <v>97</v>
      </c>
      <c r="V1384" s="16">
        <f>ROUNDUP((T1384+U1384+2*'Read Me'!$B$13)*(1+'Read Me'!$B$12),-1)</f>
        <v/>
      </c>
      <c r="W1384" s="16">
        <f>V1384*N1384*O1384</f>
        <v/>
      </c>
      <c r="X1384" s="12">
        <f>IF(LEFT(I1384,2)="MV",2*N1384*IF(L1384="1/C",O1384,1),0)</f>
        <v/>
      </c>
      <c r="Y1384" s="12">
        <f>IF(OR(LEFT(K1384,4)="LVAX",LEFT(K1384,6)="MV15AX",LEFT(K1384,4)="CTAX",LEFT(K1384,2)="W|"),2*N1384*O1384,0)</f>
        <v/>
      </c>
      <c r="Z1384" s="12" t="inlineStr">
        <is>
          <t>VD 1.3 %</t>
        </is>
      </c>
      <c r="AA1384" s="12">
        <f>N1384*O1384</f>
        <v/>
      </c>
    </row>
    <row r="1385">
      <c r="A1385" s="12" t="inlineStr">
        <is>
          <t>A-P-0018</t>
        </is>
      </c>
      <c r="B1385" s="12" t="inlineStr">
        <is>
          <t>A</t>
        </is>
      </c>
      <c r="C1385" s="12" t="inlineStr">
        <is>
          <t>Power block</t>
        </is>
      </c>
      <c r="D1385" s="12" t="inlineStr">
        <is>
          <t>Motor 2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A-P-0019</t>
        </is>
      </c>
      <c r="B1386" s="12" t="inlineStr">
        <is>
          <t>A</t>
        </is>
      </c>
      <c r="C1386" s="12" t="inlineStr">
        <is>
          <t>Power block</t>
        </is>
      </c>
      <c r="D1386" s="12" t="inlineStr">
        <is>
          <t>Motor 1 of 2, 5 kW</t>
        </is>
      </c>
      <c r="E1386" s="12" t="inlineStr">
        <is>
          <t>R2B</t>
        </is>
      </c>
      <c r="F1386" s="12" t="inlineStr">
        <is>
          <t>R2B: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273</v>
      </c>
      <c r="U1386" s="16" t="n">
        <v>93</v>
      </c>
      <c r="V1386" s="16">
        <f>ROUNDUP((T1386+U1386+2*'Read Me'!$B$13)*(1+'Read Me'!$B$12),-1)</f>
        <v/>
      </c>
      <c r="W1386" s="16">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277</v>
      </c>
      <c r="U1388" s="16" t="n">
        <v>97</v>
      </c>
      <c r="V1388" s="16">
        <f>ROUNDUP((T1388+U1388+2*'Read Me'!$B$13)*(1+'Read Me'!$B$12),-1)</f>
        <v/>
      </c>
      <c r="W1388" s="16">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6" t="n">
        <v>258</v>
      </c>
      <c r="U1390" s="16" t="n">
        <v>35</v>
      </c>
      <c r="V1390" s="16">
        <f>ROUNDUP((T1390+U1390+2*'Read Me'!$B$13)*(1+'Read Me'!$B$12),-1)</f>
        <v/>
      </c>
      <c r="W1390" s="16">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LV|3/C+G|2</t>
        </is>
      </c>
      <c r="L1396" s="12" t="inlineStr">
        <is>
          <t>3/C+G</t>
        </is>
      </c>
      <c r="M1396" s="12" t="inlineStr">
        <is>
          <t>2</t>
        </is>
      </c>
      <c r="N1396" s="12" t="n">
        <v>1</v>
      </c>
      <c r="O1396" s="12" t="n">
        <v>1</v>
      </c>
      <c r="P1396" s="12" t="n">
        <v>480</v>
      </c>
      <c r="Q1396" s="12" t="n">
        <v>15</v>
      </c>
      <c r="R1396" s="12" t="n">
        <v>21.2</v>
      </c>
      <c r="S1396" s="12" t="inlineStr">
        <is>
          <t>Tray</t>
        </is>
      </c>
      <c r="T1396" s="16" t="n">
        <v>1069</v>
      </c>
      <c r="U1396" s="16" t="n">
        <v>184</v>
      </c>
      <c r="V1396" s="16">
        <f>ROUNDUP((T1396+U1396+2*'Read Me'!$B$13)*(1+'Read Me'!$B$12),-1)</f>
        <v/>
      </c>
      <c r="W1396" s="16">
        <f>V1396*N1396*O1396</f>
        <v/>
      </c>
      <c r="X1396" s="12">
        <f>IF(LEFT(I1396,2)="MV",2*N1396*IF(L1396="1/C",O1396,1),0)</f>
        <v/>
      </c>
      <c r="Y1396" s="12">
        <f>IF(OR(LEFT(K1396,4)="LVAX",LEFT(K1396,6)="MV15AX",LEFT(K1396,4)="CTAX",LEFT(K1396,2)="W|"),2*N1396*O1396,0)</f>
        <v/>
      </c>
      <c r="Z1396" s="12" t="inlineStr">
        <is>
          <t>VD 2.0 %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6" t="n">
        <v>67</v>
      </c>
      <c r="U1397" s="16" t="n">
        <v>89</v>
      </c>
      <c r="V1397" s="16">
        <f>ROUNDUP((T1397+U1397+2*'Read Me'!$B$13)*(1+'Read Me'!$B$12),-1)</f>
        <v/>
      </c>
      <c r="W1397" s="16">
        <f>V1397*N1397*O1397</f>
        <v/>
      </c>
      <c r="X1397" s="12">
        <f>IF(LEFT(I1397,2)="MV",2*N1397*IF(L1397="1/C",O1397,1),0)</f>
        <v/>
      </c>
      <c r="Y1397" s="12">
        <f>IF(OR(LEFT(K1397,4)="LVAX",LEFT(K1397,6)="MV15AX",LEFT(K1397,4)="CTAX",LEFT(K1397,2)="W|"),2*N1397*O1397,0)</f>
        <v/>
      </c>
      <c r="Z1397" s="12" t="inlineStr">
        <is>
          <t>VD 1.0 %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6" t="n">
        <v>907</v>
      </c>
      <c r="U1399" s="16" t="n">
        <v>98</v>
      </c>
      <c r="V1399" s="16">
        <f>ROUNDUP((T1399+U1399+2*'Read Me'!$B$13)*(1+'Read Me'!$B$12),-1)</f>
        <v/>
      </c>
      <c r="W1399" s="16">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451</v>
      </c>
      <c r="U1400" s="16" t="n">
        <v>157</v>
      </c>
      <c r="V1400" s="16">
        <f>ROUNDUP((T1400+U1400+2*'Read Me'!$B$13)*(1+'Read Me'!$B$12),-1)</f>
        <v/>
      </c>
      <c r="W1400" s="16">
        <f>V1400*N1400*O1400</f>
        <v/>
      </c>
      <c r="X1400" s="12">
        <f>IF(LEFT(I1400,2)="MV",2*N1400*IF(L1400="1/C",O1400,1),0)</f>
        <v/>
      </c>
      <c r="Y1400" s="12">
        <f>IF(OR(LEFT(K1400,4)="LVAX",LEFT(K1400,6)="MV15AX",LEFT(K1400,4)="CTAX",LEFT(K1400,2)="W|"),2*N1400*O1400,0)</f>
        <v/>
      </c>
      <c r="Z1400" s="12" t="inlineStr">
        <is>
          <t>VD 2.5 %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6" t="n">
        <v>751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Duct bank</t>
        </is>
      </c>
      <c r="T1403" s="16" t="n">
        <v>1071</v>
      </c>
      <c r="U1403" s="16" t="n">
        <v>110</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6" t="n">
        <v>631</v>
      </c>
      <c r="U1404" s="16" t="n">
        <v>137</v>
      </c>
      <c r="V1404" s="16">
        <f>ROUNDUP((T1404+U1404+2*'Read Me'!$B$13)*(1+'Read Me'!$B$12),-1)</f>
        <v/>
      </c>
      <c r="W1404" s="16">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6" t="n">
        <v>931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6" t="n">
        <v>1179</v>
      </c>
      <c r="U1407" s="16" t="n">
        <v>172</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6" t="n">
        <v>799</v>
      </c>
      <c r="U1408" s="16" t="n">
        <v>145</v>
      </c>
      <c r="V1408" s="16">
        <f>ROUNDUP((T1408+U1408+2*'Read Me'!$B$13)*(1+'Read Me'!$B$12),-1)</f>
        <v/>
      </c>
      <c r="W1408" s="16">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6" t="n">
        <v>1099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6" t="n">
        <v>288</v>
      </c>
      <c r="U1411" s="16" t="n">
        <v>155</v>
      </c>
      <c r="V1411" s="16">
        <f>ROUNDUP((T1411+U1411+2*'Read Me'!$B$13)*(1+'Read Me'!$B$12),-1)</f>
        <v/>
      </c>
      <c r="W1411" s="16">
        <f>V1411*N1411*O1411</f>
        <v/>
      </c>
      <c r="X1411" s="12">
        <f>IF(LEFT(I1411,2)="MV",2*N1411*IF(L1411="1/C",O1411,1),0)</f>
        <v/>
      </c>
      <c r="Y1411" s="12">
        <f>IF(OR(LEFT(K1411,4)="LVAX",LEFT(K1411,6)="MV15AX",LEFT(K1411,4)="CTAX",LEFT(K1411,2)="W|"),2*N1411*O1411,0)</f>
        <v/>
      </c>
      <c r="Z1411" s="12" t="inlineStr">
        <is>
          <t>VD 1.4 %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468</v>
      </c>
      <c r="U1412" s="16" t="n">
        <v>135</v>
      </c>
      <c r="V1412" s="16">
        <f>ROUNDUP((T1412+U1412+2*'Read Me'!$B$13)*(1+'Read Me'!$B$12),-1)</f>
        <v/>
      </c>
      <c r="W1412" s="16">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636</v>
      </c>
      <c r="U1413" s="16" t="n">
        <v>143</v>
      </c>
      <c r="V1413" s="16">
        <f>ROUNDUP((T1413+U1413+2*'Read Me'!$B$13)*(1+'Read Me'!$B$12),-1)</f>
        <v/>
      </c>
      <c r="W1413" s="16">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LVAX|3/C+G|8</t>
        </is>
      </c>
      <c r="L1414" s="12" t="inlineStr">
        <is>
          <t>3/C+G</t>
        </is>
      </c>
      <c r="M1414" s="12" t="inlineStr">
        <is>
          <t>8</t>
        </is>
      </c>
      <c r="N1414" s="12" t="n">
        <v>1</v>
      </c>
      <c r="O1414" s="12" t="n">
        <v>1</v>
      </c>
      <c r="P1414" s="12" t="n">
        <v>480</v>
      </c>
      <c r="Q1414" s="12" t="n">
        <v>15</v>
      </c>
      <c r="R1414" s="12" t="n">
        <v>21.2</v>
      </c>
      <c r="S1414" s="12" t="inlineStr">
        <is>
          <t>Tray</t>
        </is>
      </c>
      <c r="T1414" s="16" t="n">
        <v>298</v>
      </c>
      <c r="U1414" s="16" t="n">
        <v>145</v>
      </c>
      <c r="V1414" s="16">
        <f>ROUNDUP((T1414+U1414+2*'Read Me'!$B$13)*(1+'Read Me'!$B$12),-1)</f>
        <v/>
      </c>
      <c r="W1414" s="16">
        <f>V1414*N1414*O1414</f>
        <v/>
      </c>
      <c r="X1414" s="12">
        <f>IF(LEFT(I1414,2)="MV",2*N1414*IF(L1414="1/C",O1414,1),0)</f>
        <v/>
      </c>
      <c r="Y1414" s="12">
        <f>IF(OR(LEFT(K1414,4)="LVAX",LEFT(K1414,6)="MV15AX",LEFT(K1414,4)="CTAX",LEFT(K1414,2)="W|"),2*N1414*O1414,0)</f>
        <v/>
      </c>
      <c r="Z1414" s="12" t="inlineStr">
        <is>
          <t>VD 2.9 %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6" t="n">
        <v>478</v>
      </c>
      <c r="U1415" s="16" t="n">
        <v>125</v>
      </c>
      <c r="V1415" s="16">
        <f>ROUNDUP((T1415+U1415+2*'Read Me'!$B$13)*(1+'Read Me'!$B$12),-1)</f>
        <v/>
      </c>
      <c r="W1415" s="16">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6" t="n">
        <v>646</v>
      </c>
      <c r="U1416" s="16" t="n">
        <v>133</v>
      </c>
      <c r="V1416" s="16">
        <f>ROUNDUP((T1416+U1416+2*'Read Me'!$B$13)*(1+'Read Me'!$B$12),-1)</f>
        <v/>
      </c>
      <c r="W1416" s="16">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6" t="n">
        <v>72</v>
      </c>
      <c r="U1417" s="16" t="n">
        <v>139</v>
      </c>
      <c r="V1417" s="16">
        <f>ROUNDUP((T1417+U1417+2*'Read Me'!$B$13)*(1+'Read Me'!$B$12),-1)</f>
        <v/>
      </c>
      <c r="W1417" s="16">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6" t="n">
        <v>416</v>
      </c>
      <c r="U1419" s="16" t="n">
        <v>181</v>
      </c>
      <c r="V1419" s="16">
        <f>ROUNDUP((T1419+U1419+2*'Read Me'!$B$13)*(1+'Read Me'!$B$12),-1)</f>
        <v/>
      </c>
      <c r="W1419" s="16">
        <f>V1419*N1419*O1419</f>
        <v/>
      </c>
      <c r="X1419" s="12">
        <f>IF(LEFT(I1419,2)="MV",2*N1419*IF(L1419="1/C",O1419,1),0)</f>
        <v/>
      </c>
      <c r="Y1419" s="12">
        <f>IF(OR(LEFT(K1419,4)="LVAX",LEFT(K1419,6)="MV15AX",LEFT(K1419,4)="CTAX",LEFT(K1419,2)="W|"),2*N1419*O1419,0)</f>
        <v/>
      </c>
      <c r="Z1419" s="12" t="inlineStr">
        <is>
          <t>VD 0.8 %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419</v>
      </c>
      <c r="U1425" s="16" t="n">
        <v>179</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1290</v>
      </c>
      <c r="U1431" s="16" t="n">
        <v>271</v>
      </c>
      <c r="V1431" s="16">
        <f>ROUNDUP((T1431+U1431+2*'Read Me'!$B$13)*(1+'Read Me'!$B$12),-1)</f>
        <v/>
      </c>
      <c r="W1431" s="16">
        <f>V1431*N1431*O1431</f>
        <v/>
      </c>
      <c r="X1431" s="12">
        <f>IF(LEFT(I1431,2)="MV",2*N1431*IF(L1431="1/C",O1431,1),0)</f>
        <v/>
      </c>
      <c r="Y1431" s="12">
        <f>IF(OR(LEFT(K1431,4)="LVAX",LEFT(K1431,6)="MV15AX",LEFT(K1431,4)="CTAX",LEFT(K1431,2)="W|"),2*N1431*O1431,0)</f>
        <v/>
      </c>
      <c r="Z1431" s="12" t="inlineStr">
        <is>
          <t>VD 2.1 %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Duct bank</t>
        </is>
      </c>
      <c r="T1437" s="16" t="n">
        <v>1423</v>
      </c>
      <c r="U1437" s="16" t="n">
        <v>113</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A-P-0076</t>
        </is>
      </c>
      <c r="B1443" s="12" t="inlineStr">
        <is>
          <t>A</t>
        </is>
      </c>
      <c r="C1443" s="12" t="inlineStr">
        <is>
          <t>Power block</t>
        </is>
      </c>
      <c r="D1443" s="12" t="inlineStr">
        <is>
          <t>Motor 1 of 6, 2 kW</t>
        </is>
      </c>
      <c r="E1443" s="12" t="inlineStr">
        <is>
          <t>R2C</t>
        </is>
      </c>
      <c r="F1443" s="12" t="inlineStr">
        <is>
          <t>R2C: unit / HRSG electrical e-house (32 x 40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1140</v>
      </c>
      <c r="U1443" s="16" t="n">
        <v>110</v>
      </c>
      <c r="V1443" s="16">
        <f>ROUNDUP((T1443+U1443+2*'Read Me'!$B$13)*(1+'Read Me'!$B$12),-1)</f>
        <v/>
      </c>
      <c r="W1443" s="16">
        <f>V1443*N1443*O1443</f>
        <v/>
      </c>
      <c r="X1443" s="12">
        <f>IF(LEFT(I1443,2)="MV",2*N1443*IF(L1443="1/C",O1443,1),0)</f>
        <v/>
      </c>
      <c r="Y1443" s="12">
        <f>IF(OR(LEFT(K1443,4)="LVAX",LEFT(K1443,6)="MV15AX",LEFT(K1443,4)="CTAX",LEFT(K1443,2)="W|"),2*N1443*O1443,0)</f>
        <v/>
      </c>
      <c r="Z1443" s="12" t="inlineStr">
        <is>
          <t>VD 1.7 %</t>
        </is>
      </c>
      <c r="AA1443" s="12">
        <f>N1443*O1443</f>
        <v/>
      </c>
    </row>
    <row r="1444">
      <c r="A1444" s="12" t="inlineStr">
        <is>
          <t>A-P-0077</t>
        </is>
      </c>
      <c r="B1444" s="12" t="inlineStr">
        <is>
          <t>A</t>
        </is>
      </c>
      <c r="C1444" s="12" t="inlineStr">
        <is>
          <t>Power block</t>
        </is>
      </c>
      <c r="D1444" s="12" t="inlineStr">
        <is>
          <t>Motor 2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A-P-0078</t>
        </is>
      </c>
      <c r="B1445" s="12" t="inlineStr">
        <is>
          <t>A</t>
        </is>
      </c>
      <c r="C1445" s="12" t="inlineStr">
        <is>
          <t>Power block</t>
        </is>
      </c>
      <c r="D1445" s="12" t="inlineStr">
        <is>
          <t>Motor 3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A-P-0079</t>
        </is>
      </c>
      <c r="B1446" s="12" t="inlineStr">
        <is>
          <t>A</t>
        </is>
      </c>
      <c r="C1446" s="12" t="inlineStr">
        <is>
          <t>Power block</t>
        </is>
      </c>
      <c r="D1446" s="12" t="inlineStr">
        <is>
          <t>Motor 4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A-P-0080</t>
        </is>
      </c>
      <c r="B1447" s="12" t="inlineStr">
        <is>
          <t>A</t>
        </is>
      </c>
      <c r="C1447" s="12" t="inlineStr">
        <is>
          <t>Power block</t>
        </is>
      </c>
      <c r="D1447" s="12" t="inlineStr">
        <is>
          <t>Motor 5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A-P-0081</t>
        </is>
      </c>
      <c r="B1448" s="12" t="inlineStr">
        <is>
          <t>A</t>
        </is>
      </c>
      <c r="C1448" s="12" t="inlineStr">
        <is>
          <t>Power block</t>
        </is>
      </c>
      <c r="D1448" s="12" t="inlineStr">
        <is>
          <t>Motor 6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A-P-0082</t>
        </is>
      </c>
      <c r="B1449" s="12" t="inlineStr">
        <is>
          <t>A</t>
        </is>
      </c>
      <c r="C1449" s="12" t="inlineStr">
        <is>
          <t>Power block</t>
        </is>
      </c>
      <c r="D1449" s="12" t="inlineStr">
        <is>
          <t>Motor 1 of 6, 2 kW</t>
        </is>
      </c>
      <c r="E1449" s="12" t="inlineStr">
        <is>
          <t>R2C</t>
        </is>
      </c>
      <c r="F1449" s="12" t="inlineStr">
        <is>
          <t>R2C: unit / HRSG electrical e-house (32 x 40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1103</v>
      </c>
      <c r="U1449" s="16" t="n">
        <v>113</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A-P-0083</t>
        </is>
      </c>
      <c r="B1450" s="12" t="inlineStr">
        <is>
          <t>A</t>
        </is>
      </c>
      <c r="C1450" s="12" t="inlineStr">
        <is>
          <t>Power block</t>
        </is>
      </c>
      <c r="D1450" s="12" t="inlineStr">
        <is>
          <t>Motor 2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A-P-0084</t>
        </is>
      </c>
      <c r="B1451" s="12" t="inlineStr">
        <is>
          <t>A</t>
        </is>
      </c>
      <c r="C1451" s="12" t="inlineStr">
        <is>
          <t>Power block</t>
        </is>
      </c>
      <c r="D1451" s="12" t="inlineStr">
        <is>
          <t>Motor 3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A-P-0085</t>
        </is>
      </c>
      <c r="B1452" s="12" t="inlineStr">
        <is>
          <t>A</t>
        </is>
      </c>
      <c r="C1452" s="12" t="inlineStr">
        <is>
          <t>Power block</t>
        </is>
      </c>
      <c r="D1452" s="12" t="inlineStr">
        <is>
          <t>Motor 4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A-P-0086</t>
        </is>
      </c>
      <c r="B1453" s="12" t="inlineStr">
        <is>
          <t>A</t>
        </is>
      </c>
      <c r="C1453" s="12" t="inlineStr">
        <is>
          <t>Power block</t>
        </is>
      </c>
      <c r="D1453" s="12" t="inlineStr">
        <is>
          <t>Motor 5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A-P-0087</t>
        </is>
      </c>
      <c r="B1454" s="12" t="inlineStr">
        <is>
          <t>A</t>
        </is>
      </c>
      <c r="C1454" s="12" t="inlineStr">
        <is>
          <t>Power block</t>
        </is>
      </c>
      <c r="D1454" s="12" t="inlineStr">
        <is>
          <t>Motor 6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463</v>
      </c>
      <c r="U1455" s="16" t="n">
        <v>35</v>
      </c>
      <c r="V1455" s="16">
        <f>ROUNDUP((T1455+U1455+2*'Read Me'!$B$13)*(1+'Read Me'!$B$12),-1)</f>
        <v/>
      </c>
      <c r="W1455" s="16">
        <f>V1455*N1455*O1455</f>
        <v/>
      </c>
      <c r="X1455" s="12">
        <f>IF(LEFT(I1455,2)="MV",2*N1455*IF(L1455="1/C",O1455,1),0)</f>
        <v/>
      </c>
      <c r="Y1455" s="12">
        <f>IF(OR(LEFT(K1455,4)="LVAX",LEFT(K1455,6)="MV15AX",LEFT(K1455,4)="CTAX",LEFT(K1455,2)="W|"),2*N1455*O1455,0)</f>
        <v/>
      </c>
      <c r="Z1455" s="12" t="inlineStr">
        <is>
          <t>VD 0.7 %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408</v>
      </c>
      <c r="U1461" s="16" t="n">
        <v>32</v>
      </c>
      <c r="V1461" s="16">
        <f>ROUNDUP((T1461+U1461+2*'Read Me'!$B$13)*(1+'Read Me'!$B$12),-1)</f>
        <v/>
      </c>
      <c r="W1461" s="16">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6" t="n">
        <v>302</v>
      </c>
      <c r="U1467" s="16" t="n">
        <v>170</v>
      </c>
      <c r="V1467" s="16">
        <f>ROUNDUP((T1467+U1467+2*'Read Me'!$B$13)*(1+'Read Me'!$B$12),-1)</f>
        <v/>
      </c>
      <c r="W1467" s="16">
        <f>V1467*N1467*O1467</f>
        <v/>
      </c>
      <c r="X1467" s="12">
        <f>IF(LEFT(I1467,2)="MV",2*N1467*IF(L1467="1/C",O1467,1),0)</f>
        <v/>
      </c>
      <c r="Y1467" s="12">
        <f>IF(OR(LEFT(K1467,4)="LVAX",LEFT(K1467,6)="MV15AX",LEFT(K1467,4)="CTAX",LEFT(K1467,2)="W|"),2*N1467*O1467,0)</f>
        <v/>
      </c>
      <c r="Z1467" s="12" t="inlineStr">
        <is>
          <t>VD 2.3 %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6" t="n">
        <v>232</v>
      </c>
      <c r="U1479" s="16" t="n">
        <v>154</v>
      </c>
      <c r="V1479" s="16">
        <f>ROUNDUP((T1479+U1479+2*'Read Me'!$B$13)*(1+'Read Me'!$B$12),-1)</f>
        <v/>
      </c>
      <c r="W1479" s="16">
        <f>V1479*N1479*O1479</f>
        <v/>
      </c>
      <c r="X1479" s="12">
        <f>IF(LEFT(I1479,2)="MV",2*N1479*IF(L1479="1/C",O1479,1),0)</f>
        <v/>
      </c>
      <c r="Y1479" s="12">
        <f>IF(OR(LEFT(K1479,4)="LVAX",LEFT(K1479,6)="MV15AX",LEFT(K1479,4)="CTAX",LEFT(K1479,2)="W|"),2*N1479*O1479,0)</f>
        <v/>
      </c>
      <c r="Z1479" s="12" t="inlineStr">
        <is>
          <t>VD 1.2 %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2.3 %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6" t="n">
        <v>482</v>
      </c>
      <c r="U1484" s="16" t="n">
        <v>150</v>
      </c>
      <c r="V1484" s="16">
        <f>ROUNDUP((T1484+U1484+2*'Read Me'!$B$13)*(1+'Read Me'!$B$12),-1)</f>
        <v/>
      </c>
      <c r="W1484" s="16">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6" t="n">
        <v>412</v>
      </c>
      <c r="U1496" s="16" t="n">
        <v>134</v>
      </c>
      <c r="V1496" s="16">
        <f>ROUNDUP((T1496+U1496+2*'Read Me'!$B$13)*(1+'Read Me'!$B$12),-1)</f>
        <v/>
      </c>
      <c r="W1496" s="16">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6" t="n">
        <v>693</v>
      </c>
      <c r="U1501" s="16" t="n">
        <v>149</v>
      </c>
      <c r="V1501" s="16">
        <f>ROUNDUP((T1501+U1501+2*'Read Me'!$B$13)*(1+'Read Me'!$B$12),-1)</f>
        <v/>
      </c>
      <c r="W1501" s="16">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6" t="n">
        <v>580</v>
      </c>
      <c r="U1513" s="16" t="n">
        <v>142</v>
      </c>
      <c r="V1513" s="16">
        <f>ROUNDUP((T1513+U1513+2*'Read Me'!$B$13)*(1+'Read Me'!$B$12),-1)</f>
        <v/>
      </c>
      <c r="W1513" s="16">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445</v>
      </c>
      <c r="U1518" s="16" t="n">
        <v>178</v>
      </c>
      <c r="V1518" s="16">
        <f>ROUNDUP((T1518+U1518+2*'Read Me'!$B$13)*(1+'Read Me'!$B$12),-1)</f>
        <v/>
      </c>
      <c r="W1518" s="16">
        <f>V1518*N1518*O1518</f>
        <v/>
      </c>
      <c r="X1518" s="12">
        <f>IF(LEFT(I1518,2)="MV",2*N1518*IF(L1518="1/C",O1518,1),0)</f>
        <v/>
      </c>
      <c r="Y1518" s="12">
        <f>IF(OR(LEFT(K1518,4)="LVAX",LEFT(K1518,6)="MV15AX",LEFT(K1518,4)="CTAX",LEFT(K1518,2)="W|"),2*N1518*O1518,0)</f>
        <v/>
      </c>
      <c r="Z1518" s="12" t="inlineStr">
        <is>
          <t>VD 0.8 %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625</v>
      </c>
      <c r="U1522" s="16" t="n">
        <v>158</v>
      </c>
      <c r="V1522" s="16">
        <f>ROUNDUP((T1522+U1522+2*'Read Me'!$B$13)*(1+'Read Me'!$B$12),-1)</f>
        <v/>
      </c>
      <c r="W1522" s="16">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793</v>
      </c>
      <c r="U1526" s="16" t="n">
        <v>166</v>
      </c>
      <c r="V1526" s="16">
        <f>ROUNDUP((T1526+U1526+2*'Read Me'!$B$13)*(1+'Read Me'!$B$12),-1)</f>
        <v/>
      </c>
      <c r="W1526" s="16">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6" t="n">
        <v>0</v>
      </c>
      <c r="U1530" s="16" t="n">
        <v>87</v>
      </c>
      <c r="V1530" s="16">
        <f>ROUNDUP((T1530+U1530+2*'Read Me'!$B$13)*(1+'Read Me'!$B$12),-1)</f>
        <v/>
      </c>
      <c r="W1530" s="16">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6" t="n">
        <v>300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38</v>
      </c>
      <c r="U1587" s="16" t="n">
        <v>86</v>
      </c>
      <c r="V1587" s="16">
        <f>ROUNDUP((T1587+U1587+2*'Read Me'!$B$13)*(1+'Read Me'!$B$12),-1)</f>
        <v/>
      </c>
      <c r="W1587" s="16">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R2A</t>
        </is>
      </c>
      <c r="F1592" s="12" t="inlineStr">
        <is>
          <t>R2A: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6" t="n">
        <v>404</v>
      </c>
      <c r="U1592" s="16" t="n">
        <v>108</v>
      </c>
      <c r="V1592" s="16">
        <f>ROUNDUP((T1592+U1592+2*'Read Me'!$B$13)*(1+'Read Me'!$B$12),-1)</f>
        <v/>
      </c>
      <c r="W1592" s="16">
        <f>V1592*N1592*O1592</f>
        <v/>
      </c>
      <c r="X1592" s="12">
        <f>IF(LEFT(I1592,2)="MV",2*N1592*IF(L1592="1/C",O1592,1),0)</f>
        <v/>
      </c>
      <c r="Y1592" s="12">
        <f>IF(OR(LEFT(K1592,4)="LVAX",LEFT(K1592,6)="MV15AX",LEFT(K1592,4)="CTAX",LEFT(K1592,2)="W|"),2*N1592*O1592,0)</f>
        <v/>
      </c>
      <c r="Z1592" s="12" t="inlineStr">
        <is>
          <t>VD 0.7 %</t>
        </is>
      </c>
      <c r="AA1592" s="12">
        <f>N1592*O1592</f>
        <v/>
      </c>
    </row>
    <row r="1593">
      <c r="A1593" s="12" t="inlineStr">
        <is>
          <t>A-P-0226</t>
        </is>
      </c>
      <c r="B1593" s="12" t="inlineStr">
        <is>
          <t>A</t>
        </is>
      </c>
      <c r="C1593" s="12" t="inlineStr">
        <is>
          <t>Power block</t>
        </is>
      </c>
      <c r="D1593" s="12" t="inlineStr">
        <is>
          <t>Motor 2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A-P-0227</t>
        </is>
      </c>
      <c r="B1594" s="12" t="inlineStr">
        <is>
          <t>A</t>
        </is>
      </c>
      <c r="C1594" s="12" t="inlineStr">
        <is>
          <t>Power block</t>
        </is>
      </c>
      <c r="D1594" s="12" t="inlineStr">
        <is>
          <t>Motor 3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A-P-0228</t>
        </is>
      </c>
      <c r="B1595" s="12" t="inlineStr">
        <is>
          <t>A</t>
        </is>
      </c>
      <c r="C1595" s="12" t="inlineStr">
        <is>
          <t>Power block</t>
        </is>
      </c>
      <c r="D1595" s="12" t="inlineStr">
        <is>
          <t>Motor 4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A-P-0229</t>
        </is>
      </c>
      <c r="B1596" s="12" t="inlineStr">
        <is>
          <t>A</t>
        </is>
      </c>
      <c r="C1596" s="12" t="inlineStr">
        <is>
          <t>Power block</t>
        </is>
      </c>
      <c r="D1596" s="12" t="inlineStr">
        <is>
          <t>Motor 5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A-P-0230</t>
        </is>
      </c>
      <c r="B1597" s="12" t="inlineStr">
        <is>
          <t>A</t>
        </is>
      </c>
      <c r="C1597" s="12" t="inlineStr">
        <is>
          <t>Power block</t>
        </is>
      </c>
      <c r="D1597" s="12" t="inlineStr">
        <is>
          <t>Motor 6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6" t="n">
        <v>486</v>
      </c>
      <c r="U1598" s="16" t="n">
        <v>148</v>
      </c>
      <c r="V1598" s="16">
        <f>ROUNDUP((T1598+U1598+2*'Read Me'!$B$13)*(1+'Read Me'!$B$12),-1)</f>
        <v/>
      </c>
      <c r="W1598" s="16">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6" t="n">
        <v>53</v>
      </c>
      <c r="U1599" s="16" t="n">
        <v>96</v>
      </c>
      <c r="V1599" s="16">
        <f>ROUNDUP((T1599+U1599+2*'Read Me'!$B$13)*(1+'Read Me'!$B$12),-1)</f>
        <v/>
      </c>
      <c r="W1599" s="16">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6" t="n">
        <v>353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38</v>
      </c>
      <c r="U1656" s="16" t="n">
        <v>86</v>
      </c>
      <c r="V1656" s="16">
        <f>ROUNDUP((T1656+U1656+2*'Read Me'!$B$13)*(1+'Read Me'!$B$12),-1)</f>
        <v/>
      </c>
      <c r="W1656" s="16">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R2B</t>
        </is>
      </c>
      <c r="F1661" s="12" t="inlineStr">
        <is>
          <t>R2B: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6" t="n">
        <v>404</v>
      </c>
      <c r="U1661" s="16" t="n">
        <v>108</v>
      </c>
      <c r="V1661" s="16">
        <f>ROUNDUP((T1661+U1661+2*'Read Me'!$B$13)*(1+'Read Me'!$B$12),-1)</f>
        <v/>
      </c>
      <c r="W1661" s="16">
        <f>V1661*N1661*O1661</f>
        <v/>
      </c>
      <c r="X1661" s="12">
        <f>IF(LEFT(I1661,2)="MV",2*N1661*IF(L1661="1/C",O1661,1),0)</f>
        <v/>
      </c>
      <c r="Y1661" s="12">
        <f>IF(OR(LEFT(K1661,4)="LVAX",LEFT(K1661,6)="MV15AX",LEFT(K1661,4)="CTAX",LEFT(K1661,2)="W|"),2*N1661*O1661,0)</f>
        <v/>
      </c>
      <c r="Z1661" s="12" t="inlineStr">
        <is>
          <t>VD 0.7 %</t>
        </is>
      </c>
      <c r="AA1661" s="12">
        <f>N1661*O1661</f>
        <v/>
      </c>
    </row>
    <row r="1662">
      <c r="A1662" s="12" t="inlineStr">
        <is>
          <t>A-P-0295</t>
        </is>
      </c>
      <c r="B1662" s="12" t="inlineStr">
        <is>
          <t>A</t>
        </is>
      </c>
      <c r="C1662" s="12" t="inlineStr">
        <is>
          <t>Power block</t>
        </is>
      </c>
      <c r="D1662" s="12" t="inlineStr">
        <is>
          <t>Motor 2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A-P-0296</t>
        </is>
      </c>
      <c r="B1663" s="12" t="inlineStr">
        <is>
          <t>A</t>
        </is>
      </c>
      <c r="C1663" s="12" t="inlineStr">
        <is>
          <t>Power block</t>
        </is>
      </c>
      <c r="D1663" s="12" t="inlineStr">
        <is>
          <t>Motor 3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A-P-0297</t>
        </is>
      </c>
      <c r="B1664" s="12" t="inlineStr">
        <is>
          <t>A</t>
        </is>
      </c>
      <c r="C1664" s="12" t="inlineStr">
        <is>
          <t>Power block</t>
        </is>
      </c>
      <c r="D1664" s="12" t="inlineStr">
        <is>
          <t>Motor 4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A-P-0298</t>
        </is>
      </c>
      <c r="B1665" s="12" t="inlineStr">
        <is>
          <t>A</t>
        </is>
      </c>
      <c r="C1665" s="12" t="inlineStr">
        <is>
          <t>Power block</t>
        </is>
      </c>
      <c r="D1665" s="12" t="inlineStr">
        <is>
          <t>Motor 5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A-P-0299</t>
        </is>
      </c>
      <c r="B1666" s="12" t="inlineStr">
        <is>
          <t>A</t>
        </is>
      </c>
      <c r="C1666" s="12" t="inlineStr">
        <is>
          <t>Power block</t>
        </is>
      </c>
      <c r="D1666" s="12" t="inlineStr">
        <is>
          <t>Motor 6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6" t="n">
        <v>573</v>
      </c>
      <c r="U1667" s="16" t="n">
        <v>135</v>
      </c>
      <c r="V1667" s="16">
        <f>ROUNDUP((T1667+U1667+2*'Read Me'!$B$13)*(1+'Read Me'!$B$12),-1)</f>
        <v/>
      </c>
      <c r="W1667" s="16">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6" t="n">
        <v>300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38</v>
      </c>
      <c r="U1725" s="16" t="n">
        <v>86</v>
      </c>
      <c r="V1725" s="16">
        <f>ROUNDUP((T1725+U1725+2*'Read Me'!$B$13)*(1+'Read Me'!$B$12),-1)</f>
        <v/>
      </c>
      <c r="W1725" s="16">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R2C</t>
        </is>
      </c>
      <c r="F1730" s="12" t="inlineStr">
        <is>
          <t>R2C: unit / HRSG electrical e-house (32 x 40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6" t="n">
        <v>404</v>
      </c>
      <c r="U1730" s="16" t="n">
        <v>108</v>
      </c>
      <c r="V1730" s="16">
        <f>ROUNDUP((T1730+U1730+2*'Read Me'!$B$13)*(1+'Read Me'!$B$12),-1)</f>
        <v/>
      </c>
      <c r="W1730" s="16">
        <f>V1730*N1730*O1730</f>
        <v/>
      </c>
      <c r="X1730" s="12">
        <f>IF(LEFT(I1730,2)="MV",2*N1730*IF(L1730="1/C",O1730,1),0)</f>
        <v/>
      </c>
      <c r="Y1730" s="12">
        <f>IF(OR(LEFT(K1730,4)="LVAX",LEFT(K1730,6)="MV15AX",LEFT(K1730,4)="CTAX",LEFT(K1730,2)="W|"),2*N1730*O1730,0)</f>
        <v/>
      </c>
      <c r="Z1730" s="12" t="inlineStr">
        <is>
          <t>VD 0.7 %</t>
        </is>
      </c>
      <c r="AA1730" s="12">
        <f>N1730*O1730</f>
        <v/>
      </c>
    </row>
    <row r="1731">
      <c r="A1731" s="12" t="inlineStr">
        <is>
          <t>A-P-0364</t>
        </is>
      </c>
      <c r="B1731" s="12" t="inlineStr">
        <is>
          <t>A</t>
        </is>
      </c>
      <c r="C1731" s="12" t="inlineStr">
        <is>
          <t>Power block</t>
        </is>
      </c>
      <c r="D1731" s="12" t="inlineStr">
        <is>
          <t>Motor 2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A-P-0365</t>
        </is>
      </c>
      <c r="B1732" s="12" t="inlineStr">
        <is>
          <t>A</t>
        </is>
      </c>
      <c r="C1732" s="12" t="inlineStr">
        <is>
          <t>Power block</t>
        </is>
      </c>
      <c r="D1732" s="12" t="inlineStr">
        <is>
          <t>Motor 3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A-P-0366</t>
        </is>
      </c>
      <c r="B1733" s="12" t="inlineStr">
        <is>
          <t>A</t>
        </is>
      </c>
      <c r="C1733" s="12" t="inlineStr">
        <is>
          <t>Power block</t>
        </is>
      </c>
      <c r="D1733" s="12" t="inlineStr">
        <is>
          <t>Motor 4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A-P-0367</t>
        </is>
      </c>
      <c r="B1734" s="12" t="inlineStr">
        <is>
          <t>A</t>
        </is>
      </c>
      <c r="C1734" s="12" t="inlineStr">
        <is>
          <t>Power block</t>
        </is>
      </c>
      <c r="D1734" s="12" t="inlineStr">
        <is>
          <t>Motor 5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A-P-0368</t>
        </is>
      </c>
      <c r="B1735" s="12" t="inlineStr">
        <is>
          <t>A</t>
        </is>
      </c>
      <c r="C1735" s="12" t="inlineStr">
        <is>
          <t>Power block</t>
        </is>
      </c>
      <c r="D1735" s="12" t="inlineStr">
        <is>
          <t>Motor 6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6" t="n">
        <v>486</v>
      </c>
      <c r="U1736" s="16" t="n">
        <v>148</v>
      </c>
      <c r="V1736" s="16">
        <f>ROUNDUP((T1736+U1736+2*'Read Me'!$B$13)*(1+'Read Me'!$B$12),-1)</f>
        <v/>
      </c>
      <c r="W1736" s="16">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6" t="n">
        <v>208</v>
      </c>
      <c r="U1737" s="16" t="n">
        <v>135</v>
      </c>
      <c r="V1737" s="16">
        <f>ROUNDUP((T1737+U1737+2*'Read Me'!$B$13)*(1+'Read Me'!$B$12),-1)</f>
        <v/>
      </c>
      <c r="W1737" s="16">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6" t="n">
        <v>180</v>
      </c>
      <c r="U1738" s="16" t="n">
        <v>20</v>
      </c>
      <c r="V1738" s="16">
        <f>ROUNDUP((T1738+U1738+2*'Read Me'!$B$13)*(1+'Read Me'!$B$12),-1)</f>
        <v/>
      </c>
      <c r="W1738" s="16">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6" t="n">
        <v>51</v>
      </c>
      <c r="U1762" s="16" t="n">
        <v>41</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63</v>
      </c>
      <c r="V1768" s="16">
        <f>ROUNDUP((T1768+U1768+2*'Read Me'!$B$13)*(1+'Read Me'!$B$12),-1)</f>
        <v/>
      </c>
      <c r="W1768" s="16">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6" t="n">
        <v>890</v>
      </c>
      <c r="U1774" s="16" t="n">
        <v>194</v>
      </c>
      <c r="V1774" s="16">
        <f>ROUNDUP((T1774+U1774+2*'Read Me'!$B$13)*(1+'Read Me'!$B$12),-1)</f>
        <v/>
      </c>
      <c r="W1774" s="16">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972</v>
      </c>
      <c r="U1775" s="16" t="n">
        <v>192</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6" t="n">
        <v>0</v>
      </c>
      <c r="U1776" s="16" t="n">
        <v>70</v>
      </c>
      <c r="V1776" s="16">
        <f>ROUNDUP((T1776+U1776+2*'Read Me'!$B$13)*(1+'Read Me'!$B$12),-1)</f>
        <v/>
      </c>
      <c r="W1776" s="16">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6" t="n">
        <v>627</v>
      </c>
      <c r="U1777" s="16" t="n">
        <v>152</v>
      </c>
      <c r="V1777" s="16">
        <f>ROUNDUP((T1777+U1777+2*'Read Me'!$B$13)*(1+'Read Me'!$B$12),-1)</f>
        <v/>
      </c>
      <c r="W1777" s="16">
        <f>V1777*N1777*O1777</f>
        <v/>
      </c>
      <c r="X1777" s="12">
        <f>IF(LEFT(I1777,2)="MV",2*N1777*IF(L1777="1/C",O1777,1),0)</f>
        <v/>
      </c>
      <c r="Y1777" s="12">
        <f>IF(OR(LEFT(K1777,4)="LVAX",LEFT(K1777,6)="MV15AX",LEFT(K1777,4)="CTAX",LEFT(K1777,2)="W|"),2*N1777*O1777,0)</f>
        <v/>
      </c>
      <c r="Z1777" s="12" t="inlineStr">
        <is>
          <t>VD 2.2 %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6" t="n">
        <v>0</v>
      </c>
      <c r="U1778" s="16" t="n">
        <v>72</v>
      </c>
      <c r="V1778" s="16">
        <f>ROUNDUP((T1778+U1778+2*'Read Me'!$B$13)*(1+'Read Me'!$B$12),-1)</f>
        <v/>
      </c>
      <c r="W1778" s="16">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6" t="n">
        <v>0</v>
      </c>
      <c r="U1781" s="16" t="n">
        <v>32</v>
      </c>
      <c r="V1781" s="16">
        <f>ROUNDUP((T1781+U1781+2*'Read Me'!$B$13)*(1+'Read Me'!$B$12),-1)</f>
        <v/>
      </c>
      <c r="W1781" s="16">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A-P-0415</t>
        </is>
      </c>
      <c r="B1782" s="12" t="inlineStr">
        <is>
          <t>A</t>
        </is>
      </c>
      <c r="C1782" s="12" t="inlineStr">
        <is>
          <t>Power block</t>
        </is>
      </c>
      <c r="D1782" s="12" t="inlineStr">
        <is>
          <t>Motor 1 of 2, 110 kW</t>
        </is>
      </c>
      <c r="E1782" s="12" t="inlineStr">
        <is>
          <t>R2A</t>
        </is>
      </c>
      <c r="F1782" s="12" t="inlineStr">
        <is>
          <t>R2A: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6" t="n">
        <v>404</v>
      </c>
      <c r="U1782" s="16" t="n">
        <v>72</v>
      </c>
      <c r="V1782" s="16">
        <f>ROUNDUP((T1782+U1782+2*'Read Me'!$B$13)*(1+'Read Me'!$B$12),-1)</f>
        <v/>
      </c>
      <c r="W1782" s="16">
        <f>V1782*N1782*O1782</f>
        <v/>
      </c>
      <c r="X1782" s="12">
        <f>IF(LEFT(I1782,2)="MV",2*N1782*IF(L1782="1/C",O1782,1),0)</f>
        <v/>
      </c>
      <c r="Y1782" s="12">
        <f>IF(OR(LEFT(K1782,4)="LVAX",LEFT(K1782,6)="MV15AX",LEFT(K1782,4)="CTAX",LEFT(K1782,2)="W|"),2*N1782*O1782,0)</f>
        <v/>
      </c>
      <c r="Z1782" s="12" t="inlineStr">
        <is>
          <t>VD 2.3 %</t>
        </is>
      </c>
      <c r="AA1782" s="12">
        <f>N1782*O1782</f>
        <v/>
      </c>
    </row>
    <row r="1783">
      <c r="A1783" s="12" t="inlineStr">
        <is>
          <t>A-P-0416</t>
        </is>
      </c>
      <c r="B1783" s="12" t="inlineStr">
        <is>
          <t>A</t>
        </is>
      </c>
      <c r="C1783" s="12" t="inlineStr">
        <is>
          <t>Power block</t>
        </is>
      </c>
      <c r="D1783" s="12" t="inlineStr">
        <is>
          <t>Motor 2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A-P-0417</t>
        </is>
      </c>
      <c r="B1784" s="12" t="inlineStr">
        <is>
          <t>A</t>
        </is>
      </c>
      <c r="C1784" s="12" t="inlineStr">
        <is>
          <t>Power block</t>
        </is>
      </c>
      <c r="D1784" s="12" t="inlineStr">
        <is>
          <t>Motor 1 of 2, 110 kW</t>
        </is>
      </c>
      <c r="E1784" s="12" t="inlineStr">
        <is>
          <t>R2B</t>
        </is>
      </c>
      <c r="F1784" s="12" t="inlineStr">
        <is>
          <t>R2B: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A-P-0418</t>
        </is>
      </c>
      <c r="B1785" s="12" t="inlineStr">
        <is>
          <t>A</t>
        </is>
      </c>
      <c r="C1785" s="12" t="inlineStr">
        <is>
          <t>Power block</t>
        </is>
      </c>
      <c r="D1785" s="12" t="inlineStr">
        <is>
          <t>Motor 2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A-P-0419</t>
        </is>
      </c>
      <c r="B1786" s="12" t="inlineStr">
        <is>
          <t>A</t>
        </is>
      </c>
      <c r="C1786" s="12" t="inlineStr">
        <is>
          <t>Power block</t>
        </is>
      </c>
      <c r="D1786" s="12" t="inlineStr">
        <is>
          <t>Motor 1 of 2, 110 kW</t>
        </is>
      </c>
      <c r="E1786" s="12" t="inlineStr">
        <is>
          <t>R2C</t>
        </is>
      </c>
      <c r="F1786" s="12" t="inlineStr">
        <is>
          <t>R2C: unit / HRSG electrical e-house (32 x 40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A-P-0420</t>
        </is>
      </c>
      <c r="B1787" s="12" t="inlineStr">
        <is>
          <t>A</t>
        </is>
      </c>
      <c r="C1787" s="12" t="inlineStr">
        <is>
          <t>Power block</t>
        </is>
      </c>
      <c r="D1787" s="12" t="inlineStr">
        <is>
          <t>Motor 2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6" t="n">
        <v>481</v>
      </c>
      <c r="U1788" s="16" t="n">
        <v>189</v>
      </c>
      <c r="V1788" s="16">
        <f>ROUNDUP((T1788+U1788+2*'Read Me'!$B$13)*(1+'Read Me'!$B$12),-1)</f>
        <v/>
      </c>
      <c r="W1788" s="16">
        <f>V1788*N1788*O1788</f>
        <v/>
      </c>
      <c r="X1788" s="12">
        <f>IF(LEFT(I1788,2)="MV",2*N1788*IF(L1788="1/C",O1788,1),0)</f>
        <v/>
      </c>
      <c r="Y1788" s="12">
        <f>IF(OR(LEFT(K1788,4)="LVAX",LEFT(K1788,6)="MV15AX",LEFT(K1788,4)="CTAX",LEFT(K1788,2)="W|"),2*N1788*O1788,0)</f>
        <v/>
      </c>
      <c r="Z1788" s="12" t="inlineStr">
        <is>
          <t>VD 2.8 %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LVAX|3/C+G|4</t>
        </is>
      </c>
      <c r="L1791" s="12" t="inlineStr">
        <is>
          <t>3/C+G</t>
        </is>
      </c>
      <c r="M1791" s="12" t="inlineStr">
        <is>
          <t>4</t>
        </is>
      </c>
      <c r="N1791" s="12" t="n">
        <v>1</v>
      </c>
      <c r="O1791" s="12" t="n">
        <v>1</v>
      </c>
      <c r="P1791" s="12" t="n">
        <v>480</v>
      </c>
      <c r="Q1791" s="12" t="n">
        <v>15</v>
      </c>
      <c r="R1791" s="12" t="n">
        <v>21.2</v>
      </c>
      <c r="S1791" s="12" t="inlineStr">
        <is>
          <t>Tray</t>
        </is>
      </c>
      <c r="T1791" s="16" t="n">
        <v>661</v>
      </c>
      <c r="U1791" s="16" t="n">
        <v>169</v>
      </c>
      <c r="V1791" s="16">
        <f>ROUNDUP((T1791+U1791+2*'Read Me'!$B$13)*(1+'Read Me'!$B$12),-1)</f>
        <v/>
      </c>
      <c r="W1791" s="16">
        <f>V1791*N1791*O1791</f>
        <v/>
      </c>
      <c r="X1791" s="12">
        <f>IF(LEFT(I1791,2)="MV",2*N1791*IF(L1791="1/C",O1791,1),0)</f>
        <v/>
      </c>
      <c r="Y1791" s="12">
        <f>IF(OR(LEFT(K1791,4)="LVAX",LEFT(K1791,6)="MV15AX",LEFT(K1791,4)="CTAX",LEFT(K1791,2)="W|"),2*N1791*O1791,0)</f>
        <v/>
      </c>
      <c r="Z1791" s="12" t="inlineStr">
        <is>
          <t>VD 2.2 %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829</v>
      </c>
      <c r="U1794" s="16" t="n">
        <v>177</v>
      </c>
      <c r="V1794" s="16">
        <f>ROUNDUP((T1794+U1794+2*'Read Me'!$B$13)*(1+'Read Me'!$B$12),-1)</f>
        <v/>
      </c>
      <c r="W1794" s="16">
        <f>V1794*N1794*O1794</f>
        <v/>
      </c>
      <c r="X1794" s="12">
        <f>IF(LEFT(I1794,2)="MV",2*N1794*IF(L1794="1/C",O1794,1),0)</f>
        <v/>
      </c>
      <c r="Y1794" s="12">
        <f>IF(OR(LEFT(K1794,4)="LVAX",LEFT(K1794,6)="MV15AX",LEFT(K1794,4)="CTAX",LEFT(K1794,2)="W|"),2*N1794*O1794,0)</f>
        <v/>
      </c>
      <c r="Z1794" s="12" t="inlineStr">
        <is>
          <t>VD 2.6 %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6" t="n">
        <v>67</v>
      </c>
      <c r="U1797" s="16" t="n">
        <v>84</v>
      </c>
      <c r="V1797" s="16">
        <f>ROUNDUP((T1797+U1797+2*'Read Me'!$B$13)*(1+'Read Me'!$B$12),-1)</f>
        <v/>
      </c>
      <c r="W1797" s="16">
        <f>V1797*N1797*O1797</f>
        <v/>
      </c>
      <c r="X1797" s="12">
        <f>IF(LEFT(I1797,2)="MV",2*N1797*IF(L1797="1/C",O1797,1),0)</f>
        <v/>
      </c>
      <c r="Y1797" s="12">
        <f>IF(OR(LEFT(K1797,4)="LVAX",LEFT(K1797,6)="MV15AX",LEFT(K1797,4)="CTAX",LEFT(K1797,2)="W|"),2*N1797*O1797,0)</f>
        <v/>
      </c>
      <c r="Z1797" s="12" t="inlineStr">
        <is>
          <t>VD 1.0 %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Duct bank</t>
        </is>
      </c>
      <c r="T1807" s="16" t="n">
        <v>12</v>
      </c>
      <c r="U1807" s="16" t="n">
        <v>50</v>
      </c>
      <c r="V1807" s="16">
        <f>ROUNDUP((T1807+U1807+2*'Read Me'!$B$13)*(1+'Read Me'!$B$12),-1)</f>
        <v/>
      </c>
      <c r="W1807" s="16">
        <f>V1807*N1807*O1807</f>
        <v/>
      </c>
      <c r="X1807" s="12">
        <f>IF(LEFT(I1807,2)="MV",2*N1807*IF(L1807="1/C",O1807,1),0)</f>
        <v/>
      </c>
      <c r="Y1807" s="12">
        <f>IF(OR(LEFT(K1807,4)="LVAX",LEFT(K1807,6)="MV15AX",LEFT(K1807,4)="CTAX",LEFT(K1807,2)="W|"),2*N1807*O1807,0)</f>
        <v/>
      </c>
      <c r="Z1807" s="12" t="inlineStr">
        <is>
          <t>VD 0.1 %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0.6 %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0.4 %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517</v>
      </c>
      <c r="U1832" s="16" t="n">
        <v>35</v>
      </c>
      <c r="V1832" s="16">
        <f>ROUNDUP((T1832+U1832+2*'Read Me'!$B$13)*(1+'Read Me'!$B$12),-1)</f>
        <v/>
      </c>
      <c r="W1832" s="16">
        <f>V1832*N1832*O1832</f>
        <v/>
      </c>
      <c r="X1832" s="12">
        <f>IF(LEFT(I1832,2)="MV",2*N1832*IF(L1832="1/C",O1832,1),0)</f>
        <v/>
      </c>
      <c r="Y1832" s="12">
        <f>IF(OR(LEFT(K1832,4)="LVAX",LEFT(K1832,6)="MV15AX",LEFT(K1832,4)="CTAX",LEFT(K1832,2)="W|"),2*N1832*O1832,0)</f>
        <v/>
      </c>
      <c r="Z1832" s="12" t="inlineStr">
        <is>
          <t>VD 0.8 %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6" t="n">
        <v>258</v>
      </c>
      <c r="U1836" s="16" t="n">
        <v>32</v>
      </c>
      <c r="V1836" s="16">
        <f>ROUNDUP((T1836+U1836+2*'Read Me'!$B$13)*(1+'Read Me'!$B$12),-1)</f>
        <v/>
      </c>
      <c r="W1836" s="16">
        <f>V1836*N1836*O1836</f>
        <v/>
      </c>
      <c r="X1836" s="12">
        <f>IF(LEFT(I1836,2)="MV",2*N1836*IF(L1836="1/C",O1836,1),0)</f>
        <v/>
      </c>
      <c r="Y1836" s="12">
        <f>IF(OR(LEFT(K1836,4)="LVAX",LEFT(K1836,6)="MV15AX",LEFT(K1836,4)="CTAX",LEFT(K1836,2)="W|"),2*N1836*O1836,0)</f>
        <v/>
      </c>
      <c r="Z1836" s="12" t="inlineStr">
        <is>
          <t>VD 3.0 %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6" t="n">
        <v>0</v>
      </c>
      <c r="U1837" s="16" t="n">
        <v>86</v>
      </c>
      <c r="V1837" s="16">
        <f>ROUNDUP((T1837+U1837+2*'Read Me'!$B$13)*(1+'Read Me'!$B$12),-1)</f>
        <v/>
      </c>
      <c r="W1837" s="16">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97</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6" t="n">
        <v>0</v>
      </c>
      <c r="U1855" s="16" t="n">
        <v>71</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63</v>
      </c>
      <c r="U1861" s="16" t="n">
        <v>41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85</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LV|3/C+G|8</t>
        </is>
      </c>
      <c r="L1873" s="12" t="inlineStr">
        <is>
          <t>3/C+G</t>
        </is>
      </c>
      <c r="M1873" s="12" t="inlineStr">
        <is>
          <t>8</t>
        </is>
      </c>
      <c r="N1873" s="12" t="n">
        <v>1</v>
      </c>
      <c r="O1873" s="12" t="n">
        <v>1</v>
      </c>
      <c r="P1873" s="12" t="n">
        <v>480</v>
      </c>
      <c r="Q1873" s="12" t="n">
        <v>15</v>
      </c>
      <c r="R1873" s="12" t="n">
        <v>21.2</v>
      </c>
      <c r="S1873" s="12" t="inlineStr">
        <is>
          <t>Tray</t>
        </is>
      </c>
      <c r="T1873" s="16" t="n">
        <v>256</v>
      </c>
      <c r="U1873" s="16" t="n">
        <v>145</v>
      </c>
      <c r="V1873" s="16">
        <f>ROUNDUP((T1873+U1873+2*'Read Me'!$B$13)*(1+'Read Me'!$B$12),-1)</f>
        <v/>
      </c>
      <c r="W1873" s="16">
        <f>V1873*N1873*O1873</f>
        <v/>
      </c>
      <c r="X1873" s="12">
        <f>IF(LEFT(I1873,2)="MV",2*N1873*IF(L1873="1/C",O1873,1),0)</f>
        <v/>
      </c>
      <c r="Y1873" s="12">
        <f>IF(OR(LEFT(K1873,4)="LVAX",LEFT(K1873,6)="MV15AX",LEFT(K1873,4)="CTAX",LEFT(K1873,2)="W|"),2*N1873*O1873,0)</f>
        <v/>
      </c>
      <c r="Z1873" s="12" t="inlineStr">
        <is>
          <t>VD 2.6 %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6" t="n">
        <v>436</v>
      </c>
      <c r="U1874" s="16" t="n">
        <v>125</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6" t="n">
        <v>604</v>
      </c>
      <c r="U1875" s="16" t="n">
        <v>133</v>
      </c>
      <c r="V1875" s="16">
        <f>ROUNDUP((T1875+U1875+2*'Read Me'!$B$13)*(1+'Read Me'!$B$12),-1)</f>
        <v/>
      </c>
      <c r="W1875" s="16">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6" t="n">
        <v>408</v>
      </c>
      <c r="U1876" s="16" t="n">
        <v>183</v>
      </c>
      <c r="V1876" s="16">
        <f>ROUNDUP((T1876+U1876+2*'Read Me'!$B$13)*(1+'Read Me'!$B$12),-1)</f>
        <v/>
      </c>
      <c r="W1876" s="16">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6" t="n">
        <v>506</v>
      </c>
      <c r="U1877" s="16" t="n">
        <v>136</v>
      </c>
      <c r="V1877" s="16">
        <f>ROUNDUP((T1877+U1877+2*'Read Me'!$B$13)*(1+'Read Me'!$B$12),-1)</f>
        <v/>
      </c>
      <c r="W1877" s="16">
        <f>V1877*N1877*O1877</f>
        <v/>
      </c>
      <c r="X1877" s="12">
        <f>IF(LEFT(I1877,2)="MV",2*N1877*IF(L1877="1/C",O1877,1),0)</f>
        <v/>
      </c>
      <c r="Y1877" s="12">
        <f>IF(OR(LEFT(K1877,4)="LVAX",LEFT(K1877,6)="MV15AX",LEFT(K1877,4)="CTAX",LEFT(K1877,2)="W|"),2*N1877*O1877,0)</f>
        <v/>
      </c>
      <c r="Z1877" s="12" t="inlineStr">
        <is>
          <t>VD 3.0 %</t>
        </is>
      </c>
      <c r="AA1877" s="12">
        <f>N1877*O1877</f>
        <v/>
      </c>
    </row>
    <row r="1878">
      <c r="A1878" s="12" t="inlineStr">
        <is>
          <t>A-P-0511</t>
        </is>
      </c>
      <c r="B1878" s="12" t="inlineStr">
        <is>
          <t>A</t>
        </is>
      </c>
      <c r="C1878" s="12" t="inlineStr">
        <is>
          <t>Power block</t>
        </is>
      </c>
      <c r="D1878" s="12" t="inlineStr">
        <is>
          <t>Motor 1 of 6, 2 kW</t>
        </is>
      </c>
      <c r="E1878" s="12" t="inlineStr">
        <is>
          <t>R2A</t>
        </is>
      </c>
      <c r="F1878" s="12" t="inlineStr">
        <is>
          <t>R2A: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566</v>
      </c>
      <c r="U1878" s="16" t="n">
        <v>158</v>
      </c>
      <c r="V1878" s="16">
        <f>ROUNDUP((T1878+U1878+2*'Read Me'!$B$13)*(1+'Read Me'!$B$12),-1)</f>
        <v/>
      </c>
      <c r="W1878" s="16">
        <f>V1878*N1878*O1878</f>
        <v/>
      </c>
      <c r="X1878" s="12">
        <f>IF(LEFT(I1878,2)="MV",2*N1878*IF(L1878="1/C",O1878,1),0)</f>
        <v/>
      </c>
      <c r="Y1878" s="12">
        <f>IF(OR(LEFT(K1878,4)="LVAX",LEFT(K1878,6)="MV15AX",LEFT(K1878,4)="CTAX",LEFT(K1878,2)="W|"),2*N1878*O1878,0)</f>
        <v/>
      </c>
      <c r="Z1878" s="12" t="inlineStr">
        <is>
          <t>VD 1.0 %</t>
        </is>
      </c>
      <c r="AA1878" s="12">
        <f>N1878*O1878</f>
        <v/>
      </c>
    </row>
    <row r="1879">
      <c r="A1879" s="12" t="inlineStr">
        <is>
          <t>A-P-0512</t>
        </is>
      </c>
      <c r="B1879" s="12" t="inlineStr">
        <is>
          <t>A</t>
        </is>
      </c>
      <c r="C1879" s="12" t="inlineStr">
        <is>
          <t>Power block</t>
        </is>
      </c>
      <c r="D1879" s="12" t="inlineStr">
        <is>
          <t>Motor 2 of 6, 2 kW</t>
        </is>
      </c>
      <c r="E1879" s="12" t="inlineStr">
        <is>
          <t>R2A</t>
        </is>
      </c>
      <c r="F1879" s="12" t="inlineStr">
        <is>
          <t>R2A: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566</v>
      </c>
      <c r="U1879" s="16" t="n">
        <v>158</v>
      </c>
      <c r="V1879" s="16">
        <f>ROUNDUP((T1879+U1879+2*'Read Me'!$B$13)*(1+'Read Me'!$B$12),-1)</f>
        <v/>
      </c>
      <c r="W1879" s="16">
        <f>V1879*N1879*O1879</f>
        <v/>
      </c>
      <c r="X1879" s="12">
        <f>IF(LEFT(I1879,2)="MV",2*N1879*IF(L1879="1/C",O1879,1),0)</f>
        <v/>
      </c>
      <c r="Y1879" s="12">
        <f>IF(OR(LEFT(K1879,4)="LVAX",LEFT(K1879,6)="MV15AX",LEFT(K1879,4)="CTAX",LEFT(K1879,2)="W|"),2*N1879*O1879,0)</f>
        <v/>
      </c>
      <c r="Z1879" s="12" t="inlineStr">
        <is>
          <t>VD 1.0 %</t>
        </is>
      </c>
      <c r="AA1879" s="12">
        <f>N1879*O1879</f>
        <v/>
      </c>
    </row>
    <row r="1880">
      <c r="A1880" s="12" t="inlineStr">
        <is>
          <t>A-P-0513</t>
        </is>
      </c>
      <c r="B1880" s="12" t="inlineStr">
        <is>
          <t>A</t>
        </is>
      </c>
      <c r="C1880" s="12" t="inlineStr">
        <is>
          <t>Power block</t>
        </is>
      </c>
      <c r="D1880" s="12" t="inlineStr">
        <is>
          <t>Motor 3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A-P-0514</t>
        </is>
      </c>
      <c r="B1881" s="12" t="inlineStr">
        <is>
          <t>A</t>
        </is>
      </c>
      <c r="C1881" s="12" t="inlineStr">
        <is>
          <t>Power block</t>
        </is>
      </c>
      <c r="D1881" s="12" t="inlineStr">
        <is>
          <t>Motor 4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A-P-0515</t>
        </is>
      </c>
      <c r="B1882" s="12" t="inlineStr">
        <is>
          <t>A</t>
        </is>
      </c>
      <c r="C1882" s="12" t="inlineStr">
        <is>
          <t>Power block</t>
        </is>
      </c>
      <c r="D1882" s="12" t="inlineStr">
        <is>
          <t>Motor 5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A-P-0516</t>
        </is>
      </c>
      <c r="B1883" s="12" t="inlineStr">
        <is>
          <t>A</t>
        </is>
      </c>
      <c r="C1883" s="12" t="inlineStr">
        <is>
          <t>Power block</t>
        </is>
      </c>
      <c r="D1883" s="12" t="inlineStr">
        <is>
          <t>Motor 6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A-P-0517</t>
        </is>
      </c>
      <c r="B1884" s="12" t="inlineStr">
        <is>
          <t>A</t>
        </is>
      </c>
      <c r="C1884" s="12" t="inlineStr">
        <is>
          <t>Power block</t>
        </is>
      </c>
      <c r="D1884" s="12" t="inlineStr">
        <is>
          <t>Motor 1 of 6, 2 kW</t>
        </is>
      </c>
      <c r="E1884" s="12" t="inlineStr">
        <is>
          <t>R2B</t>
        </is>
      </c>
      <c r="F1884" s="12" t="inlineStr">
        <is>
          <t>R2B: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Duct bank</t>
        </is>
      </c>
      <c r="T1884" s="16" t="n">
        <v>1423</v>
      </c>
      <c r="U1884" s="16" t="n">
        <v>96</v>
      </c>
      <c r="V1884" s="16">
        <f>ROUNDUP((T1884+U1884+2*'Read Me'!$B$13)*(1+'Read Me'!$B$12),-1)</f>
        <v/>
      </c>
      <c r="W1884" s="16">
        <f>V1884*N1884*O1884</f>
        <v/>
      </c>
      <c r="X1884" s="12">
        <f>IF(LEFT(I1884,2)="MV",2*N1884*IF(L1884="1/C",O1884,1),0)</f>
        <v/>
      </c>
      <c r="Y1884" s="12">
        <f>IF(OR(LEFT(K1884,4)="LVAX",LEFT(K1884,6)="MV15AX",LEFT(K1884,4)="CTAX",LEFT(K1884,2)="W|"),2*N1884*O1884,0)</f>
        <v/>
      </c>
      <c r="Z1884" s="12" t="inlineStr">
        <is>
          <t>VD 2.1 %</t>
        </is>
      </c>
      <c r="AA1884" s="12">
        <f>N1884*O1884</f>
        <v/>
      </c>
    </row>
    <row r="1885">
      <c r="A1885" s="12" t="inlineStr">
        <is>
          <t>A-P-0518</t>
        </is>
      </c>
      <c r="B1885" s="12" t="inlineStr">
        <is>
          <t>A</t>
        </is>
      </c>
      <c r="C1885" s="12" t="inlineStr">
        <is>
          <t>Power block</t>
        </is>
      </c>
      <c r="D1885" s="12" t="inlineStr">
        <is>
          <t>Motor 2 of 6, 2 kW</t>
        </is>
      </c>
      <c r="E1885" s="12" t="inlineStr">
        <is>
          <t>R2B</t>
        </is>
      </c>
      <c r="F1885" s="12" t="inlineStr">
        <is>
          <t>R2B: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Duct bank</t>
        </is>
      </c>
      <c r="T1885" s="16" t="n">
        <v>1423</v>
      </c>
      <c r="U1885" s="16" t="n">
        <v>96</v>
      </c>
      <c r="V1885" s="16">
        <f>ROUNDUP((T1885+U1885+2*'Read Me'!$B$13)*(1+'Read Me'!$B$12),-1)</f>
        <v/>
      </c>
      <c r="W1885" s="16">
        <f>V1885*N1885*O1885</f>
        <v/>
      </c>
      <c r="X1885" s="12">
        <f>IF(LEFT(I1885,2)="MV",2*N1885*IF(L1885="1/C",O1885,1),0)</f>
        <v/>
      </c>
      <c r="Y1885" s="12">
        <f>IF(OR(LEFT(K1885,4)="LVAX",LEFT(K1885,6)="MV15AX",LEFT(K1885,4)="CTAX",LEFT(K1885,2)="W|"),2*N1885*O1885,0)</f>
        <v/>
      </c>
      <c r="Z1885" s="12" t="inlineStr">
        <is>
          <t>VD 2.1 %</t>
        </is>
      </c>
      <c r="AA1885" s="12">
        <f>N1885*O1885</f>
        <v/>
      </c>
    </row>
    <row r="1886">
      <c r="A1886" s="12" t="inlineStr">
        <is>
          <t>A-P-0519</t>
        </is>
      </c>
      <c r="B1886" s="12" t="inlineStr">
        <is>
          <t>A</t>
        </is>
      </c>
      <c r="C1886" s="12" t="inlineStr">
        <is>
          <t>Power block</t>
        </is>
      </c>
      <c r="D1886" s="12" t="inlineStr">
        <is>
          <t>Motor 3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A-P-0520</t>
        </is>
      </c>
      <c r="B1887" s="12" t="inlineStr">
        <is>
          <t>A</t>
        </is>
      </c>
      <c r="C1887" s="12" t="inlineStr">
        <is>
          <t>Power block</t>
        </is>
      </c>
      <c r="D1887" s="12" t="inlineStr">
        <is>
          <t>Motor 4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A-P-0521</t>
        </is>
      </c>
      <c r="B1888" s="12" t="inlineStr">
        <is>
          <t>A</t>
        </is>
      </c>
      <c r="C1888" s="12" t="inlineStr">
        <is>
          <t>Power block</t>
        </is>
      </c>
      <c r="D1888" s="12" t="inlineStr">
        <is>
          <t>Motor 5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A-P-0522</t>
        </is>
      </c>
      <c r="B1889" s="12" t="inlineStr">
        <is>
          <t>A</t>
        </is>
      </c>
      <c r="C1889" s="12" t="inlineStr">
        <is>
          <t>Power block</t>
        </is>
      </c>
      <c r="D1889" s="12" t="inlineStr">
        <is>
          <t>Motor 6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A-P-0523</t>
        </is>
      </c>
      <c r="B1890" s="12" t="inlineStr">
        <is>
          <t>A</t>
        </is>
      </c>
      <c r="C1890" s="12" t="inlineStr">
        <is>
          <t>Power block</t>
        </is>
      </c>
      <c r="D1890" s="12" t="inlineStr">
        <is>
          <t>Motor 1 of 6, 2 kW</t>
        </is>
      </c>
      <c r="E1890" s="12" t="inlineStr">
        <is>
          <t>R2C</t>
        </is>
      </c>
      <c r="F1890" s="12" t="inlineStr">
        <is>
          <t>R2C: unit / HRSG electrical e-house (32 x 40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1103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1.6 %</t>
        </is>
      </c>
      <c r="AA1890" s="12">
        <f>N1890*O1890</f>
        <v/>
      </c>
    </row>
    <row r="1891">
      <c r="A1891" s="12" t="inlineStr">
        <is>
          <t>A-P-0524</t>
        </is>
      </c>
      <c r="B1891" s="12" t="inlineStr">
        <is>
          <t>A</t>
        </is>
      </c>
      <c r="C1891" s="12" t="inlineStr">
        <is>
          <t>Power block</t>
        </is>
      </c>
      <c r="D1891" s="12" t="inlineStr">
        <is>
          <t>Motor 2 of 6, 2 kW</t>
        </is>
      </c>
      <c r="E1891" s="12" t="inlineStr">
        <is>
          <t>R2C</t>
        </is>
      </c>
      <c r="F1891" s="12" t="inlineStr">
        <is>
          <t>R2C: unit / HRSG electrical e-house (32 x 40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1103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1.6 %</t>
        </is>
      </c>
      <c r="AA1891" s="12">
        <f>N1891*O1891</f>
        <v/>
      </c>
    </row>
    <row r="1892">
      <c r="A1892" s="12" t="inlineStr">
        <is>
          <t>A-P-0525</t>
        </is>
      </c>
      <c r="B1892" s="12" t="inlineStr">
        <is>
          <t>A</t>
        </is>
      </c>
      <c r="C1892" s="12" t="inlineStr">
        <is>
          <t>Power block</t>
        </is>
      </c>
      <c r="D1892" s="12" t="inlineStr">
        <is>
          <t>Motor 3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A-P-0526</t>
        </is>
      </c>
      <c r="B1893" s="12" t="inlineStr">
        <is>
          <t>A</t>
        </is>
      </c>
      <c r="C1893" s="12" t="inlineStr">
        <is>
          <t>Power block</t>
        </is>
      </c>
      <c r="D1893" s="12" t="inlineStr">
        <is>
          <t>Motor 4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A-P-0527</t>
        </is>
      </c>
      <c r="B1894" s="12" t="inlineStr">
        <is>
          <t>A</t>
        </is>
      </c>
      <c r="C1894" s="12" t="inlineStr">
        <is>
          <t>Power block</t>
        </is>
      </c>
      <c r="D1894" s="12" t="inlineStr">
        <is>
          <t>Motor 5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A-P-0528</t>
        </is>
      </c>
      <c r="B1895" s="12" t="inlineStr">
        <is>
          <t>A</t>
        </is>
      </c>
      <c r="C1895" s="12" t="inlineStr">
        <is>
          <t>Power block</t>
        </is>
      </c>
      <c r="D1895" s="12" t="inlineStr">
        <is>
          <t>Motor 6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LVAX|3/C+G|6</t>
        </is>
      </c>
      <c r="L1896" s="12" t="inlineStr">
        <is>
          <t>3/C+G</t>
        </is>
      </c>
      <c r="M1896" s="12" t="inlineStr">
        <is>
          <t>6</t>
        </is>
      </c>
      <c r="N1896" s="12" t="n">
        <v>1</v>
      </c>
      <c r="O1896" s="12" t="n">
        <v>1</v>
      </c>
      <c r="P1896" s="12" t="n">
        <v>480</v>
      </c>
      <c r="Q1896" s="12" t="n">
        <v>22</v>
      </c>
      <c r="R1896" s="12" t="n">
        <v>31.1</v>
      </c>
      <c r="S1896" s="12" t="inlineStr">
        <is>
          <t>Tray</t>
        </is>
      </c>
      <c r="T1896" s="16" t="n">
        <v>261</v>
      </c>
      <c r="U1896" s="16" t="n">
        <v>145</v>
      </c>
      <c r="V1896" s="16">
        <f>ROUNDUP((T1896+U1896+2*'Read Me'!$B$13)*(1+'Read Me'!$B$12),-1)</f>
        <v/>
      </c>
      <c r="W1896" s="16">
        <f>V1896*N1896*O1896</f>
        <v/>
      </c>
      <c r="X1896" s="12">
        <f>IF(LEFT(I1896,2)="MV",2*N1896*IF(L1896="1/C",O1896,1),0)</f>
        <v/>
      </c>
      <c r="Y1896" s="12">
        <f>IF(OR(LEFT(K1896,4)="LVAX",LEFT(K1896,6)="MV15AX",LEFT(K1896,4)="CTAX",LEFT(K1896,2)="W|"),2*N1896*O1896,0)</f>
        <v/>
      </c>
      <c r="Z1896" s="12" t="inlineStr">
        <is>
          <t>VD 2.5 %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LVAX|3/C+G|6</t>
        </is>
      </c>
      <c r="L1897" s="12" t="inlineStr">
        <is>
          <t>3/C+G</t>
        </is>
      </c>
      <c r="M1897" s="12" t="inlineStr">
        <is>
          <t>6</t>
        </is>
      </c>
      <c r="N1897" s="12" t="n">
        <v>1</v>
      </c>
      <c r="O1897" s="12" t="n">
        <v>1</v>
      </c>
      <c r="P1897" s="12" t="n">
        <v>480</v>
      </c>
      <c r="Q1897" s="12" t="n">
        <v>22</v>
      </c>
      <c r="R1897" s="12" t="n">
        <v>31.1</v>
      </c>
      <c r="S1897" s="12" t="inlineStr">
        <is>
          <t>Tray</t>
        </is>
      </c>
      <c r="T1897" s="16" t="n">
        <v>261</v>
      </c>
      <c r="U1897" s="16" t="n">
        <v>145</v>
      </c>
      <c r="V1897" s="16">
        <f>ROUNDUP((T1897+U1897+2*'Read Me'!$B$13)*(1+'Read Me'!$B$12),-1)</f>
        <v/>
      </c>
      <c r="W1897" s="16">
        <f>V1897*N1897*O1897</f>
        <v/>
      </c>
      <c r="X1897" s="12">
        <f>IF(LEFT(I1897,2)="MV",2*N1897*IF(L1897="1/C",O1897,1),0)</f>
        <v/>
      </c>
      <c r="Y1897" s="12">
        <f>IF(OR(LEFT(K1897,4)="LVAX",LEFT(K1897,6)="MV15AX",LEFT(K1897,4)="CTAX",LEFT(K1897,2)="W|"),2*N1897*O1897,0)</f>
        <v/>
      </c>
      <c r="Z1897" s="12" t="inlineStr">
        <is>
          <t>VD 2.5 %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6" t="n">
        <v>441</v>
      </c>
      <c r="U1898" s="16" t="n">
        <v>125</v>
      </c>
      <c r="V1898" s="16">
        <f>ROUNDUP((T1898+U1898+2*'Read Me'!$B$13)*(1+'Read Me'!$B$12),-1)</f>
        <v/>
      </c>
      <c r="W1898" s="16">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6" t="n">
        <v>441</v>
      </c>
      <c r="U1899" s="16" t="n">
        <v>125</v>
      </c>
      <c r="V1899" s="16">
        <f>ROUNDUP((T1899+U1899+2*'Read Me'!$B$13)*(1+'Read Me'!$B$12),-1)</f>
        <v/>
      </c>
      <c r="W1899" s="16">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609</v>
      </c>
      <c r="U1900" s="16" t="n">
        <v>133</v>
      </c>
      <c r="V1900" s="16">
        <f>ROUNDUP((T1900+U1900+2*'Read Me'!$B$13)*(1+'Read Me'!$B$12),-1)</f>
        <v/>
      </c>
      <c r="W1900" s="16">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609</v>
      </c>
      <c r="U1901" s="16" t="n">
        <v>133</v>
      </c>
      <c r="V1901" s="16">
        <f>ROUNDUP((T1901+U1901+2*'Read Me'!$B$13)*(1+'Read Me'!$B$12),-1)</f>
        <v/>
      </c>
      <c r="W1901" s="16">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6" t="n">
        <v>1041</v>
      </c>
      <c r="U1902" s="16" t="n">
        <v>206</v>
      </c>
      <c r="V1902" s="16">
        <f>ROUNDUP((T1902+U1902+2*'Read Me'!$B$13)*(1+'Read Me'!$B$12),-1)</f>
        <v/>
      </c>
      <c r="W1902" s="16">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6" t="n">
        <v>1041</v>
      </c>
      <c r="U1903" s="16" t="n">
        <v>206</v>
      </c>
      <c r="V1903" s="16">
        <f>ROUNDUP((T1903+U1903+2*'Read Me'!$B$13)*(1+'Read Me'!$B$12),-1)</f>
        <v/>
      </c>
      <c r="W1903" s="16">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673</v>
      </c>
      <c r="U1904" s="16" t="n">
        <v>130</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673</v>
      </c>
      <c r="U1905" s="16" t="n">
        <v>130</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823</v>
      </c>
      <c r="U1906" s="16" t="n">
        <v>112</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823</v>
      </c>
      <c r="U1907" s="16" t="n">
        <v>112</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6" t="n">
        <v>620</v>
      </c>
      <c r="U1908" s="16" t="n">
        <v>130</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6" t="n">
        <v>67</v>
      </c>
      <c r="U1909" s="16" t="n">
        <v>58</v>
      </c>
      <c r="V1909" s="16">
        <f>ROUNDUP((T1909+U1909+2*'Read Me'!$B$13)*(1+'Read Me'!$B$12),-1)</f>
        <v/>
      </c>
      <c r="W1909" s="16">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6" t="n">
        <v>644</v>
      </c>
      <c r="U1910" s="16" t="n">
        <v>170</v>
      </c>
      <c r="V1910" s="16">
        <f>ROUNDUP((T1910+U1910+2*'Read Me'!$B$13)*(1+'Read Me'!$B$12),-1)</f>
        <v/>
      </c>
      <c r="W1910" s="16">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6" t="n">
        <v>804</v>
      </c>
      <c r="U1911" s="16" t="n">
        <v>215</v>
      </c>
      <c r="V1911" s="16">
        <f>ROUNDUP((T1911+U1911+2*'Read Me'!$B$13)*(1+'Read Me'!$B$12),-1)</f>
        <v/>
      </c>
      <c r="W1911" s="16">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976</v>
      </c>
      <c r="U1912" s="16" t="n">
        <v>124</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Duct bank</t>
        </is>
      </c>
      <c r="T1913" s="16" t="n">
        <v>82</v>
      </c>
      <c r="U1913" s="16" t="n">
        <v>79</v>
      </c>
      <c r="V1913" s="16">
        <f>ROUNDUP((T1913+U1913+2*'Read Me'!$B$13)*(1+'Read Me'!$B$12),-1)</f>
        <v/>
      </c>
      <c r="W1913" s="16">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Tray</t>
        </is>
      </c>
      <c r="T1914" s="16" t="n">
        <v>0</v>
      </c>
      <c r="U1914" s="16" t="n">
        <v>126</v>
      </c>
      <c r="V1914" s="16">
        <f>ROUNDUP((T1914+U1914+2*'Read Me'!$B$13)*(1+'Read Me'!$B$12),-1)</f>
        <v/>
      </c>
      <c r="W1914" s="16">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16</v>
      </c>
      <c r="U1915" s="16" t="n">
        <v>56</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6" t="n">
        <v>104</v>
      </c>
      <c r="U1916" s="16" t="n">
        <v>72</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6" t="n">
        <v>523</v>
      </c>
      <c r="U1917" s="16" t="n">
        <v>130</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671</v>
      </c>
      <c r="U1918" s="16" t="n">
        <v>112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6" t="n">
        <v>897</v>
      </c>
      <c r="U1919" s="16" t="n">
        <v>249</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6" t="n">
        <v>632</v>
      </c>
      <c r="U1920" s="16" t="n">
        <v>130</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6" t="n">
        <v>101</v>
      </c>
      <c r="U1921" s="16" t="n">
        <v>36</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Duct bank</t>
        </is>
      </c>
      <c r="T1922" s="16" t="n">
        <v>21</v>
      </c>
      <c r="U1922" s="16" t="n">
        <v>38</v>
      </c>
      <c r="V1922" s="16">
        <f>ROUNDUP((T1922+U1922+2*'Read Me'!$B$13)*(1+'Read Me'!$B$12),-1)</f>
        <v/>
      </c>
      <c r="W1922" s="16">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Duct bank</t>
        </is>
      </c>
      <c r="T1923" s="16" t="n">
        <v>21</v>
      </c>
      <c r="U1923" s="16" t="n">
        <v>38</v>
      </c>
      <c r="V1923" s="16">
        <f>ROUNDUP((T1923+U1923+2*'Read Me'!$B$13)*(1+'Read Me'!$B$12),-1)</f>
        <v/>
      </c>
      <c r="W1923" s="16">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6" t="n">
        <v>644</v>
      </c>
      <c r="U1925" s="16" t="n">
        <v>134</v>
      </c>
      <c r="V1925" s="16">
        <f>ROUNDUP((T1925+U1925+2*'Read Me'!$B$13)*(1+'Read Me'!$B$12),-1)</f>
        <v/>
      </c>
      <c r="W1925" s="16">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6" t="n">
        <v>85</v>
      </c>
      <c r="U1926" s="16" t="n">
        <v>79</v>
      </c>
      <c r="V1926" s="16">
        <f>ROUNDUP((T1926+U1926+2*'Read Me'!$B$13)*(1+'Read Me'!$B$12),-1)</f>
        <v/>
      </c>
      <c r="W1926" s="16">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6" t="n">
        <v>11520</v>
      </c>
      <c r="U1927" s="16" t="n">
        <v>0</v>
      </c>
      <c r="V1927" s="16">
        <f>ROUNDUP((T1927+U1927+2*'Read Me'!$B$13)*(1+'Read Me'!$B$12),-1)</f>
        <v/>
      </c>
      <c r="W1927" s="16">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6" t="n">
        <v>389</v>
      </c>
      <c r="U1928" s="16" t="n">
        <v>44</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6" t="n">
        <v>357</v>
      </c>
      <c r="U1929" s="16" t="n">
        <v>44</v>
      </c>
      <c r="V1929" s="16">
        <f>ROUNDUP((T1929+U1929+2*'Read Me'!$B$13)*(1+'Read Me'!$B$12),-1)</f>
        <v/>
      </c>
      <c r="W1929" s="16">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325</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293</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261</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261</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293</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325</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357</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389</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339</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307</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275</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243</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211</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211</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243</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275</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307</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339</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289</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257</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225</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193</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161</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161</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193</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225</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257</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289</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239</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207</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175</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143</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111</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111</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143</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175</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207</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239</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239</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207</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175</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143</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111</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111</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143</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175</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207</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239</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289</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257</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225</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193</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161</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161</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193</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225</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257</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289</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339</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307</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275</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243</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211</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211</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243</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275</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307</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339</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389</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357</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325</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293</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261</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261</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293</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325</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357</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389</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6" t="n">
        <v>0</v>
      </c>
      <c r="U2008" s="16" t="n">
        <v>52</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6" t="n">
        <v>0</v>
      </c>
      <c r="U2009" s="16" t="n">
        <v>52</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655</v>
      </c>
      <c r="U2038" s="16" t="n">
        <v>211</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655</v>
      </c>
      <c r="U2039" s="16" t="n">
        <v>211</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664</v>
      </c>
      <c r="U2050" s="16" t="n">
        <v>175</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664</v>
      </c>
      <c r="U2051" s="16" t="n">
        <v>175</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18</v>
      </c>
      <c r="U2052" s="16" t="n">
        <v>81</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6" t="n">
        <v>18</v>
      </c>
      <c r="U2053" s="16" t="n">
        <v>81</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0</v>
      </c>
      <c r="U2056" s="16" t="n">
        <v>91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6" t="n">
        <v>0</v>
      </c>
      <c r="U2057" s="16" t="n">
        <v>91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0</v>
      </c>
      <c r="U2060" s="16" t="n">
        <v>73</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73</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0</v>
      </c>
      <c r="U2064" s="16" t="n">
        <v>61</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61</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0</v>
      </c>
      <c r="U2068" s="16" t="n">
        <v>46</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0</v>
      </c>
      <c r="U2069" s="16" t="n">
        <v>46</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6" t="n">
        <v>160</v>
      </c>
      <c r="U2076" s="16" t="n">
        <v>64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6" t="n">
        <v>160</v>
      </c>
      <c r="U2077" s="16" t="n">
        <v>64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186</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186</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215</v>
      </c>
      <c r="U2088" s="16" t="n">
        <v>51</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215</v>
      </c>
      <c r="U2089" s="16" t="n">
        <v>51</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209</v>
      </c>
      <c r="U2094" s="16" t="n">
        <v>77</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209</v>
      </c>
      <c r="U2095" s="16" t="n">
        <v>77</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520</v>
      </c>
      <c r="U2100" s="16" t="n">
        <v>99</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520</v>
      </c>
      <c r="U2101" s="16" t="n">
        <v>99</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6" t="n">
        <v>1408</v>
      </c>
      <c r="U2102" s="16" t="n">
        <v>57</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6" t="n">
        <v>0</v>
      </c>
      <c r="U2103" s="16" t="n">
        <v>54</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6" t="n">
        <v>0</v>
      </c>
      <c r="U2104" s="16" t="n">
        <v>46</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6" t="n">
        <v>250</v>
      </c>
      <c r="U2105" s="16" t="n">
        <v>10</v>
      </c>
      <c r="V2105" s="16">
        <f>ROUNDUP((T2105+U2105+2*'Read Me'!$B$13)*(1+'Read Me'!$B$12),-1)</f>
        <v/>
      </c>
      <c r="W2105" s="16">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6" t="n">
        <v>0</v>
      </c>
      <c r="U2106" s="16" t="n">
        <v>44</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6" t="n">
        <v>110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667</v>
      </c>
      <c r="U2132" s="16" t="n">
        <v>203</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6" t="n">
        <v>53</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676</v>
      </c>
      <c r="U2138" s="16" t="n">
        <v>167</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6" t="n">
        <v>55</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532</v>
      </c>
      <c r="U2142" s="16" t="n">
        <v>135</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6" t="n">
        <v>66</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6" t="n">
        <v>410</v>
      </c>
      <c r="U2150" s="16" t="n">
        <v>105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6" t="n">
        <v>18</v>
      </c>
      <c r="U2153" s="16" t="n">
        <v>81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6" t="n">
        <v>0</v>
      </c>
      <c r="U2154" s="16" t="n">
        <v>91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0</v>
      </c>
      <c r="U2155" s="16" t="n">
        <v>73</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61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6" t="n">
        <v>42</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6" t="n">
        <v>159</v>
      </c>
      <c r="U2158" s="16" t="n">
        <v>56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185</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214</v>
      </c>
      <c r="U2166" s="16" t="n">
        <v>43</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208</v>
      </c>
      <c r="U2170" s="16" t="n">
        <v>69</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6" t="n">
        <v>53</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532</v>
      </c>
      <c r="U2174" s="16" t="n">
        <v>91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6" t="n">
        <v>389</v>
      </c>
      <c r="U2177" s="16" t="n">
        <v>44</v>
      </c>
      <c r="V2177" s="16">
        <f>ROUNDUP((T2177+U2177+2*'Read Me'!$B$13)*(1+'Read Me'!$B$12),-1)</f>
        <v/>
      </c>
      <c r="W2177" s="16">
        <f>V2177*N2177*O2177</f>
        <v/>
      </c>
      <c r="X2177" s="12">
        <f>IF(LEFT(I2177,2)="MV",2*N2177*IF(L2177="1/C",O2177,1),0)</f>
        <v/>
      </c>
      <c r="Y2177" s="12">
        <f>IF(OR(LEFT(K2177,4)="LVAX",LEFT(K2177,6)="MV15AX",LEFT(K2177,4)="CTAX",LEFT(K2177,2)="W|"),2*N2177*O2177,0)</f>
        <v/>
      </c>
      <c r="Z2177" s="12" t="inlineStr">
        <is>
          <t>VD 1.3 %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6" t="n">
        <v>357</v>
      </c>
      <c r="U2178" s="16" t="n">
        <v>44</v>
      </c>
      <c r="V2178" s="16">
        <f>ROUNDUP((T2178+U2178+2*'Read Me'!$B$13)*(1+'Read Me'!$B$12),-1)</f>
        <v/>
      </c>
      <c r="W2178" s="16">
        <f>V2178*N2178*O2178</f>
        <v/>
      </c>
      <c r="X2178" s="12">
        <f>IF(LEFT(I2178,2)="MV",2*N2178*IF(L2178="1/C",O2178,1),0)</f>
        <v/>
      </c>
      <c r="Y2178" s="12">
        <f>IF(OR(LEFT(K2178,4)="LVAX",LEFT(K2178,6)="MV15AX",LEFT(K2178,4)="CTAX",LEFT(K2178,2)="W|"),2*N2178*O2178,0)</f>
        <v/>
      </c>
      <c r="Z2178" s="12" t="inlineStr">
        <is>
          <t>VD 1.2 %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325</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1.1 %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293</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1.0 %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261</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0.9 %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261</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0.9 %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293</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1.0 %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325</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1.1 %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357</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1.2 %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389</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1.3 %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339</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307</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1.1 %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275</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1.0 %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243</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0.9 %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211</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0.8 %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211</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0.8 %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243</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0.9 %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275</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1.0 %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307</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1.1 %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339</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1.2 %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289</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1.0 %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257</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0.9 %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225</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0.8 %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193</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0.7 %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161</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0.6 %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161</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0.6 %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193</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0.7 %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225</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0.8 %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257</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0.9 %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289</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1.0 %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239</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207</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0.8 %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175</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0.7 %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143</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0.6 %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111</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0.5 %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111</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0.5 %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143</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0.6 %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175</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0.7 %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207</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0.8 %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239</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0.9 %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239</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0.9 %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207</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0.8 %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175</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0.7 %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143</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0.6 %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111</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0.5 %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111</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0.5 %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143</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0.6 %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175</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0.7 %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207</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0.8 %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239</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0.9 %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289</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1.0 %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257</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225</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0.8 %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193</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0.7 %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161</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0.6 %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161</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0.6 %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193</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0.7 %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225</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0.8 %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257</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0.9 %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289</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1.0 %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339</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1.2 %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307</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1.1 %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275</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1.0 %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243</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0.9 %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211</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0.8 %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211</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0.8 %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243</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0.9 %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275</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1.0 %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307</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1.1 %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339</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1.2 %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389</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1.3 %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357</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325</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1.1 %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293</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1.0 %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261</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0.9 %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261</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0.9 %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293</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1.0 %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325</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1.1 %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357</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1.2 %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389</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1.3 %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6" t="n">
        <v>0</v>
      </c>
      <c r="U2257" s="16" t="n">
        <v>52</v>
      </c>
      <c r="V2257" s="16">
        <f>ROUNDUP((T2257+U2257+2*'Read Me'!$B$13)*(1+'Read Me'!$B$12),-1)</f>
        <v/>
      </c>
      <c r="W2257" s="16">
        <f>V2257*N2257*O2257</f>
        <v/>
      </c>
      <c r="X2257" s="12">
        <f>IF(LEFT(I2257,2)="MV",2*N2257*IF(L2257="1/C",O2257,1),0)</f>
        <v/>
      </c>
      <c r="Y2257" s="12">
        <f>IF(OR(LEFT(K2257,4)="LVAX",LEFT(K2257,6)="MV15AX",LEFT(K2257,4)="CTAX",LEFT(K2257,2)="W|"),2*N2257*O2257,0)</f>
        <v/>
      </c>
      <c r="Z2257" s="12" t="inlineStr">
        <is>
          <t>VD 0.1 %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6" t="n">
        <v>0</v>
      </c>
      <c r="U2258" s="16" t="n">
        <v>52</v>
      </c>
      <c r="V2258" s="16">
        <f>ROUNDUP((T2258+U2258+2*'Read Me'!$B$13)*(1+'Read Me'!$B$12),-1)</f>
        <v/>
      </c>
      <c r="W2258" s="16">
        <f>V2258*N2258*O2258</f>
        <v/>
      </c>
      <c r="X2258" s="12">
        <f>IF(LEFT(I2258,2)="MV",2*N2258*IF(L2258="1/C",O2258,1),0)</f>
        <v/>
      </c>
      <c r="Y2258" s="12">
        <f>IF(OR(LEFT(K2258,4)="LVAX",LEFT(K2258,6)="MV15AX",LEFT(K2258,4)="CTAX",LEFT(K2258,2)="W|"),2*N2258*O2258,0)</f>
        <v/>
      </c>
      <c r="Z2258" s="12" t="inlineStr">
        <is>
          <t>VD 0.1 %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6" t="n">
        <v>300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6" t="n">
        <v>300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6" t="n">
        <v>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VD 0.3 %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6" t="n">
        <v>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VD 0.3 %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6" t="n">
        <v>765</v>
      </c>
      <c r="U2298" s="16" t="n">
        <v>211</v>
      </c>
      <c r="V2298" s="16">
        <f>ROUNDUP((T2298+U2298+2*'Read Me'!$B$13)*(1+'Read Me'!$B$12),-1)</f>
        <v/>
      </c>
      <c r="W2298" s="16">
        <f>V2298*N2298*O2298</f>
        <v/>
      </c>
      <c r="X2298" s="12">
        <f>IF(LEFT(I2298,2)="MV",2*N2298*IF(L2298="1/C",O2298,1),0)</f>
        <v/>
      </c>
      <c r="Y2298" s="12">
        <f>IF(OR(LEFT(K2298,4)="LVAX",LEFT(K2298,6)="MV15AX",LEFT(K2298,4)="CTAX",LEFT(K2298,2)="W|"),2*N2298*O2298,0)</f>
        <v/>
      </c>
      <c r="Z2298" s="12" t="inlineStr">
        <is>
          <t>VD 2.3 %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6" t="n">
        <v>765</v>
      </c>
      <c r="U2299" s="16" t="n">
        <v>211</v>
      </c>
      <c r="V2299" s="16">
        <f>ROUNDUP((T2299+U2299+2*'Read Me'!$B$13)*(1+'Read Me'!$B$12),-1)</f>
        <v/>
      </c>
      <c r="W2299" s="16">
        <f>V2299*N2299*O2299</f>
        <v/>
      </c>
      <c r="X2299" s="12">
        <f>IF(LEFT(I2299,2)="MV",2*N2299*IF(L2299="1/C",O2299,1),0)</f>
        <v/>
      </c>
      <c r="Y2299" s="12">
        <f>IF(OR(LEFT(K2299,4)="LVAX",LEFT(K2299,6)="MV15AX",LEFT(K2299,4)="CTAX",LEFT(K2299,2)="W|"),2*N2299*O2299,0)</f>
        <v/>
      </c>
      <c r="Z2299" s="12" t="inlineStr">
        <is>
          <t>VD 2.3 %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6" t="n">
        <v>664</v>
      </c>
      <c r="U2310" s="16" t="n">
        <v>175</v>
      </c>
      <c r="V2310" s="16">
        <f>ROUNDUP((T2310+U2310+2*'Read Me'!$B$13)*(1+'Read Me'!$B$12),-1)</f>
        <v/>
      </c>
      <c r="W2310" s="16">
        <f>V2310*N2310*O2310</f>
        <v/>
      </c>
      <c r="X2310" s="12">
        <f>IF(LEFT(I2310,2)="MV",2*N2310*IF(L2310="1/C",O2310,1),0)</f>
        <v/>
      </c>
      <c r="Y2310" s="12">
        <f>IF(OR(LEFT(K2310,4)="LVAX",LEFT(K2310,6)="MV15AX",LEFT(K2310,4)="CTAX",LEFT(K2310,2)="W|"),2*N2310*O2310,0)</f>
        <v/>
      </c>
      <c r="Z2310" s="12" t="inlineStr">
        <is>
          <t>VD 2.6 %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6" t="n">
        <v>664</v>
      </c>
      <c r="U2311" s="16" t="n">
        <v>175</v>
      </c>
      <c r="V2311" s="16">
        <f>ROUNDUP((T2311+U2311+2*'Read Me'!$B$13)*(1+'Read Me'!$B$12),-1)</f>
        <v/>
      </c>
      <c r="W2311" s="16">
        <f>V2311*N2311*O2311</f>
        <v/>
      </c>
      <c r="X2311" s="12">
        <f>IF(LEFT(I2311,2)="MV",2*N2311*IF(L2311="1/C",O2311,1),0)</f>
        <v/>
      </c>
      <c r="Y2311" s="12">
        <f>IF(OR(LEFT(K2311,4)="LVAX",LEFT(K2311,6)="MV15AX",LEFT(K2311,4)="CTAX",LEFT(K2311,2)="W|"),2*N2311*O2311,0)</f>
        <v/>
      </c>
      <c r="Z2311" s="12" t="inlineStr">
        <is>
          <t>VD 2.6 %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6" t="n">
        <v>398</v>
      </c>
      <c r="U2312" s="16" t="n">
        <v>113</v>
      </c>
      <c r="V2312" s="16">
        <f>ROUNDUP((T2312+U2312+2*'Read Me'!$B$13)*(1+'Read Me'!$B$12),-1)</f>
        <v/>
      </c>
      <c r="W2312" s="16">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6" t="n">
        <v>0</v>
      </c>
      <c r="U2313" s="16" t="n">
        <v>54</v>
      </c>
      <c r="V2313" s="16">
        <f>ROUNDUP((T2313+U2313+2*'Read Me'!$B$13)*(1+'Read Me'!$B$12),-1)</f>
        <v/>
      </c>
      <c r="W2313" s="16">
        <f>V2313*N2313*O2313</f>
        <v/>
      </c>
      <c r="X2313" s="12">
        <f>IF(LEFT(I2313,2)="MV",2*N2313*IF(L2313="1/C",O2313,1),0)</f>
        <v/>
      </c>
      <c r="Y2313" s="12">
        <f>IF(OR(LEFT(K2313,4)="LVAX",LEFT(K2313,6)="MV15AX",LEFT(K2313,4)="CTAX",LEFT(K2313,2)="W|"),2*N2313*O2313,0)</f>
        <v/>
      </c>
      <c r="Z2313" s="12" t="inlineStr">
        <is>
          <t>VD 0.3 %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6" t="n">
        <v>160</v>
      </c>
      <c r="U2314" s="16" t="n">
        <v>64</v>
      </c>
      <c r="V2314" s="16">
        <f>ROUNDUP((T2314+U2314+2*'Read Me'!$B$13)*(1+'Read Me'!$B$12),-1)</f>
        <v/>
      </c>
      <c r="W2314" s="16">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6" t="n">
        <v>160</v>
      </c>
      <c r="U2315" s="16" t="n">
        <v>64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186</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186</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215</v>
      </c>
      <c r="U2326" s="16" t="n">
        <v>51</v>
      </c>
      <c r="V2326" s="16">
        <f>ROUNDUP((T2326+U2326+2*'Read Me'!$B$13)*(1+'Read Me'!$B$12),-1)</f>
        <v/>
      </c>
      <c r="W2326" s="16">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215</v>
      </c>
      <c r="U2327" s="16" t="n">
        <v>51</v>
      </c>
      <c r="V2327" s="16">
        <f>ROUNDUP((T2327+U2327+2*'Read Me'!$B$13)*(1+'Read Me'!$B$12),-1)</f>
        <v/>
      </c>
      <c r="W2327" s="16">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209</v>
      </c>
      <c r="U2332" s="16" t="n">
        <v>77</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209</v>
      </c>
      <c r="U2333" s="16" t="n">
        <v>77</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6" t="n">
        <v>520</v>
      </c>
      <c r="U2338" s="16" t="n">
        <v>99</v>
      </c>
      <c r="V2338" s="16">
        <f>ROUNDUP((T2338+U2338+2*'Read Me'!$B$13)*(1+'Read Me'!$B$12),-1)</f>
        <v/>
      </c>
      <c r="W2338" s="16">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6" t="n">
        <v>520</v>
      </c>
      <c r="U2339" s="16" t="n">
        <v>99</v>
      </c>
      <c r="V2339" s="16">
        <f>ROUNDUP((T2339+U2339+2*'Read Me'!$B$13)*(1+'Read Me'!$B$12),-1)</f>
        <v/>
      </c>
      <c r="W2339" s="16">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6" t="n">
        <v>1173</v>
      </c>
      <c r="U2340" s="16" t="n">
        <v>147</v>
      </c>
      <c r="V2340" s="16">
        <f>ROUNDUP((T2340+U2340+2*'Read Me'!$B$13)*(1+'Read Me'!$B$12),-1)</f>
        <v/>
      </c>
      <c r="W2340" s="16">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6" t="n">
        <v>1228</v>
      </c>
      <c r="U2341" s="16" t="n">
        <v>163</v>
      </c>
      <c r="V2341" s="16">
        <f>ROUNDUP((T2341+U2341+2*'Read Me'!$B$13)*(1+'Read Me'!$B$12),-1)</f>
        <v/>
      </c>
      <c r="W2341" s="16">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1310</v>
      </c>
      <c r="U2342" s="16" t="n">
        <v>128</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1222</v>
      </c>
      <c r="U2343" s="16" t="n">
        <v>160</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6" t="n">
        <v>1215</v>
      </c>
      <c r="U2344" s="16" t="n">
        <v>274</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6" t="n">
        <v>855</v>
      </c>
      <c r="U2345" s="16" t="n">
        <v>155</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6" t="n">
        <v>5824</v>
      </c>
      <c r="U2347" s="16" t="n">
        <v>0</v>
      </c>
      <c r="V2347" s="16">
        <f>ROUNDUP((T2347+U2347+2*'Read Me'!$B$13)*(1+'Read Me'!$B$12),-1)</f>
        <v/>
      </c>
      <c r="W2347" s="16">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6" t="n">
        <v>274</v>
      </c>
      <c r="U2348" s="16" t="n">
        <v>40</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6" t="n">
        <v>274</v>
      </c>
      <c r="U2349" s="16" t="n">
        <v>40</v>
      </c>
      <c r="V2349" s="16">
        <f>ROUNDUP((T2349+U2349+2*'Read Me'!$B$13)*(1+'Read Me'!$B$12),-1)</f>
        <v/>
      </c>
      <c r="W2349" s="16">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Trench</t>
        </is>
      </c>
      <c r="T2355" s="16" t="n">
        <v>274</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Trench</t>
        </is>
      </c>
      <c r="T2356" s="16" t="n">
        <v>274</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Trench</t>
        </is>
      </c>
      <c r="T2362" s="16" t="n">
        <v>274</v>
      </c>
      <c r="U2362" s="16" t="n">
        <v>92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Trench</t>
        </is>
      </c>
      <c r="T2363" s="16" t="n">
        <v>274</v>
      </c>
      <c r="U2363" s="16" t="n">
        <v>92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Trench</t>
        </is>
      </c>
      <c r="T2369" s="16" t="n">
        <v>474</v>
      </c>
      <c r="U2369" s="16" t="n">
        <v>40</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Trench</t>
        </is>
      </c>
      <c r="T2370" s="16" t="n">
        <v>474</v>
      </c>
      <c r="U2370" s="16" t="n">
        <v>40</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Trench</t>
        </is>
      </c>
      <c r="T2376" s="16" t="n">
        <v>474</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Trench</t>
        </is>
      </c>
      <c r="T2377" s="16" t="n">
        <v>474</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Trench</t>
        </is>
      </c>
      <c r="T2383" s="16" t="n">
        <v>474</v>
      </c>
      <c r="U2383" s="16" t="n">
        <v>92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Trench</t>
        </is>
      </c>
      <c r="T2384" s="16" t="n">
        <v>474</v>
      </c>
      <c r="U2384" s="16" t="n">
        <v>92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6" t="n">
        <v>674</v>
      </c>
      <c r="U2390" s="16" t="n">
        <v>40</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6" t="n">
        <v>674</v>
      </c>
      <c r="U2391" s="16" t="n">
        <v>40</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6" t="n">
        <v>674</v>
      </c>
      <c r="U2397" s="16" t="n">
        <v>52</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6" t="n">
        <v>674</v>
      </c>
      <c r="U2398" s="16" t="n">
        <v>52</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Trench</t>
        </is>
      </c>
      <c r="T2404" s="16" t="n">
        <v>674</v>
      </c>
      <c r="U2404" s="16" t="n">
        <v>92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Trench</t>
        </is>
      </c>
      <c r="T2405" s="16" t="n">
        <v>674</v>
      </c>
      <c r="U2405" s="16" t="n">
        <v>92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Trench</t>
        </is>
      </c>
      <c r="T2411" s="16" t="n">
        <v>1294</v>
      </c>
      <c r="U2411" s="16" t="n">
        <v>40</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Trench</t>
        </is>
      </c>
      <c r="T2412" s="16" t="n">
        <v>1294</v>
      </c>
      <c r="U2412" s="16" t="n">
        <v>40</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Trench</t>
        </is>
      </c>
      <c r="T2418" s="16" t="n">
        <v>1294</v>
      </c>
      <c r="U2418" s="16" t="n">
        <v>52</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Trench</t>
        </is>
      </c>
      <c r="T2419" s="16" t="n">
        <v>1294</v>
      </c>
      <c r="U2419" s="16" t="n">
        <v>52</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Trench</t>
        </is>
      </c>
      <c r="T2425" s="16" t="n">
        <v>1340</v>
      </c>
      <c r="U2425" s="16" t="n">
        <v>46</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Trench</t>
        </is>
      </c>
      <c r="T2426" s="16" t="n">
        <v>1340</v>
      </c>
      <c r="U2426" s="16" t="n">
        <v>46</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1434</v>
      </c>
      <c r="U2432" s="16" t="n">
        <v>40</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1434</v>
      </c>
      <c r="U2433" s="16" t="n">
        <v>40</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1434</v>
      </c>
      <c r="U2439" s="16" t="n">
        <v>52</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Trench</t>
        </is>
      </c>
      <c r="T2440" s="16" t="n">
        <v>1434</v>
      </c>
      <c r="U2440" s="16" t="n">
        <v>52</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1434</v>
      </c>
      <c r="U2446" s="16" t="n">
        <v>92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Trench</t>
        </is>
      </c>
      <c r="T2447" s="16" t="n">
        <v>1434</v>
      </c>
      <c r="U2447" s="16" t="n">
        <v>92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1584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1584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1584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1584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1584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1584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6" t="n">
        <v>0</v>
      </c>
      <c r="U2474" s="16" t="n">
        <v>30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6" t="n">
        <v>809</v>
      </c>
      <c r="U2475" s="16" t="n">
        <v>32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1138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6" t="n">
        <v>68280</v>
      </c>
      <c r="U2477" s="16" t="n">
        <v>0</v>
      </c>
      <c r="V2477" s="16">
        <f>ROUNDUP((T2477+U2477+2*'Read Me'!$B$13)*(1+'Read Me'!$B$12),-1)</f>
        <v/>
      </c>
      <c r="W2477" s="16">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6" t="n">
        <v>68700</v>
      </c>
      <c r="U2478" s="16" t="n">
        <v>0</v>
      </c>
      <c r="V2478" s="16">
        <f>ROUNDUP((T2478+U2478+2*'Read Me'!$B$13)*(1+'Read Me'!$B$12),-1)</f>
        <v/>
      </c>
      <c r="W2478" s="16">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6" t="n">
        <v>182</v>
      </c>
      <c r="U2479" s="16" t="n">
        <v>80</v>
      </c>
      <c r="V2479" s="16">
        <f>ROUNDUP((T2479+U2479+2*'Read Me'!$B$13)*(1+'Read Me'!$B$12),-1)</f>
        <v/>
      </c>
      <c r="W2479" s="16">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6" t="n">
        <v>1486</v>
      </c>
      <c r="U2480" s="16" t="n">
        <v>80</v>
      </c>
      <c r="V2480" s="16">
        <f>ROUNDUP((T2480+U2480+2*'Read Me'!$B$13)*(1+'Read Me'!$B$12),-1)</f>
        <v/>
      </c>
      <c r="W2480" s="16">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1536</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1720</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12</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6" t="n">
        <v>52</v>
      </c>
      <c r="U2485" s="16" t="n">
        <v>10</v>
      </c>
      <c r="V2485" s="16">
        <f>ROUNDUP((T2485+U2485+2*'Read Me'!$B$13)*(1+'Read Me'!$B$12),-1)</f>
        <v/>
      </c>
      <c r="W2485" s="16">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6" t="n">
        <v>274</v>
      </c>
      <c r="U2486" s="16" t="n">
        <v>40</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474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52</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92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674</v>
      </c>
      <c r="U2510" s="16" t="n">
        <v>40</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52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92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1294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1340</v>
      </c>
      <c r="U2530" s="16" t="n">
        <v>46</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1434</v>
      </c>
      <c r="U2534" s="16" t="n">
        <v>40</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52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92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6" t="n">
        <v>77</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91</v>
      </c>
      <c r="U2558" s="16" t="n">
        <v>285</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55</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226</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77</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526</v>
      </c>
      <c r="U2562" s="16" t="n">
        <v>86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55</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474</v>
      </c>
      <c r="U2564" s="16" t="n">
        <v>78</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6" t="n">
        <v>900</v>
      </c>
      <c r="U2565" s="16" t="n">
        <v>30</v>
      </c>
      <c r="V2565" s="16">
        <f>ROUNDUP((T2565+U2565+2*'Read Me'!$B$13)*(1+'Read Me'!$B$12),-1)</f>
        <v/>
      </c>
      <c r="W2565" s="16">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6" t="n">
        <v>900</v>
      </c>
      <c r="U2566" s="16" t="n">
        <v>30</v>
      </c>
      <c r="V2566" s="16">
        <f>ROUNDUP((T2566+U2566+2*'Read Me'!$B$13)*(1+'Read Me'!$B$12),-1)</f>
        <v/>
      </c>
      <c r="W2566" s="16">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6" t="n">
        <v>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6" t="n">
        <v>115</v>
      </c>
      <c r="U2570" s="16" t="n">
        <v>0</v>
      </c>
      <c r="V2570" s="16">
        <f>ROUNDUP((T2570+U2570+2*'Read Me'!$B$13)*(1+'Read Me'!$B$12),-1)</f>
        <v/>
      </c>
      <c r="W2570" s="16">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6" t="n">
        <v>115</v>
      </c>
      <c r="U2571" s="16" t="n">
        <v>0</v>
      </c>
      <c r="V2571" s="16">
        <f>ROUNDUP((T2571+U2571+2*'Read Me'!$B$13)*(1+'Read Me'!$B$12),-1)</f>
        <v/>
      </c>
      <c r="W2571" s="16">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263</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304</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324</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236</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1544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6" t="n">
        <v>65</v>
      </c>
      <c r="U2577" s="16" t="n">
        <v>132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6" t="n">
        <v>65</v>
      </c>
      <c r="U2578" s="16" t="n">
        <v>59</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42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6" t="n">
        <v>2412</v>
      </c>
      <c r="U2580" s="16" t="n">
        <v>157</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6" t="n">
        <v>2412</v>
      </c>
      <c r="U2581" s="16" t="n">
        <v>157</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6" t="n">
        <v>0</v>
      </c>
      <c r="U2586" s="16" t="n">
        <v>84</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6" t="n">
        <v>60</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6" t="n">
        <v>193</v>
      </c>
      <c r="U2588" s="16" t="n">
        <v>32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83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46</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193</v>
      </c>
      <c r="U2592" s="16" t="n">
        <v>129</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6" t="n">
        <v>0</v>
      </c>
      <c r="U2593" s="16" t="n">
        <v>32</v>
      </c>
      <c r="V2593" s="16">
        <f>ROUNDUP((T2593+U2593+2*'Read Me'!$B$13)*(1+'Read Me'!$B$12),-1)</f>
        <v/>
      </c>
      <c r="W2593" s="16">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Duct bank</t>
        </is>
      </c>
      <c r="T2594" s="16" t="n">
        <v>15</v>
      </c>
      <c r="U2594" s="16" t="n">
        <v>32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6" t="n">
        <v>134</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6" t="n">
        <v>199</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137</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154</v>
      </c>
      <c r="U2600" s="16" t="n">
        <v>67</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6" t="n">
        <v>65</v>
      </c>
      <c r="U2603" s="16" t="n">
        <v>132</v>
      </c>
      <c r="V2603" s="16">
        <f>ROUNDUP((T2603+U2603+2*'Read Me'!$B$13)*(1+'Read Me'!$B$12),-1)</f>
        <v/>
      </c>
      <c r="W2603" s="16">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6" t="n">
        <v>65</v>
      </c>
      <c r="U2604" s="16" t="n">
        <v>59</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6" t="n">
        <v>65</v>
      </c>
      <c r="U2605" s="16" t="n">
        <v>59</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42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6" t="n">
        <v>133</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6" t="n">
        <v>553</v>
      </c>
      <c r="U2608" s="16" t="n">
        <v>32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6" t="n">
        <v>0</v>
      </c>
      <c r="U2617" s="16" t="n">
        <v>84</v>
      </c>
      <c r="V2617" s="16">
        <f>ROUNDUP((T2617+U2617+2*'Read Me'!$B$13)*(1+'Read Me'!$B$12),-1)</f>
        <v/>
      </c>
      <c r="W2617" s="16">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6" t="n">
        <v>61</v>
      </c>
      <c r="U2618" s="16" t="n">
        <v>10</v>
      </c>
      <c r="V2618" s="16">
        <f>ROUNDUP((T2618+U2618+2*'Read Me'!$B$13)*(1+'Read Me'!$B$12),-1)</f>
        <v/>
      </c>
      <c r="W2618" s="16">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6" t="n">
        <v>143</v>
      </c>
      <c r="U2619" s="16" t="n">
        <v>32</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6" t="n">
        <v>64</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83</v>
      </c>
      <c r="U2623" s="16" t="n">
        <v>72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6" t="n">
        <v>60</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193</v>
      </c>
      <c r="U2627" s="16" t="n">
        <v>32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drains / -AI01: 4 x 1 pr (field cables)</t>
        </is>
      </c>
      <c r="E2630" s="12" t="inlineStr"/>
      <c r="F2630" s="12" t="inlineStr">
        <is>
          <t>Gas yard drains / condensate tank in a bund</t>
        </is>
      </c>
      <c r="G2630" s="12" t="inlineStr">
        <is>
          <t>JB-Gas yard drains / -AI01</t>
        </is>
      </c>
      <c r="H2630" s="12" t="inlineStr">
        <is>
          <t>Gas yard drains / condensate tank in a bund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4</v>
      </c>
      <c r="O2630" s="12" t="n">
        <v>1</v>
      </c>
      <c r="P2630" s="12" t="n"/>
      <c r="Q2630" s="12" t="n"/>
      <c r="R2630" s="12" t="n"/>
      <c r="S2630" s="12" t="inlineStr">
        <is>
          <t>Tray / conduit</t>
        </is>
      </c>
      <c r="T2630" s="16" t="n">
        <v>56</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drains / -AI01 to the control / marshalling room</t>
        </is>
      </c>
      <c r="E2631" s="12" t="inlineStr"/>
      <c r="F2631" s="12" t="inlineStr">
        <is>
          <t>Gas yard local control enclosure</t>
        </is>
      </c>
      <c r="G2631" s="12" t="inlineStr">
        <is>
          <t>JB-Gas yard drains / -AI01</t>
        </is>
      </c>
      <c r="H2631" s="12" t="inlineStr">
        <is>
          <t>Gas yard drains / condensate tank in a bund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4</v>
      </c>
      <c r="U2631" s="16" t="n">
        <v>114</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drains / -DI01: 4 x 1 pr (field cables)</t>
        </is>
      </c>
      <c r="E2632" s="12" t="inlineStr"/>
      <c r="F2632" s="12" t="inlineStr">
        <is>
          <t>Gas yard drains / condensate tank in a bund</t>
        </is>
      </c>
      <c r="G2632" s="12" t="inlineStr">
        <is>
          <t>JB-Gas yard drains / -DI01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drains / -DI01 to the control / marshalling room</t>
        </is>
      </c>
      <c r="E2633" s="12" t="inlineStr"/>
      <c r="F2633" s="12" t="inlineStr">
        <is>
          <t>Gas yard local control enclosure</t>
        </is>
      </c>
      <c r="G2633" s="12" t="inlineStr">
        <is>
          <t>JB-Gas yard drains / -DI01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Analog instrument to JB JB-Gas yard filter-se-AI01: 8 x 1 pr (field cables)</t>
        </is>
      </c>
      <c r="E2634" s="12" t="inlineStr"/>
      <c r="F2634" s="12" t="inlineStr">
        <is>
          <t>Gas yard filter-separators</t>
        </is>
      </c>
      <c r="G2634" s="12" t="inlineStr">
        <is>
          <t>JB-Gas yard filter-se-AI01</t>
        </is>
      </c>
      <c r="H2634" s="12" t="inlineStr">
        <is>
          <t>Gas yard filter-separators</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6" t="n">
        <v>60</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filter-se-AI01 to the control / marshalling room</t>
        </is>
      </c>
      <c r="E2635" s="12" t="inlineStr"/>
      <c r="F2635" s="12" t="inlineStr">
        <is>
          <t>Gas yard local control enclosure</t>
        </is>
      </c>
      <c r="G2635" s="12" t="inlineStr">
        <is>
          <t>JB-Gas yard filter-se-AI01</t>
        </is>
      </c>
      <c r="H2635" s="12" t="inlineStr">
        <is>
          <t>Gas yard filter-separators</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83</v>
      </c>
      <c r="U2635" s="16" t="n">
        <v>32</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Discrete device to JB JB-Gas yard filter-se-DI01: 12 x 1 pr (field cables)</t>
        </is>
      </c>
      <c r="E2636" s="12" t="inlineStr"/>
      <c r="F2636" s="12" t="inlineStr">
        <is>
          <t>Gas yard filter-separators</t>
        </is>
      </c>
      <c r="G2636" s="12" t="inlineStr">
        <is>
          <t>JB-Gas yard filter-se-DI01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12</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D-I-0043</t>
        </is>
      </c>
      <c r="B2637" s="12" t="inlineStr">
        <is>
          <t>D</t>
        </is>
      </c>
      <c r="C2637" s="12" t="inlineStr">
        <is>
          <t>Fuel gas</t>
        </is>
      </c>
      <c r="D2637" s="12" t="inlineStr">
        <is>
          <t>Home run JB-Gas yard filter-se-DI01 to the control / marshalling room</t>
        </is>
      </c>
      <c r="E2637" s="12" t="inlineStr"/>
      <c r="F2637" s="12" t="inlineStr">
        <is>
          <t>Gas yard local control enclosure</t>
        </is>
      </c>
      <c r="G2637" s="12" t="inlineStr">
        <is>
          <t>JB-Gas yard filter-se-DI01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D-I-0044</t>
        </is>
      </c>
      <c r="B2638" s="12" t="inlineStr">
        <is>
          <t>D</t>
        </is>
      </c>
      <c r="C2638" s="12" t="inlineStr">
        <is>
          <t>Fuel gas</t>
        </is>
      </c>
      <c r="D2638" s="12" t="inlineStr">
        <is>
          <t>Discrete device to JB JB-Gas yard inlet: ES-DI01: 8 x 1 pr (field cables)</t>
        </is>
      </c>
      <c r="E2638" s="12" t="inlineStr"/>
      <c r="F2638" s="12" t="inlineStr">
        <is>
          <t>Gas yard inlet: ESD valve, block valve and insulating joint</t>
        </is>
      </c>
      <c r="G2638" s="12" t="inlineStr">
        <is>
          <t>JB-Gas yard inlet: ES-DI01</t>
        </is>
      </c>
      <c r="H2638" s="12" t="inlineStr">
        <is>
          <t>Gas yard inlet: ESD valve, block valve and insulating joint</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8</v>
      </c>
      <c r="O2638" s="12" t="n">
        <v>1</v>
      </c>
      <c r="P2638" s="12" t="n"/>
      <c r="Q2638" s="12" t="n"/>
      <c r="R2638" s="12" t="n"/>
      <c r="S2638" s="12" t="inlineStr">
        <is>
          <t>Tray / conduit</t>
        </is>
      </c>
      <c r="T2638" s="16" t="n">
        <v>46</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D-I-0045</t>
        </is>
      </c>
      <c r="B2639" s="12" t="inlineStr">
        <is>
          <t>D</t>
        </is>
      </c>
      <c r="C2639" s="12" t="inlineStr">
        <is>
          <t>Fuel gas</t>
        </is>
      </c>
      <c r="D2639" s="12" t="inlineStr">
        <is>
          <t>Home run JB-Gas yard inlet: ES-DI01 to the control / marshalling room</t>
        </is>
      </c>
      <c r="E2639" s="12" t="inlineStr"/>
      <c r="F2639" s="12" t="inlineStr">
        <is>
          <t>Gas yard local control enclosure</t>
        </is>
      </c>
      <c r="G2639" s="12" t="inlineStr">
        <is>
          <t>JB-Gas yard inlet: ES-DI01</t>
        </is>
      </c>
      <c r="H2639" s="12" t="inlineStr">
        <is>
          <t>Gas yard inlet: ESD valve, block valve and insulating joint</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193</v>
      </c>
      <c r="U2639" s="16" t="n">
        <v>129</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D-I-0046</t>
        </is>
      </c>
      <c r="B2640" s="12" t="inlineStr">
        <is>
          <t>D</t>
        </is>
      </c>
      <c r="C2640" s="12" t="inlineStr">
        <is>
          <t>Fuel gas</t>
        </is>
      </c>
      <c r="D2640" s="12" t="inlineStr">
        <is>
          <t>Instrumentation</t>
        </is>
      </c>
      <c r="E2640" s="12" t="inlineStr"/>
      <c r="F2640" s="12" t="inlineStr">
        <is>
          <t>Gas yard local control enclosure</t>
        </is>
      </c>
      <c r="G2640" s="12" t="inlineStr"/>
      <c r="H2640" s="12" t="inlineStr">
        <is>
          <t>Gas yard local control enclosure</t>
        </is>
      </c>
      <c r="I2640" s="12" t="inlineStr">
        <is>
          <t>Instrumentation</t>
        </is>
      </c>
      <c r="J2640" s="12" t="inlineStr">
        <is>
          <t>Instrumentation ITC / PLTC, IS, #18 shielded pairs, blue jacket</t>
        </is>
      </c>
      <c r="K2640" s="12" t="inlineStr">
        <is>
          <t>ITC|4 pr|18</t>
        </is>
      </c>
      <c r="L2640" s="12" t="inlineStr">
        <is>
          <t>4 pr</t>
        </is>
      </c>
      <c r="M2640" s="12" t="inlineStr">
        <is>
          <t>18</t>
        </is>
      </c>
      <c r="N2640" s="12" t="n">
        <v>1</v>
      </c>
      <c r="O2640" s="12" t="n">
        <v>1</v>
      </c>
      <c r="P2640" s="12" t="n"/>
      <c r="Q2640" s="12" t="n"/>
      <c r="R2640" s="12" t="n"/>
      <c r="S2640" s="12" t="inlineStr">
        <is>
          <t>Tray</t>
        </is>
      </c>
      <c r="T2640" s="16" t="n">
        <v>0</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D-P-0001</t>
        </is>
      </c>
      <c r="B2641" s="12" t="inlineStr">
        <is>
          <t>D</t>
        </is>
      </c>
      <c r="C2641" s="12" t="inlineStr">
        <is>
          <t>Fuel gas</t>
        </is>
      </c>
      <c r="D2641" s="12" t="inlineStr">
        <is>
          <t>LV power feeder</t>
        </is>
      </c>
      <c r="E2641" s="12" t="inlineStr">
        <is>
          <t>MCC-C1</t>
        </is>
      </c>
      <c r="F2641" s="12" t="inlineStr">
        <is>
          <t>R1 MCC-C1</t>
        </is>
      </c>
      <c r="G2641" s="12" t="inlineStr"/>
      <c r="H2641" s="12" t="inlineStr">
        <is>
          <t>CONDITIONAL: ULSD backup fuel-oil tank</t>
        </is>
      </c>
      <c r="I2641" s="12" t="inlineStr">
        <is>
          <t>LV 600 V</t>
        </is>
      </c>
      <c r="J2641" s="12" t="inlineStr">
        <is>
          <t>ARMOR-X MC-HL 600 V 3/C Cu XHHW-2 + ground, CWA, black PVC (Class I Div 2)</t>
        </is>
      </c>
      <c r="K2641" s="12" t="inlineStr">
        <is>
          <t>LVAX|3/C+G|2</t>
        </is>
      </c>
      <c r="L2641" s="12" t="inlineStr">
        <is>
          <t>3/C+G</t>
        </is>
      </c>
      <c r="M2641" s="12" t="inlineStr">
        <is>
          <t>2</t>
        </is>
      </c>
      <c r="N2641" s="12" t="n">
        <v>1</v>
      </c>
      <c r="O2641" s="12" t="n">
        <v>1</v>
      </c>
      <c r="P2641" s="12" t="n">
        <v>480</v>
      </c>
      <c r="Q2641" s="12" t="n">
        <v>10</v>
      </c>
      <c r="R2641" s="12" t="n">
        <v>14.2</v>
      </c>
      <c r="S2641" s="12" t="inlineStr">
        <is>
          <t>Duct bank</t>
        </is>
      </c>
      <c r="T2641" s="16" t="n">
        <v>1902</v>
      </c>
      <c r="U2641" s="16" t="n">
        <v>157</v>
      </c>
      <c r="V2641" s="16">
        <f>ROUNDUP((T2641+U2641+2*'Read Me'!$B$13)*(1+'Read Me'!$B$12),-1)</f>
        <v/>
      </c>
      <c r="W2641" s="16">
        <f>V2641*N2641*O2641</f>
        <v/>
      </c>
      <c r="X2641" s="12">
        <f>IF(LEFT(I2641,2)="MV",2*N2641*IF(L2641="1/C",O2641,1),0)</f>
        <v/>
      </c>
      <c r="Y2641" s="12">
        <f>IF(OR(LEFT(K2641,4)="LVAX",LEFT(K2641,6)="MV15AX",LEFT(K2641,4)="CTAX",LEFT(K2641,2)="W|"),2*N2641*O2641,0)</f>
        <v/>
      </c>
      <c r="Z2641" s="12" t="inlineStr">
        <is>
          <t>VD 2.2 %</t>
        </is>
      </c>
      <c r="AA2641" s="12">
        <f>N2641*O2641</f>
        <v/>
      </c>
    </row>
    <row r="2642">
      <c r="A2642" s="12" t="inlineStr">
        <is>
          <t>D-P-0002</t>
        </is>
      </c>
      <c r="B2642" s="12" t="inlineStr">
        <is>
          <t>D</t>
        </is>
      </c>
      <c r="C2642" s="12" t="inlineStr">
        <is>
          <t>Fuel gas</t>
        </is>
      </c>
      <c r="D2642" s="12" t="inlineStr">
        <is>
          <t>LV power feeder</t>
        </is>
      </c>
      <c r="E2642" s="12" t="inlineStr">
        <is>
          <t>MCC-C1</t>
        </is>
      </c>
      <c r="F2642" s="12" t="inlineStr">
        <is>
          <t>R1 MCC-C1</t>
        </is>
      </c>
      <c r="G2642" s="12" t="inlineStr"/>
      <c r="H2642" s="12" t="inlineStr">
        <is>
          <t>CONDITIONAL: ULSD truck unloading station (canopy, spill containment)</t>
        </is>
      </c>
      <c r="I2642" s="12" t="inlineStr">
        <is>
          <t>LV 600 V</t>
        </is>
      </c>
      <c r="J2642" s="12" t="inlineStr">
        <is>
          <t>ARMOR-X MC-HL 600 V 3/C Cu XHHW-2 + ground, CWA, black PVC (Class I Div 2)</t>
        </is>
      </c>
      <c r="K2642" s="12" t="inlineStr">
        <is>
          <t>LVAX|3/C+G|1</t>
        </is>
      </c>
      <c r="L2642" s="12" t="inlineStr">
        <is>
          <t>3/C+G</t>
        </is>
      </c>
      <c r="M2642" s="12" t="inlineStr">
        <is>
          <t>1</t>
        </is>
      </c>
      <c r="N2642" s="12" t="n">
        <v>1</v>
      </c>
      <c r="O2642" s="12" t="n">
        <v>1</v>
      </c>
      <c r="P2642" s="12" t="n">
        <v>480</v>
      </c>
      <c r="Q2642" s="12" t="n">
        <v>15</v>
      </c>
      <c r="R2642" s="12" t="n">
        <v>21.2</v>
      </c>
      <c r="S2642" s="12" t="inlineStr">
        <is>
          <t>Tray</t>
        </is>
      </c>
      <c r="T2642" s="16" t="n">
        <v>1768</v>
      </c>
      <c r="U2642" s="16" t="n">
        <v>257</v>
      </c>
      <c r="V2642" s="16">
        <f>ROUNDUP((T2642+U2642+2*'Read Me'!$B$13)*(1+'Read Me'!$B$12),-1)</f>
        <v/>
      </c>
      <c r="W2642" s="16">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D-P-0003</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unloading and forwarding pumps, duplex filters</t>
        </is>
      </c>
      <c r="I2643" s="12" t="inlineStr">
        <is>
          <t>LV 600 V</t>
        </is>
      </c>
      <c r="J2643" s="12" t="inlineStr">
        <is>
          <t>ARMOR-X MC-HL 600 V 3/C Cu XHHW-2 + ground, CWA, black PVC (Class I Div 2)</t>
        </is>
      </c>
      <c r="K2643" s="12" t="inlineStr">
        <is>
          <t>LVAX|3/C+G|350</t>
        </is>
      </c>
      <c r="L2643" s="12" t="inlineStr">
        <is>
          <t>3/C+G</t>
        </is>
      </c>
      <c r="M2643" s="12" t="inlineStr">
        <is>
          <t>350 kcmil</t>
        </is>
      </c>
      <c r="N2643" s="12" t="n">
        <v>2</v>
      </c>
      <c r="O2643" s="12" t="n">
        <v>1</v>
      </c>
      <c r="P2643" s="12" t="n">
        <v>480</v>
      </c>
      <c r="Q2643" s="12" t="n">
        <v>110</v>
      </c>
      <c r="R2643" s="12" t="n">
        <v>155.7</v>
      </c>
      <c r="S2643" s="12" t="inlineStr">
        <is>
          <t>Tray</t>
        </is>
      </c>
      <c r="T2643" s="16" t="n">
        <v>1768</v>
      </c>
      <c r="U2643" s="16" t="n">
        <v>184</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D-P-0004</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backup fuel oil (ULSD) unloading and forwarding area</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167</v>
      </c>
      <c r="V2644" s="16">
        <f>ROUNDUP((T2644+U2644+2*'Read Me'!$B$13)*(1+'Read Me'!$B$12),-1)</f>
        <v/>
      </c>
      <c r="W2644" s="16">
        <f>V2644*N2644*O2644</f>
        <v/>
      </c>
      <c r="X2644" s="12">
        <f>IF(LEFT(I2644,2)="MV",2*N2644*IF(L2644="1/C",O2644,1),0)</f>
        <v/>
      </c>
      <c r="Y2644" s="12">
        <f>IF(OR(LEFT(K2644,4)="LVAX",LEFT(K2644,6)="MV15AX",LEFT(K2644,4)="CTAX",LEFT(K2644,2)="W|"),2*N2644*O2644,0)</f>
        <v/>
      </c>
      <c r="Z2644" s="12" t="inlineStr">
        <is>
          <t>VD 2.5 %</t>
        </is>
      </c>
      <c r="AA2644" s="12">
        <f>N2644*O2644</f>
        <v/>
      </c>
    </row>
    <row r="2645">
      <c r="A2645" s="12" t="inlineStr">
        <is>
          <t>D-P-0005</t>
        </is>
      </c>
      <c r="B2645" s="12" t="inlineStr">
        <is>
          <t>D</t>
        </is>
      </c>
      <c r="C2645" s="12" t="inlineStr">
        <is>
          <t>Fuel gas</t>
        </is>
      </c>
      <c r="D2645" s="12" t="inlineStr">
        <is>
          <t>Motor 1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6" t="n">
        <v>2412</v>
      </c>
      <c r="U2645" s="16" t="n">
        <v>157</v>
      </c>
      <c r="V2645" s="16">
        <f>ROUNDUP((T2645+U2645+2*'Read Me'!$B$13)*(1+'Read Me'!$B$12),-1)</f>
        <v/>
      </c>
      <c r="W2645" s="16">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D-P-0006</t>
        </is>
      </c>
      <c r="B2646" s="12" t="inlineStr">
        <is>
          <t>D</t>
        </is>
      </c>
      <c r="C2646" s="12" t="inlineStr">
        <is>
          <t>Fuel gas</t>
        </is>
      </c>
      <c r="D2646" s="12" t="inlineStr">
        <is>
          <t>Motor 2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6" t="n">
        <v>2412</v>
      </c>
      <c r="U2646" s="16" t="n">
        <v>157</v>
      </c>
      <c r="V2646" s="16">
        <f>ROUNDUP((T2646+U2646+2*'Read Me'!$B$13)*(1+'Read Me'!$B$12),-1)</f>
        <v/>
      </c>
      <c r="W2646" s="16">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D-P-0007</t>
        </is>
      </c>
      <c r="B2647" s="12" t="inlineStr">
        <is>
          <t>D</t>
        </is>
      </c>
      <c r="C2647" s="12" t="inlineStr">
        <is>
          <t>Fuel gas</t>
        </is>
      </c>
      <c r="D2647" s="12" t="inlineStr">
        <is>
          <t>Motor 3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D-P-0008</t>
        </is>
      </c>
      <c r="B2648" s="12" t="inlineStr">
        <is>
          <t>D</t>
        </is>
      </c>
      <c r="C2648" s="12" t="inlineStr">
        <is>
          <t>Fuel gas</t>
        </is>
      </c>
      <c r="D2648" s="12" t="inlineStr">
        <is>
          <t>Motor 4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D-P-0009</t>
        </is>
      </c>
      <c r="B2649" s="12" t="inlineStr">
        <is>
          <t>D</t>
        </is>
      </c>
      <c r="C2649" s="12" t="inlineStr">
        <is>
          <t>Fuel gas</t>
        </is>
      </c>
      <c r="D2649" s="12" t="inlineStr">
        <is>
          <t>Motor 5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D-P-0010</t>
        </is>
      </c>
      <c r="B2650" s="12" t="inlineStr">
        <is>
          <t>D</t>
        </is>
      </c>
      <c r="C2650" s="12" t="inlineStr">
        <is>
          <t>Fuel gas</t>
        </is>
      </c>
      <c r="D2650" s="12" t="inlineStr">
        <is>
          <t>Motor 6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D-P-0011</t>
        </is>
      </c>
      <c r="B2651" s="12" t="inlineStr">
        <is>
          <t>D</t>
        </is>
      </c>
      <c r="C2651" s="12" t="inlineStr">
        <is>
          <t>Fuel gas</t>
        </is>
      </c>
      <c r="D2651" s="12" t="inlineStr">
        <is>
          <t>Cathodic-protection rectifier supply</t>
        </is>
      </c>
      <c r="E2651" s="12" t="inlineStr">
        <is>
          <t>MCC-C1</t>
        </is>
      </c>
      <c r="F2651" s="12" t="inlineStr">
        <is>
          <t>R1 MCC-C1</t>
        </is>
      </c>
      <c r="G2651" s="12" t="inlineStr">
        <is>
          <t>CPR-1</t>
        </is>
      </c>
      <c r="H2651" s="12" t="inlineStr">
        <is>
          <t>CPR-1: cathodic-protection rectifier</t>
        </is>
      </c>
      <c r="I2651" s="12" t="inlineStr">
        <is>
          <t>LV 600 V</t>
        </is>
      </c>
      <c r="J2651" s="12" t="inlineStr">
        <is>
          <t>Type TC-ER 600 V 3/C Cu XHHW-2 + ground, PVC jacket</t>
        </is>
      </c>
      <c r="K2651" s="12" t="inlineStr">
        <is>
          <t>LV|3/C+G|2</t>
        </is>
      </c>
      <c r="L2651" s="12" t="inlineStr">
        <is>
          <t>3/C+G</t>
        </is>
      </c>
      <c r="M2651" s="12" t="inlineStr">
        <is>
          <t>2</t>
        </is>
      </c>
      <c r="N2651" s="12" t="n">
        <v>1</v>
      </c>
      <c r="O2651" s="12" t="n">
        <v>1</v>
      </c>
      <c r="P2651" s="12" t="n">
        <v>480</v>
      </c>
      <c r="Q2651" s="12" t="n">
        <v>10</v>
      </c>
      <c r="R2651" s="12" t="n">
        <v>12.7</v>
      </c>
      <c r="S2651" s="12" t="inlineStr">
        <is>
          <t>Tray</t>
        </is>
      </c>
      <c r="T2651" s="16" t="n">
        <v>1833</v>
      </c>
      <c r="U2651" s="16" t="n">
        <v>209</v>
      </c>
      <c r="V2651" s="16">
        <f>ROUNDUP((T2651+U2651+2*'Read Me'!$B$13)*(1+'Read Me'!$B$12),-1)</f>
        <v/>
      </c>
      <c r="W2651" s="16">
        <f>V2651*N2651*O2651</f>
        <v/>
      </c>
      <c r="X2651" s="12">
        <f>IF(LEFT(I2651,2)="MV",2*N2651*IF(L2651="1/C",O2651,1),0)</f>
        <v/>
      </c>
      <c r="Y2651" s="12">
        <f>IF(OR(LEFT(K2651,4)="LVAX",LEFT(K2651,6)="MV15AX",LEFT(K2651,4)="CTAX",LEFT(K2651,2)="W|"),2*N2651*O2651,0)</f>
        <v/>
      </c>
      <c r="Z2651" s="12" t="inlineStr">
        <is>
          <t>VD 2.0 %</t>
        </is>
      </c>
      <c r="AA2651" s="12">
        <f>N2651*O2651</f>
        <v/>
      </c>
    </row>
    <row r="2652">
      <c r="A2652" s="12" t="inlineStr">
        <is>
          <t>D-P-0012</t>
        </is>
      </c>
      <c r="B2652" s="12" t="inlineStr">
        <is>
          <t>D</t>
        </is>
      </c>
      <c r="C2652" s="12" t="inlineStr">
        <is>
          <t>Fuel gas</t>
        </is>
      </c>
      <c r="D2652" s="12" t="inlineStr">
        <is>
          <t>CP anode / structure leads (allowance)</t>
        </is>
      </c>
      <c r="E2652" s="12" t="inlineStr">
        <is>
          <t>CPR-1</t>
        </is>
      </c>
      <c r="F2652" s="12" t="inlineStr">
        <is>
          <t>CPR-1: cathodic-protection rectifier</t>
        </is>
      </c>
      <c r="G2652" s="12" t="inlineStr">
        <is>
          <t>CPR-1</t>
        </is>
      </c>
      <c r="H2652" s="12" t="inlineStr">
        <is>
          <t>CPR-1: cathodic-protection rectifier</t>
        </is>
      </c>
      <c r="I2652" s="12" t="inlineStr">
        <is>
          <t>LV 600 V</t>
        </is>
      </c>
      <c r="J2652" s="12" t="inlineStr">
        <is>
          <t>Type TC-ER 600 V 3/C Cu XHHW-2 + ground, PVC jacket</t>
        </is>
      </c>
      <c r="K2652" s="12" t="inlineStr">
        <is>
          <t>LV|1/C|8</t>
        </is>
      </c>
      <c r="L2652" s="12" t="inlineStr">
        <is>
          <t>1/C</t>
        </is>
      </c>
      <c r="M2652" s="12" t="inlineStr">
        <is>
          <t>8</t>
        </is>
      </c>
      <c r="N2652" s="12" t="n">
        <v>1</v>
      </c>
      <c r="O2652" s="12" t="n">
        <v>1</v>
      </c>
      <c r="P2652" s="12" t="n"/>
      <c r="Q2652" s="12" t="n"/>
      <c r="R2652" s="12" t="n"/>
      <c r="S2652" s="12" t="inlineStr">
        <is>
          <t>Buried</t>
        </is>
      </c>
      <c r="T2652" s="16" t="n">
        <v>1500</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HMWPE anode lead cable by CP vendor; allowance</t>
        </is>
      </c>
      <c r="AA2652" s="12">
        <f>N2652*O2652</f>
        <v/>
      </c>
    </row>
    <row r="2653">
      <c r="A2653" s="12" t="inlineStr">
        <is>
          <t>D-P-0013</t>
        </is>
      </c>
      <c r="B2653" s="12" t="inlineStr">
        <is>
          <t>D</t>
        </is>
      </c>
      <c r="C2653" s="12" t="inlineStr">
        <is>
          <t>Fuel gas</t>
        </is>
      </c>
      <c r="D2653" s="12" t="inlineStr">
        <is>
          <t>LV power feeder</t>
        </is>
      </c>
      <c r="E2653" s="12" t="inlineStr">
        <is>
          <t>MCC-C1</t>
        </is>
      </c>
      <c r="F2653" s="12" t="inlineStr">
        <is>
          <t>R1 MCC-C1</t>
        </is>
      </c>
      <c r="G2653" s="12" t="inlineStr"/>
      <c r="H2653" s="12" t="inlineStr">
        <is>
          <t>Fuel-gas performance heater</t>
        </is>
      </c>
      <c r="I2653" s="12" t="inlineStr">
        <is>
          <t>LV 600 V</t>
        </is>
      </c>
      <c r="J2653" s="12" t="inlineStr">
        <is>
          <t>ARMOR-X MC-HL 600 V 3/C Cu XHHW-2 + ground, CWA, black PVC (Class I Div 2)</t>
        </is>
      </c>
      <c r="K2653" s="12" t="inlineStr">
        <is>
          <t>LVAX|3/C+G|350</t>
        </is>
      </c>
      <c r="L2653" s="12" t="inlineStr">
        <is>
          <t>3/C+G</t>
        </is>
      </c>
      <c r="M2653" s="12" t="inlineStr">
        <is>
          <t>350 kcmil</t>
        </is>
      </c>
      <c r="N2653" s="12" t="n">
        <v>1</v>
      </c>
      <c r="O2653" s="12" t="n">
        <v>1</v>
      </c>
      <c r="P2653" s="12" t="n">
        <v>480</v>
      </c>
      <c r="Q2653" s="12" t="n">
        <v>60</v>
      </c>
      <c r="R2653" s="12" t="n">
        <v>84.90000000000001</v>
      </c>
      <c r="S2653" s="12" t="inlineStr">
        <is>
          <t>Tray</t>
        </is>
      </c>
      <c r="T2653" s="16" t="n">
        <v>2002</v>
      </c>
      <c r="U2653" s="16" t="n">
        <v>157</v>
      </c>
      <c r="V2653" s="16">
        <f>ROUNDUP((T2653+U2653+2*'Read Me'!$B$13)*(1+'Read Me'!$B$12),-1)</f>
        <v/>
      </c>
      <c r="W2653" s="16">
        <f>V2653*N2653*O2653</f>
        <v/>
      </c>
      <c r="X2653" s="12">
        <f>IF(LEFT(I2653,2)="MV",2*N2653*IF(L2653="1/C",O2653,1),0)</f>
        <v/>
      </c>
      <c r="Y2653" s="12">
        <f>IF(OR(LEFT(K2653,4)="LVAX",LEFT(K2653,6)="MV15AX",LEFT(K2653,4)="CTAX",LEFT(K2653,2)="W|"),2*N2653*O2653,0)</f>
        <v/>
      </c>
      <c r="Z2653" s="12" t="inlineStr">
        <is>
          <t>VD 2.7 %</t>
        </is>
      </c>
      <c r="AA2653" s="12">
        <f>N2653*O2653</f>
        <v/>
      </c>
    </row>
    <row r="2654">
      <c r="A2654" s="12" t="inlineStr">
        <is>
          <t>D-P-0014</t>
        </is>
      </c>
      <c r="B2654" s="12" t="inlineStr">
        <is>
          <t>D</t>
        </is>
      </c>
      <c r="C2654" s="12" t="inlineStr">
        <is>
          <t>Fuel gas</t>
        </is>
      </c>
      <c r="D2654" s="12" t="inlineStr">
        <is>
          <t>LV power feeder</t>
        </is>
      </c>
      <c r="E2654" s="12" t="inlineStr">
        <is>
          <t>MCC-C1</t>
        </is>
      </c>
      <c r="F2654" s="12" t="inlineStr">
        <is>
          <t>R1 MCC-C1</t>
        </is>
      </c>
      <c r="G2654" s="12" t="inlineStr"/>
      <c r="H2654" s="12" t="inlineStr">
        <is>
          <t>Gas metering skid</t>
        </is>
      </c>
      <c r="I2654" s="12" t="inlineStr">
        <is>
          <t>LV 600 V</t>
        </is>
      </c>
      <c r="J2654" s="12" t="inlineStr">
        <is>
          <t>ARMOR-X MC-HL 600 V 3/C Cu XHHW-2 + ground, CWA, black PVC (Class I Div 2)</t>
        </is>
      </c>
      <c r="K2654" s="12" t="inlineStr">
        <is>
          <t>LVAX|3/C+G|2</t>
        </is>
      </c>
      <c r="L2654" s="12" t="inlineStr">
        <is>
          <t>3/C+G</t>
        </is>
      </c>
      <c r="M2654" s="12" t="inlineStr">
        <is>
          <t>2</t>
        </is>
      </c>
      <c r="N2654" s="12" t="n">
        <v>1</v>
      </c>
      <c r="O2654" s="12" t="n">
        <v>1</v>
      </c>
      <c r="P2654" s="12" t="n">
        <v>480</v>
      </c>
      <c r="Q2654" s="12" t="n">
        <v>10</v>
      </c>
      <c r="R2654" s="12" t="n">
        <v>14.2</v>
      </c>
      <c r="S2654" s="12" t="inlineStr">
        <is>
          <t>Tray</t>
        </is>
      </c>
      <c r="T2654" s="16" t="n">
        <v>1942</v>
      </c>
      <c r="U2654" s="16" t="n">
        <v>197</v>
      </c>
      <c r="V2654" s="16">
        <f>ROUNDUP((T2654+U2654+2*'Read Me'!$B$13)*(1+'Read Me'!$B$12),-1)</f>
        <v/>
      </c>
      <c r="W2654" s="16">
        <f>V2654*N2654*O2654</f>
        <v/>
      </c>
      <c r="X2654" s="12">
        <f>IF(LEFT(I2654,2)="MV",2*N2654*IF(L2654="1/C",O2654,1),0)</f>
        <v/>
      </c>
      <c r="Y2654" s="12">
        <f>IF(OR(LEFT(K2654,4)="LVAX",LEFT(K2654,6)="MV15AX",LEFT(K2654,4)="CTAX",LEFT(K2654,2)="W|"),2*N2654*O2654,0)</f>
        <v/>
      </c>
      <c r="Z2654" s="12" t="inlineStr">
        <is>
          <t>VD 2.3 %</t>
        </is>
      </c>
      <c r="AA2654" s="12">
        <f>N2654*O2654</f>
        <v/>
      </c>
    </row>
    <row r="2655">
      <c r="A2655" s="12" t="inlineStr">
        <is>
          <t>D-P-0015</t>
        </is>
      </c>
      <c r="B2655" s="12" t="inlineStr">
        <is>
          <t>D</t>
        </is>
      </c>
      <c r="C2655" s="12" t="inlineStr">
        <is>
          <t>Fuel gas</t>
        </is>
      </c>
      <c r="D2655" s="12" t="inlineStr">
        <is>
          <t>LV power feeder</t>
        </is>
      </c>
      <c r="E2655" s="12" t="inlineStr">
        <is>
          <t>MCC-C1</t>
        </is>
      </c>
      <c r="F2655" s="12" t="inlineStr">
        <is>
          <t>R1 MCC-C1</t>
        </is>
      </c>
      <c r="G2655" s="12" t="inlineStr"/>
      <c r="H2655" s="12" t="inlineStr">
        <is>
          <t>Gas pressure regulation skid</t>
        </is>
      </c>
      <c r="I2655" s="12" t="inlineStr">
        <is>
          <t>LV 600 V</t>
        </is>
      </c>
      <c r="J2655" s="12" t="inlineStr">
        <is>
          <t>ARMOR-X MC-HL 600 V 3/C Cu XHHW-2 + ground, CWA, black PVC (Class I Div 2)</t>
        </is>
      </c>
      <c r="K2655" s="12" t="inlineStr">
        <is>
          <t>LVAX|3/C+G|2</t>
        </is>
      </c>
      <c r="L2655" s="12" t="inlineStr">
        <is>
          <t>3/C+G</t>
        </is>
      </c>
      <c r="M2655" s="12" t="inlineStr">
        <is>
          <t>2</t>
        </is>
      </c>
      <c r="N2655" s="12" t="n">
        <v>1</v>
      </c>
      <c r="O2655" s="12" t="n">
        <v>1</v>
      </c>
      <c r="P2655" s="12" t="n">
        <v>480</v>
      </c>
      <c r="Q2655" s="12" t="n">
        <v>10</v>
      </c>
      <c r="R2655" s="12" t="n">
        <v>14.2</v>
      </c>
      <c r="S2655" s="12" t="inlineStr">
        <is>
          <t>Duct bank</t>
        </is>
      </c>
      <c r="T2655" s="16" t="n">
        <v>2052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2.4 %</t>
        </is>
      </c>
      <c r="AA2655" s="12">
        <f>N2655*O2655</f>
        <v/>
      </c>
    </row>
    <row r="2656">
      <c r="A2656" s="12" t="inlineStr">
        <is>
          <t>D-P-0016</t>
        </is>
      </c>
      <c r="B2656" s="12" t="inlineStr">
        <is>
          <t>D</t>
        </is>
      </c>
      <c r="C2656" s="12" t="inlineStr">
        <is>
          <t>Fuel gas</t>
        </is>
      </c>
      <c r="D2656" s="12" t="inlineStr">
        <is>
          <t>LV power feeder</t>
        </is>
      </c>
      <c r="E2656" s="12" t="inlineStr">
        <is>
          <t>MCC-C1</t>
        </is>
      </c>
      <c r="F2656" s="12" t="inlineStr">
        <is>
          <t>R1 MCC-C1</t>
        </is>
      </c>
      <c r="G2656" s="12" t="inlineStr"/>
      <c r="H2656" s="12" t="inlineStr">
        <is>
          <t>Gas yard filter-separators</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D-P-0017</t>
        </is>
      </c>
      <c r="B2657" s="12" t="inlineStr">
        <is>
          <t>D</t>
        </is>
      </c>
      <c r="C2657" s="12" t="inlineStr">
        <is>
          <t>Fuel gas</t>
        </is>
      </c>
      <c r="D2657" s="12" t="inlineStr">
        <is>
          <t>LV power feeder</t>
        </is>
      </c>
      <c r="E2657" s="12" t="inlineStr">
        <is>
          <t>MCC-C1</t>
        </is>
      </c>
      <c r="F2657" s="12" t="inlineStr">
        <is>
          <t>R1 MCC-C1</t>
        </is>
      </c>
      <c r="G2657" s="12" t="inlineStr"/>
      <c r="H2657" s="12" t="inlineStr">
        <is>
          <t>Gas yard inlet: ESD valve, block valve and insulating joint</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254</v>
      </c>
      <c r="V2657" s="16">
        <f>ROUNDUP((T2657+U2657+2*'Read Me'!$B$13)*(1+'Read Me'!$B$12),-1)</f>
        <v/>
      </c>
      <c r="W2657" s="16">
        <f>V2657*N2657*O2657</f>
        <v/>
      </c>
      <c r="X2657" s="12">
        <f>IF(LEFT(I2657,2)="MV",2*N2657*IF(L2657="1/C",O2657,1),0)</f>
        <v/>
      </c>
      <c r="Y2657" s="12">
        <f>IF(OR(LEFT(K2657,4)="LVAX",LEFT(K2657,6)="MV15AX",LEFT(K2657,4)="CTAX",LEFT(K2657,2)="W|"),2*N2657*O2657,0)</f>
        <v/>
      </c>
      <c r="Z2657" s="12" t="inlineStr">
        <is>
          <t>VD 2.5 %</t>
        </is>
      </c>
      <c r="AA2657" s="12">
        <f>N2657*O2657</f>
        <v/>
      </c>
    </row>
    <row r="2658">
      <c r="A2658" s="12" t="inlineStr">
        <is>
          <t>D-P-0018</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local control enclosure</t>
        </is>
      </c>
      <c r="I2658" s="12" t="inlineStr">
        <is>
          <t>LV 600 V</t>
        </is>
      </c>
      <c r="J2658" s="12" t="inlineStr">
        <is>
          <t>ARMOR-X MC-HL 600 V 3/C Cu XHHW-2 + ground, CWA, black PVC (Class I Div 2)</t>
        </is>
      </c>
      <c r="K2658" s="12" t="inlineStr">
        <is>
          <t>LVAX|3/C+G|1</t>
        </is>
      </c>
      <c r="L2658" s="12" t="inlineStr">
        <is>
          <t>3/C+G</t>
        </is>
      </c>
      <c r="M2658" s="12" t="inlineStr">
        <is>
          <t>1</t>
        </is>
      </c>
      <c r="N2658" s="12" t="n">
        <v>1</v>
      </c>
      <c r="O2658" s="12" t="n">
        <v>1</v>
      </c>
      <c r="P2658" s="12" t="n">
        <v>480</v>
      </c>
      <c r="Q2658" s="12" t="n">
        <v>15</v>
      </c>
      <c r="R2658" s="12" t="n">
        <v>21.2</v>
      </c>
      <c r="S2658" s="12" t="inlineStr">
        <is>
          <t>Tray</t>
        </is>
      </c>
      <c r="T2658" s="16" t="n">
        <v>1833</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2.6 %</t>
        </is>
      </c>
      <c r="AA2658" s="12">
        <f>N2658*O2658</f>
        <v/>
      </c>
    </row>
    <row r="2659">
      <c r="A2659" s="12" t="inlineStr">
        <is>
          <t>D-P-0019</t>
        </is>
      </c>
      <c r="B2659" s="12" t="inlineStr">
        <is>
          <t>D</t>
        </is>
      </c>
      <c r="C2659" s="12" t="inlineStr">
        <is>
          <t>Fuel gas</t>
        </is>
      </c>
      <c r="D2659" s="12" t="inlineStr">
        <is>
          <t>LV power feeder</t>
        </is>
      </c>
      <c r="E2659" s="12" t="inlineStr">
        <is>
          <t>MCC-C1</t>
        </is>
      </c>
      <c r="F2659" s="12" t="inlineStr">
        <is>
          <t>R1 MCC-C1</t>
        </is>
      </c>
      <c r="G2659" s="12" t="inlineStr">
        <is>
          <t>HTP-4</t>
        </is>
      </c>
      <c r="H2659" s="12" t="inlineStr">
        <is>
          <t>HTP-4: heat-trace panel (gas)</t>
        </is>
      </c>
      <c r="I2659" s="12" t="inlineStr">
        <is>
          <t>LV 600 V</t>
        </is>
      </c>
      <c r="J2659" s="12" t="inlineStr">
        <is>
          <t>Type TC-ER 600 V 3/C Cu XHHW-2 + ground, PVC jacket</t>
        </is>
      </c>
      <c r="K2659" s="12" t="inlineStr">
        <is>
          <t>LV|3/C+G|350</t>
        </is>
      </c>
      <c r="L2659" s="12" t="inlineStr">
        <is>
          <t>3/C+G</t>
        </is>
      </c>
      <c r="M2659" s="12" t="inlineStr">
        <is>
          <t>350 kcmil</t>
        </is>
      </c>
      <c r="N2659" s="12" t="n">
        <v>2</v>
      </c>
      <c r="O2659" s="12" t="n">
        <v>1</v>
      </c>
      <c r="P2659" s="12" t="n">
        <v>480</v>
      </c>
      <c r="Q2659" s="12" t="n">
        <v>120</v>
      </c>
      <c r="R2659" s="12" t="n">
        <v>169.8</v>
      </c>
      <c r="S2659" s="12" t="inlineStr">
        <is>
          <t>Tray</t>
        </is>
      </c>
      <c r="T2659" s="16" t="n">
        <v>1868</v>
      </c>
      <c r="U2659" s="16" t="n">
        <v>157</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D-P-0020</t>
        </is>
      </c>
      <c r="B2660" s="12" t="inlineStr">
        <is>
          <t>D</t>
        </is>
      </c>
      <c r="C2660" s="12" t="inlineStr">
        <is>
          <t>Fuel gas</t>
        </is>
      </c>
      <c r="D2660" s="12" t="inlineStr">
        <is>
          <t>Heat-trace circuit 1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6" t="n">
        <v>180</v>
      </c>
      <c r="U2660" s="16" t="n">
        <v>20</v>
      </c>
      <c r="V2660" s="16">
        <f>ROUNDUP((T2660+U2660+2*'Read Me'!$B$13)*(1+'Read Me'!$B$12),-1)</f>
        <v/>
      </c>
      <c r="W2660" s="16">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D-P-0021</t>
        </is>
      </c>
      <c r="B2661" s="12" t="inlineStr">
        <is>
          <t>D</t>
        </is>
      </c>
      <c r="C2661" s="12" t="inlineStr">
        <is>
          <t>Fuel gas</t>
        </is>
      </c>
      <c r="D2661" s="12" t="inlineStr">
        <is>
          <t>Heat-trace circuit 2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6" t="n">
        <v>180</v>
      </c>
      <c r="U2661" s="16" t="n">
        <v>20</v>
      </c>
      <c r="V2661" s="16">
        <f>ROUNDUP((T2661+U2661+2*'Read Me'!$B$13)*(1+'Read Me'!$B$12),-1)</f>
        <v/>
      </c>
      <c r="W2661" s="16">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D-P-0022</t>
        </is>
      </c>
      <c r="B2662" s="12" t="inlineStr">
        <is>
          <t>D</t>
        </is>
      </c>
      <c r="C2662" s="12" t="inlineStr">
        <is>
          <t>Fuel gas</t>
        </is>
      </c>
      <c r="D2662" s="12" t="inlineStr">
        <is>
          <t>Heat-trace circuit 3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D-P-0023</t>
        </is>
      </c>
      <c r="B2663" s="12" t="inlineStr">
        <is>
          <t>D</t>
        </is>
      </c>
      <c r="C2663" s="12" t="inlineStr">
        <is>
          <t>Fuel gas</t>
        </is>
      </c>
      <c r="D2663" s="12" t="inlineStr">
        <is>
          <t>Heat-trace circuit 4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D-P-0024</t>
        </is>
      </c>
      <c r="B2664" s="12" t="inlineStr">
        <is>
          <t>D</t>
        </is>
      </c>
      <c r="C2664" s="12" t="inlineStr">
        <is>
          <t>Fuel gas</t>
        </is>
      </c>
      <c r="D2664" s="12" t="inlineStr">
        <is>
          <t>Heat-trace circuit 5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D-P-0025</t>
        </is>
      </c>
      <c r="B2665" s="12" t="inlineStr">
        <is>
          <t>D</t>
        </is>
      </c>
      <c r="C2665" s="12" t="inlineStr">
        <is>
          <t>Fuel gas</t>
        </is>
      </c>
      <c r="D2665" s="12" t="inlineStr">
        <is>
          <t>Heat-trace circuit 6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D-P-0026</t>
        </is>
      </c>
      <c r="B2666" s="12" t="inlineStr">
        <is>
          <t>D</t>
        </is>
      </c>
      <c r="C2666" s="12" t="inlineStr">
        <is>
          <t>Fuel gas</t>
        </is>
      </c>
      <c r="D2666" s="12" t="inlineStr">
        <is>
          <t>Heat-trace circuit 7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D-P-0027</t>
        </is>
      </c>
      <c r="B2667" s="12" t="inlineStr">
        <is>
          <t>D</t>
        </is>
      </c>
      <c r="C2667" s="12" t="inlineStr">
        <is>
          <t>Fuel gas</t>
        </is>
      </c>
      <c r="D2667" s="12" t="inlineStr">
        <is>
          <t>Heat-trace circuit 8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D-P-0028</t>
        </is>
      </c>
      <c r="B2668" s="12" t="inlineStr">
        <is>
          <t>D</t>
        </is>
      </c>
      <c r="C2668" s="12" t="inlineStr">
        <is>
          <t>Fuel gas</t>
        </is>
      </c>
      <c r="D2668" s="12" t="inlineStr">
        <is>
          <t>Heat-trace circuit 9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D-P-0029</t>
        </is>
      </c>
      <c r="B2669" s="12" t="inlineStr">
        <is>
          <t>D</t>
        </is>
      </c>
      <c r="C2669" s="12" t="inlineStr">
        <is>
          <t>Fuel gas</t>
        </is>
      </c>
      <c r="D2669" s="12" t="inlineStr">
        <is>
          <t>Heat-trace circuit 10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D-P-0030</t>
        </is>
      </c>
      <c r="B2670" s="12" t="inlineStr">
        <is>
          <t>D</t>
        </is>
      </c>
      <c r="C2670" s="12" t="inlineStr">
        <is>
          <t>Fuel gas</t>
        </is>
      </c>
      <c r="D2670" s="12" t="inlineStr">
        <is>
          <t>Heat-trace circuit 11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D-P-0031</t>
        </is>
      </c>
      <c r="B2671" s="12" t="inlineStr">
        <is>
          <t>D</t>
        </is>
      </c>
      <c r="C2671" s="12" t="inlineStr">
        <is>
          <t>Fuel gas</t>
        </is>
      </c>
      <c r="D2671" s="12" t="inlineStr">
        <is>
          <t>Heat-trace circuit 12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D-P-0032</t>
        </is>
      </c>
      <c r="B2672" s="12" t="inlineStr">
        <is>
          <t>D</t>
        </is>
      </c>
      <c r="C2672" s="12" t="inlineStr">
        <is>
          <t>Fuel gas</t>
        </is>
      </c>
      <c r="D2672" s="12" t="inlineStr">
        <is>
          <t>Heat-trace circuit 13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D-P-0033</t>
        </is>
      </c>
      <c r="B2673" s="12" t="inlineStr">
        <is>
          <t>D</t>
        </is>
      </c>
      <c r="C2673" s="12" t="inlineStr">
        <is>
          <t>Fuel gas</t>
        </is>
      </c>
      <c r="D2673" s="12" t="inlineStr">
        <is>
          <t>Heat-trace circuit 14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D-P-0034</t>
        </is>
      </c>
      <c r="B2674" s="12" t="inlineStr">
        <is>
          <t>D</t>
        </is>
      </c>
      <c r="C2674" s="12" t="inlineStr">
        <is>
          <t>Fuel gas</t>
        </is>
      </c>
      <c r="D2674" s="12" t="inlineStr">
        <is>
          <t>Heat-trace circuit 15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D-P-0035</t>
        </is>
      </c>
      <c r="B2675" s="12" t="inlineStr">
        <is>
          <t>D</t>
        </is>
      </c>
      <c r="C2675" s="12" t="inlineStr">
        <is>
          <t>Fuel gas</t>
        </is>
      </c>
      <c r="D2675" s="12" t="inlineStr">
        <is>
          <t>Heat-trace circuit 16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D-P-0036</t>
        </is>
      </c>
      <c r="B2676" s="12" t="inlineStr">
        <is>
          <t>D</t>
        </is>
      </c>
      <c r="C2676" s="12" t="inlineStr">
        <is>
          <t>Fuel gas</t>
        </is>
      </c>
      <c r="D2676" s="12" t="inlineStr">
        <is>
          <t>Heat-trace circuit 17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D-P-0037</t>
        </is>
      </c>
      <c r="B2677" s="12" t="inlineStr">
        <is>
          <t>D</t>
        </is>
      </c>
      <c r="C2677" s="12" t="inlineStr">
        <is>
          <t>Fuel gas</t>
        </is>
      </c>
      <c r="D2677" s="12" t="inlineStr">
        <is>
          <t>Heat-trace circuit 18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D-P-0038</t>
        </is>
      </c>
      <c r="B2678" s="12" t="inlineStr">
        <is>
          <t>D</t>
        </is>
      </c>
      <c r="C2678" s="12" t="inlineStr">
        <is>
          <t>Fuel gas</t>
        </is>
      </c>
      <c r="D2678" s="12" t="inlineStr">
        <is>
          <t>Heat-trace circuit 19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D-P-0039</t>
        </is>
      </c>
      <c r="B2679" s="12" t="inlineStr">
        <is>
          <t>D</t>
        </is>
      </c>
      <c r="C2679" s="12" t="inlineStr">
        <is>
          <t>Fuel gas</t>
        </is>
      </c>
      <c r="D2679" s="12" t="inlineStr">
        <is>
          <t>Heat-trace circuit 20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D-P-0040</t>
        </is>
      </c>
      <c r="B2680" s="12" t="inlineStr">
        <is>
          <t>D</t>
        </is>
      </c>
      <c r="C2680" s="12" t="inlineStr">
        <is>
          <t>Fuel gas</t>
        </is>
      </c>
      <c r="D2680" s="12" t="inlineStr">
        <is>
          <t>Heat-trace circuit 21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D-P-0041</t>
        </is>
      </c>
      <c r="B2681" s="12" t="inlineStr">
        <is>
          <t>D</t>
        </is>
      </c>
      <c r="C2681" s="12" t="inlineStr">
        <is>
          <t>Fuel gas</t>
        </is>
      </c>
      <c r="D2681" s="12" t="inlineStr">
        <is>
          <t>Heat-trace circuit 22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D-P-0042</t>
        </is>
      </c>
      <c r="B2682" s="12" t="inlineStr">
        <is>
          <t>D</t>
        </is>
      </c>
      <c r="C2682" s="12" t="inlineStr">
        <is>
          <t>Fuel gas</t>
        </is>
      </c>
      <c r="D2682" s="12" t="inlineStr">
        <is>
          <t>Heat-trace circuit 23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D-P-0043</t>
        </is>
      </c>
      <c r="B2683" s="12" t="inlineStr">
        <is>
          <t>D</t>
        </is>
      </c>
      <c r="C2683" s="12" t="inlineStr">
        <is>
          <t>Fuel gas</t>
        </is>
      </c>
      <c r="D2683" s="12" t="inlineStr">
        <is>
          <t>Heat-trace circuit 24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D-MV-0001</t>
        </is>
      </c>
      <c r="B2684" s="12" t="inlineStr">
        <is>
          <t>D</t>
        </is>
      </c>
      <c r="C2684" s="12" t="inlineStr">
        <is>
          <t>Fuel gas</t>
        </is>
      </c>
      <c r="D2684" s="12" t="inlineStr">
        <is>
          <t>Fuel-gas compressor (conditional)</t>
        </is>
      </c>
      <c r="E2684" s="12" t="inlineStr">
        <is>
          <t>SWGR-13.8-3</t>
        </is>
      </c>
      <c r="F2684" s="12" t="inlineStr">
        <is>
          <t>R1 SWGR-13.8-3 (11 x 36 in cubicles, 15 kV metal-clad)</t>
        </is>
      </c>
      <c r="G2684" s="12" t="inlineStr"/>
      <c r="H2684" s="12" t="inlineStr">
        <is>
          <t>CONDITIONAL: fuel-gas compressors</t>
        </is>
      </c>
      <c r="I2684" s="12" t="inlineStr">
        <is>
          <t>MV 15 kV</t>
        </is>
      </c>
      <c r="J2684" s="12" t="inlineStr">
        <is>
          <t>ARMOR-X MC-HL / MV-105 15 kV 3/C Cu, EPR 133%, tape shield, gnd, CWA, red PVC</t>
        </is>
      </c>
      <c r="K2684" s="12" t="inlineStr">
        <is>
          <t>MV15AX|3/C|1/0</t>
        </is>
      </c>
      <c r="L2684" s="12" t="inlineStr">
        <is>
          <t>3/C</t>
        </is>
      </c>
      <c r="M2684" s="12" t="inlineStr">
        <is>
          <t>1/0</t>
        </is>
      </c>
      <c r="N2684" s="12" t="n">
        <v>1</v>
      </c>
      <c r="O2684" s="12" t="n">
        <v>1</v>
      </c>
      <c r="P2684" s="12" t="n">
        <v>13800</v>
      </c>
      <c r="Q2684" s="12" t="n">
        <v>3000</v>
      </c>
      <c r="R2684" s="12" t="n">
        <v>139</v>
      </c>
      <c r="S2684" s="12" t="inlineStr">
        <is>
          <t>Duct bank</t>
        </is>
      </c>
      <c r="T2684" s="16" t="n">
        <v>2380</v>
      </c>
      <c r="U2684" s="16" t="n">
        <v>124</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D-MV-0002</t>
        </is>
      </c>
      <c r="B2685" s="12" t="inlineStr">
        <is>
          <t>D</t>
        </is>
      </c>
      <c r="C2685" s="12" t="inlineStr">
        <is>
          <t>Fuel gas</t>
        </is>
      </c>
      <c r="D2685" s="12" t="inlineStr">
        <is>
          <t>Fuel-gas compressor (conditional)</t>
        </is>
      </c>
      <c r="E2685" s="12" t="inlineStr">
        <is>
          <t>SWGR-13.8-3</t>
        </is>
      </c>
      <c r="F2685" s="12" t="inlineStr">
        <is>
          <t>R1 SWGR-13.8-3 (11 x 36 in cubicles, 15 kV metal-clad)</t>
        </is>
      </c>
      <c r="G2685" s="12" t="inlineStr"/>
      <c r="H2685" s="12" t="inlineStr">
        <is>
          <t>CONDITIONAL: fuel-gas compressors</t>
        </is>
      </c>
      <c r="I2685" s="12" t="inlineStr">
        <is>
          <t>MV 15 kV</t>
        </is>
      </c>
      <c r="J2685" s="12" t="inlineStr">
        <is>
          <t>ARMOR-X MC-HL / MV-105 15 kV 3/C Cu, EPR 133%, tape shield, gnd, CWA, red PVC</t>
        </is>
      </c>
      <c r="K2685" s="12" t="inlineStr">
        <is>
          <t>MV15AX|3/C|1/0</t>
        </is>
      </c>
      <c r="L2685" s="12" t="inlineStr">
        <is>
          <t>3/C</t>
        </is>
      </c>
      <c r="M2685" s="12" t="inlineStr">
        <is>
          <t>1/0</t>
        </is>
      </c>
      <c r="N2685" s="12" t="n">
        <v>1</v>
      </c>
      <c r="O2685" s="12" t="n">
        <v>1</v>
      </c>
      <c r="P2685" s="12" t="n">
        <v>13800</v>
      </c>
      <c r="Q2685" s="12" t="n">
        <v>3000</v>
      </c>
      <c r="R2685" s="12" t="n">
        <v>139</v>
      </c>
      <c r="S2685" s="12" t="inlineStr">
        <is>
          <t>Duct bank</t>
        </is>
      </c>
      <c r="T2685" s="16" t="n">
        <v>2380</v>
      </c>
      <c r="U2685" s="16" t="n">
        <v>124</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D-MV-0003</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E-L-0001</t>
        </is>
      </c>
      <c r="B2687" s="12" t="inlineStr">
        <is>
          <t>E</t>
        </is>
      </c>
      <c r="C2687" s="12" t="inlineStr">
        <is>
          <t>Water / utilities</t>
        </is>
      </c>
      <c r="D2687" s="12" t="inlineStr">
        <is>
          <t>Lighting, receptacles and small power branch circuits (allowance)</t>
        </is>
      </c>
      <c r="E2687" s="12" t="inlineStr"/>
      <c r="F2687" s="12" t="inlineStr">
        <is>
          <t>Fire pump house</t>
        </is>
      </c>
      <c r="G2687" s="12" t="inlineStr"/>
      <c r="H2687" s="12" t="inlineStr">
        <is>
          <t>Fire pump house</t>
        </is>
      </c>
      <c r="I2687" s="12" t="inlineStr">
        <is>
          <t>Building wire</t>
        </is>
      </c>
      <c r="J2687" s="12" t="inlineStr">
        <is>
          <t>SIMpull THHN/THWN-2 600 V 1/C Cu (lighting, receptacles, small power)</t>
        </is>
      </c>
      <c r="K2687" s="12" t="inlineStr">
        <is>
          <t>THHN|1/C|12</t>
        </is>
      </c>
      <c r="L2687" s="12" t="inlineStr">
        <is>
          <t>1/C</t>
        </is>
      </c>
      <c r="M2687" s="12" t="inlineStr">
        <is>
          <t>12</t>
        </is>
      </c>
      <c r="N2687" s="12" t="n">
        <v>1</v>
      </c>
      <c r="O2687" s="12" t="n">
        <v>1</v>
      </c>
      <c r="P2687" s="12" t="n">
        <v>277</v>
      </c>
      <c r="Q2687" s="12" t="n"/>
      <c r="R2687" s="12" t="n"/>
      <c r="S2687" s="12" t="inlineStr">
        <is>
          <t>Conduit</t>
        </is>
      </c>
      <c r="T2687" s="16" t="n">
        <v>1920</v>
      </c>
      <c r="U2687" s="16" t="n">
        <v>0</v>
      </c>
      <c r="V2687" s="16">
        <f>ROUNDUP((T2687+U2687+2*'Read Me'!$B$13)*(1+'Read Me'!$B$12),-1)</f>
        <v/>
      </c>
      <c r="W2687" s="16">
        <f>V2687*N2687*O2687</f>
        <v/>
      </c>
      <c r="X2687" s="12">
        <f>IF(LEFT(I2687,2)="MV",2*N2687*IF(L2687="1/C",O2687,1),0)</f>
        <v/>
      </c>
      <c r="Y2687" s="12">
        <f>IF(OR(LEFT(K2687,4)="LVAX",LEFT(K2687,6)="MV15AX",LEFT(K2687,4)="CTAX",LEFT(K2687,2)="W|"),2*N2687*O2687,0)</f>
        <v/>
      </c>
      <c r="Z2687" s="12" t="inlineStr">
        <is>
          <t>allowance: 1.6 ft of conductor per ft2 of floor</t>
        </is>
      </c>
      <c r="AA2687" s="12">
        <f>N2687*O2687</f>
        <v/>
      </c>
    </row>
    <row r="2688">
      <c r="A2688" s="12" t="inlineStr">
        <is>
          <t>E-L-0002</t>
        </is>
      </c>
      <c r="B2688" s="12" t="inlineStr">
        <is>
          <t>E</t>
        </is>
      </c>
      <c r="C2688" s="12" t="inlineStr">
        <is>
          <t>Water / utilities</t>
        </is>
      </c>
      <c r="D2688" s="12" t="inlineStr">
        <is>
          <t>Lighting, receptacles and small power branch circuits (allowance)</t>
        </is>
      </c>
      <c r="E2688" s="12" t="inlineStr">
        <is>
          <t>R-WT</t>
        </is>
      </c>
      <c r="F2688" s="12" t="inlineStr">
        <is>
          <t>Water treatment building (incl. R-WT electrical room)</t>
        </is>
      </c>
      <c r="G2688" s="12" t="inlineStr">
        <is>
          <t>R-WT</t>
        </is>
      </c>
      <c r="H2688" s="12" t="inlineStr">
        <is>
          <t>Water treatment building (incl. R-WT electrical room)</t>
        </is>
      </c>
      <c r="I2688" s="12" t="inlineStr">
        <is>
          <t>Building wire</t>
        </is>
      </c>
      <c r="J2688" s="12" t="inlineStr">
        <is>
          <t>SIMpull THHN/THWN-2 600 V 1/C Cu (lighting, receptacles, small power)</t>
        </is>
      </c>
      <c r="K2688" s="12" t="inlineStr">
        <is>
          <t>THHN|1/C|12</t>
        </is>
      </c>
      <c r="L2688" s="12" t="inlineStr">
        <is>
          <t>1/C</t>
        </is>
      </c>
      <c r="M2688" s="12" t="inlineStr">
        <is>
          <t>12</t>
        </is>
      </c>
      <c r="N2688" s="12" t="n">
        <v>1</v>
      </c>
      <c r="O2688" s="12" t="n">
        <v>1</v>
      </c>
      <c r="P2688" s="12" t="n">
        <v>277</v>
      </c>
      <c r="Q2688" s="12" t="n"/>
      <c r="R2688" s="12" t="n"/>
      <c r="S2688" s="12" t="inlineStr">
        <is>
          <t>Conduit</t>
        </is>
      </c>
      <c r="T2688" s="16" t="n">
        <v>21760</v>
      </c>
      <c r="U2688" s="16" t="n">
        <v>0</v>
      </c>
      <c r="V2688" s="16">
        <f>ROUNDUP((T2688+U2688+2*'Read Me'!$B$13)*(1+'Read Me'!$B$12),-1)</f>
        <v/>
      </c>
      <c r="W2688" s="16">
        <f>V2688*N2688*O2688</f>
        <v/>
      </c>
      <c r="X2688" s="12">
        <f>IF(LEFT(I2688,2)="MV",2*N2688*IF(L2688="1/C",O2688,1),0)</f>
        <v/>
      </c>
      <c r="Y2688" s="12">
        <f>IF(OR(LEFT(K2688,4)="LVAX",LEFT(K2688,6)="MV15AX",LEFT(K2688,4)="CTAX",LEFT(K2688,2)="W|"),2*N2688*O2688,0)</f>
        <v/>
      </c>
      <c r="Z2688" s="12" t="inlineStr">
        <is>
          <t>allowance: 1.6 ft of conductor per ft2 of floor</t>
        </is>
      </c>
      <c r="AA2688" s="12">
        <f>N2688*O2688</f>
        <v/>
      </c>
    </row>
    <row r="2689">
      <c r="A2689" s="12" t="inlineStr">
        <is>
          <t>E-C-0001</t>
        </is>
      </c>
      <c r="B2689" s="12" t="inlineStr">
        <is>
          <t>E</t>
        </is>
      </c>
      <c r="C2689" s="12" t="inlineStr">
        <is>
          <t>Water / utilities</t>
        </is>
      </c>
      <c r="D2689" s="12" t="inlineStr">
        <is>
          <t>Motor 1 of 2: control / local station</t>
        </is>
      </c>
      <c r="E2689" s="12" t="inlineStr">
        <is>
          <t>MCC-C2</t>
        </is>
      </c>
      <c r="F2689" s="12" t="inlineStr">
        <is>
          <t>R1 MCC-C2</t>
        </is>
      </c>
      <c r="G2689" s="12" t="inlineStr"/>
      <c r="H2689" s="12" t="inlineStr">
        <is>
          <t>Ammonia storage (aqueous, SCR reagent)</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Duct bank</t>
        </is>
      </c>
      <c r="T2689" s="16" t="n">
        <v>2010</v>
      </c>
      <c r="U2689" s="16" t="n">
        <v>145</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E-C-0002</t>
        </is>
      </c>
      <c r="B2690" s="12" t="inlineStr">
        <is>
          <t>E</t>
        </is>
      </c>
      <c r="C2690" s="12" t="inlineStr">
        <is>
          <t>Water / utilities</t>
        </is>
      </c>
      <c r="D2690" s="12" t="inlineStr">
        <is>
          <t>Motor 2 of 2: control / local station</t>
        </is>
      </c>
      <c r="E2690" s="12" t="inlineStr">
        <is>
          <t>MCC-C2</t>
        </is>
      </c>
      <c r="F2690" s="12" t="inlineStr">
        <is>
          <t>R1 MCC-C2</t>
        </is>
      </c>
      <c r="G2690" s="12" t="inlineStr"/>
      <c r="H2690" s="12" t="inlineStr">
        <is>
          <t>Ammonia storage (aqueous, SCR reagent)</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Duct bank</t>
        </is>
      </c>
      <c r="T2690" s="16" t="n">
        <v>2010</v>
      </c>
      <c r="U2690" s="16" t="n">
        <v>145</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E-C-0003</t>
        </is>
      </c>
      <c r="B2691" s="12" t="inlineStr">
        <is>
          <t>E</t>
        </is>
      </c>
      <c r="C2691" s="12" t="inlineStr">
        <is>
          <t>Water / utilities</t>
        </is>
      </c>
      <c r="D2691" s="12" t="inlineStr">
        <is>
          <t>Motor 1 of 3: control / local station</t>
        </is>
      </c>
      <c r="E2691" s="12" t="inlineStr">
        <is>
          <t>MCC-C2</t>
        </is>
      </c>
      <c r="F2691" s="12" t="inlineStr">
        <is>
          <t>R1 MCC-C2</t>
        </is>
      </c>
      <c r="G2691" s="12" t="inlineStr"/>
      <c r="H2691" s="12" t="inlineStr">
        <is>
          <t>Auxiliary boiler</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2089</v>
      </c>
      <c r="U2691" s="16" t="n">
        <v>165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E-C-0004</t>
        </is>
      </c>
      <c r="B2692" s="12" t="inlineStr">
        <is>
          <t>E</t>
        </is>
      </c>
      <c r="C2692" s="12" t="inlineStr">
        <is>
          <t>Water / utilities</t>
        </is>
      </c>
      <c r="D2692" s="12" t="inlineStr">
        <is>
          <t>Motor 2 of 3: control / local station</t>
        </is>
      </c>
      <c r="E2692" s="12" t="inlineStr">
        <is>
          <t>MCC-C2</t>
        </is>
      </c>
      <c r="F2692" s="12" t="inlineStr">
        <is>
          <t>R1 MCC-C2</t>
        </is>
      </c>
      <c r="G2692" s="12" t="inlineStr"/>
      <c r="H2692" s="12" t="inlineStr">
        <is>
          <t>Auxiliary boiler</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2089</v>
      </c>
      <c r="U2692" s="16" t="n">
        <v>165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E-C-0005</t>
        </is>
      </c>
      <c r="B2693" s="12" t="inlineStr">
        <is>
          <t>E</t>
        </is>
      </c>
      <c r="C2693" s="12" t="inlineStr">
        <is>
          <t>Water / utilities</t>
        </is>
      </c>
      <c r="D2693" s="12" t="inlineStr">
        <is>
          <t>Motor 3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E-C-0006</t>
        </is>
      </c>
      <c r="B2694" s="12" t="inlineStr">
        <is>
          <t>E</t>
        </is>
      </c>
      <c r="C2694" s="12" t="inlineStr">
        <is>
          <t>Water / utilities</t>
        </is>
      </c>
      <c r="D2694" s="12" t="inlineStr">
        <is>
          <t>Control</t>
        </is>
      </c>
      <c r="E2694" s="12" t="inlineStr">
        <is>
          <t>R-WT</t>
        </is>
      </c>
      <c r="F2694" s="12" t="inlineStr">
        <is>
          <t>Water treatment building (incl. R-WT electrical room)</t>
        </is>
      </c>
      <c r="G2694" s="12" t="inlineStr">
        <is>
          <t>CPR-2</t>
        </is>
      </c>
      <c r="H2694" s="12" t="inlineStr">
        <is>
          <t>CPR-2: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115</v>
      </c>
      <c r="U2694" s="16" t="n">
        <v>96</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E-C-0007</t>
        </is>
      </c>
      <c r="B2695" s="12" t="inlineStr">
        <is>
          <t>E</t>
        </is>
      </c>
      <c r="C2695" s="12" t="inlineStr">
        <is>
          <t>Water / utilities</t>
        </is>
      </c>
      <c r="D2695" s="12" t="inlineStr">
        <is>
          <t>Motor 1 of 1: control / local station</t>
        </is>
      </c>
      <c r="E2695" s="12" t="inlineStr">
        <is>
          <t>MCC-C2</t>
        </is>
      </c>
      <c r="F2695" s="12" t="inlineStr">
        <is>
          <t>R1 MCC-C2</t>
        </is>
      </c>
      <c r="G2695" s="12" t="inlineStr"/>
      <c r="H2695" s="12" t="inlineStr">
        <is>
          <t>Fire pump house</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2004</v>
      </c>
      <c r="U2695" s="16" t="n">
        <v>209</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E-C-0008</t>
        </is>
      </c>
      <c r="B2696" s="12" t="inlineStr">
        <is>
          <t>E</t>
        </is>
      </c>
      <c r="C2696" s="12" t="inlineStr">
        <is>
          <t>Water / utilities</t>
        </is>
      </c>
      <c r="D2696" s="12" t="inlineStr">
        <is>
          <t>Motor 1 of 1: control / local station</t>
        </is>
      </c>
      <c r="E2696" s="12" t="inlineStr">
        <is>
          <t>MCC-C2</t>
        </is>
      </c>
      <c r="F2696" s="12" t="inlineStr">
        <is>
          <t>R1 MCC-C2</t>
        </is>
      </c>
      <c r="G2696" s="12" t="inlineStr"/>
      <c r="H2696" s="12" t="inlineStr">
        <is>
          <t>Fire pump house</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2004</v>
      </c>
      <c r="U2696" s="16" t="n">
        <v>209</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E-C-0009</t>
        </is>
      </c>
      <c r="B2697" s="12" t="inlineStr">
        <is>
          <t>E</t>
        </is>
      </c>
      <c r="C2697" s="12" t="inlineStr">
        <is>
          <t>Water / utilities</t>
        </is>
      </c>
      <c r="D2697" s="12" t="inlineStr">
        <is>
          <t>Control</t>
        </is>
      </c>
      <c r="E2697" s="12" t="inlineStr">
        <is>
          <t>R-WT</t>
        </is>
      </c>
      <c r="F2697" s="12" t="inlineStr">
        <is>
          <t>Water treatment building (incl. R-WT electrical room)</t>
        </is>
      </c>
      <c r="G2697" s="12" t="inlineStr">
        <is>
          <t>HTP-2</t>
        </is>
      </c>
      <c r="H2697" s="12" t="inlineStr">
        <is>
          <t>HTP-2: heat-trace panel (NH3)</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292</v>
      </c>
      <c r="U2697" s="16" t="n">
        <v>108</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E-C-0010</t>
        </is>
      </c>
      <c r="B2698" s="12" t="inlineStr">
        <is>
          <t>E</t>
        </is>
      </c>
      <c r="C2698" s="12" t="inlineStr">
        <is>
          <t>Water / utilities</t>
        </is>
      </c>
      <c r="D2698" s="12" t="inlineStr">
        <is>
          <t>Motor 1 of 2: control / local station</t>
        </is>
      </c>
      <c r="E2698" s="12" t="inlineStr">
        <is>
          <t>MCC-C2</t>
        </is>
      </c>
      <c r="F2698" s="12" t="inlineStr">
        <is>
          <t>R1 MCC-C2</t>
        </is>
      </c>
      <c r="G2698" s="12" t="inlineStr"/>
      <c r="H2698" s="12" t="inlineStr">
        <is>
          <t>Oil-water separator</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2002</v>
      </c>
      <c r="U2698" s="16" t="n">
        <v>347</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E-C-0011</t>
        </is>
      </c>
      <c r="B2699" s="12" t="inlineStr">
        <is>
          <t>E</t>
        </is>
      </c>
      <c r="C2699" s="12" t="inlineStr">
        <is>
          <t>Water / utilities</t>
        </is>
      </c>
      <c r="D2699" s="12" t="inlineStr">
        <is>
          <t>Motor 2 of 2: control / local station</t>
        </is>
      </c>
      <c r="E2699" s="12" t="inlineStr">
        <is>
          <t>MCC-C2</t>
        </is>
      </c>
      <c r="F2699" s="12" t="inlineStr">
        <is>
          <t>R1 MCC-C2</t>
        </is>
      </c>
      <c r="G2699" s="12" t="inlineStr"/>
      <c r="H2699" s="12" t="inlineStr">
        <is>
          <t>Oil-water separator</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2002</v>
      </c>
      <c r="U2699" s="16" t="n">
        <v>347</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E-C-0012</t>
        </is>
      </c>
      <c r="B2700" s="12" t="inlineStr">
        <is>
          <t>E</t>
        </is>
      </c>
      <c r="C2700" s="12" t="inlineStr">
        <is>
          <t>Water / utilities</t>
        </is>
      </c>
      <c r="D2700" s="12" t="inlineStr">
        <is>
          <t>Motor 1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1859</v>
      </c>
      <c r="U2700" s="16" t="n">
        <v>212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E-C-0013</t>
        </is>
      </c>
      <c r="B2701" s="12" t="inlineStr">
        <is>
          <t>E</t>
        </is>
      </c>
      <c r="C2701" s="12" t="inlineStr">
        <is>
          <t>Water / utilities</t>
        </is>
      </c>
      <c r="D2701" s="12" t="inlineStr">
        <is>
          <t>Motor 2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1859</v>
      </c>
      <c r="U2701" s="16" t="n">
        <v>212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E-C-0014</t>
        </is>
      </c>
      <c r="B2702" s="12" t="inlineStr">
        <is>
          <t>E</t>
        </is>
      </c>
      <c r="C2702" s="12" t="inlineStr">
        <is>
          <t>Water / utilities</t>
        </is>
      </c>
      <c r="D2702" s="12" t="inlineStr">
        <is>
          <t>Motor 3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E-C-0015</t>
        </is>
      </c>
      <c r="B2703" s="12" t="inlineStr">
        <is>
          <t>E</t>
        </is>
      </c>
      <c r="C2703" s="12" t="inlineStr">
        <is>
          <t>Water / utilities</t>
        </is>
      </c>
      <c r="D2703" s="12" t="inlineStr">
        <is>
          <t>Motor 4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E-C-0016</t>
        </is>
      </c>
      <c r="B2704" s="12" t="inlineStr">
        <is>
          <t>E</t>
        </is>
      </c>
      <c r="C2704" s="12" t="inlineStr">
        <is>
          <t>Water / utilities</t>
        </is>
      </c>
      <c r="D2704" s="12" t="inlineStr">
        <is>
          <t>Motor 5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E-C-0017</t>
        </is>
      </c>
      <c r="B2705" s="12" t="inlineStr">
        <is>
          <t>E</t>
        </is>
      </c>
      <c r="C2705" s="12" t="inlineStr">
        <is>
          <t>Water / utilities</t>
        </is>
      </c>
      <c r="D2705" s="12" t="inlineStr">
        <is>
          <t>Motor 6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E-C-0018</t>
        </is>
      </c>
      <c r="B2706" s="12" t="inlineStr">
        <is>
          <t>E</t>
        </is>
      </c>
      <c r="C2706" s="12" t="inlineStr">
        <is>
          <t>Water / utilities</t>
        </is>
      </c>
      <c r="D2706" s="12" t="inlineStr">
        <is>
          <t>Motor 7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E-C-0019</t>
        </is>
      </c>
      <c r="B2707" s="12" t="inlineStr">
        <is>
          <t>E</t>
        </is>
      </c>
      <c r="C2707" s="12" t="inlineStr">
        <is>
          <t>Water / utilities</t>
        </is>
      </c>
      <c r="D2707" s="12" t="inlineStr">
        <is>
          <t>Motor 8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E-C-0020</t>
        </is>
      </c>
      <c r="B2708" s="12" t="inlineStr">
        <is>
          <t>E</t>
        </is>
      </c>
      <c r="C2708" s="12" t="inlineStr">
        <is>
          <t>Water / utilities</t>
        </is>
      </c>
      <c r="D2708" s="12" t="inlineStr">
        <is>
          <t>Motor 1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1629</v>
      </c>
      <c r="U2708" s="16" t="n">
        <v>145</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E-C-0021</t>
        </is>
      </c>
      <c r="B2709" s="12" t="inlineStr">
        <is>
          <t>E</t>
        </is>
      </c>
      <c r="C2709" s="12" t="inlineStr">
        <is>
          <t>Water / utilities</t>
        </is>
      </c>
      <c r="D2709" s="12" t="inlineStr">
        <is>
          <t>Motor 2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1629</v>
      </c>
      <c r="U2709" s="16" t="n">
        <v>145</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E-C-0022</t>
        </is>
      </c>
      <c r="B2710" s="12" t="inlineStr">
        <is>
          <t>E</t>
        </is>
      </c>
      <c r="C2710" s="12" t="inlineStr">
        <is>
          <t>Water / utilities</t>
        </is>
      </c>
      <c r="D2710" s="12" t="inlineStr">
        <is>
          <t>Motor 3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E-C-0023</t>
        </is>
      </c>
      <c r="B2711" s="12" t="inlineStr">
        <is>
          <t>E</t>
        </is>
      </c>
      <c r="C2711" s="12" t="inlineStr">
        <is>
          <t>Water / utilities</t>
        </is>
      </c>
      <c r="D2711" s="12" t="inlineStr">
        <is>
          <t>Motor 4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E-C-0024</t>
        </is>
      </c>
      <c r="B2712" s="12" t="inlineStr">
        <is>
          <t>E</t>
        </is>
      </c>
      <c r="C2712" s="12" t="inlineStr">
        <is>
          <t>Water / utilities</t>
        </is>
      </c>
      <c r="D2712" s="12" t="inlineStr">
        <is>
          <t>Motor 5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E-C-0025</t>
        </is>
      </c>
      <c r="B2713" s="12" t="inlineStr">
        <is>
          <t>E</t>
        </is>
      </c>
      <c r="C2713" s="12" t="inlineStr">
        <is>
          <t>Water / utilities</t>
        </is>
      </c>
      <c r="D2713" s="12" t="inlineStr">
        <is>
          <t>Motor 6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E-C-0026</t>
        </is>
      </c>
      <c r="B2714" s="12" t="inlineStr">
        <is>
          <t>E</t>
        </is>
      </c>
      <c r="C2714" s="12" t="inlineStr">
        <is>
          <t>Water / utilities</t>
        </is>
      </c>
      <c r="D2714" s="12" t="inlineStr">
        <is>
          <t>Motor 7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E-C-0027</t>
        </is>
      </c>
      <c r="B2715" s="12" t="inlineStr">
        <is>
          <t>E</t>
        </is>
      </c>
      <c r="C2715" s="12" t="inlineStr">
        <is>
          <t>Water / utilities</t>
        </is>
      </c>
      <c r="D2715" s="12" t="inlineStr">
        <is>
          <t>Motor 8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E-C-0028</t>
        </is>
      </c>
      <c r="B2716" s="12" t="inlineStr">
        <is>
          <t>E</t>
        </is>
      </c>
      <c r="C2716" s="12" t="inlineStr">
        <is>
          <t>Water / utilities</t>
        </is>
      </c>
      <c r="D2716" s="12" t="inlineStr">
        <is>
          <t>Motor 9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E-C-0029</t>
        </is>
      </c>
      <c r="B2717" s="12" t="inlineStr">
        <is>
          <t>E</t>
        </is>
      </c>
      <c r="C2717" s="12" t="inlineStr">
        <is>
          <t>Water / utilities</t>
        </is>
      </c>
      <c r="D2717" s="12" t="inlineStr">
        <is>
          <t>Motor 10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E-C-0030</t>
        </is>
      </c>
      <c r="B2718" s="12" t="inlineStr">
        <is>
          <t>E</t>
        </is>
      </c>
      <c r="C2718" s="12" t="inlineStr">
        <is>
          <t>Water / utilities</t>
        </is>
      </c>
      <c r="D2718" s="12" t="inlineStr">
        <is>
          <t>Motor 11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E-C-0031</t>
        </is>
      </c>
      <c r="B2719" s="12" t="inlineStr">
        <is>
          <t>E</t>
        </is>
      </c>
      <c r="C2719" s="12" t="inlineStr">
        <is>
          <t>Water / utilities</t>
        </is>
      </c>
      <c r="D2719" s="12" t="inlineStr">
        <is>
          <t>Motor 12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E-C-0032</t>
        </is>
      </c>
      <c r="B2720" s="12" t="inlineStr">
        <is>
          <t>E</t>
        </is>
      </c>
      <c r="C2720" s="12" t="inlineStr">
        <is>
          <t>Water / utilities</t>
        </is>
      </c>
      <c r="D2720" s="12" t="inlineStr">
        <is>
          <t>Motor 13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E-C-0033</t>
        </is>
      </c>
      <c r="B2721" s="12" t="inlineStr">
        <is>
          <t>E</t>
        </is>
      </c>
      <c r="C2721" s="12" t="inlineStr">
        <is>
          <t>Water / utilities</t>
        </is>
      </c>
      <c r="D2721" s="12" t="inlineStr">
        <is>
          <t>Motor 14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E-C-0034</t>
        </is>
      </c>
      <c r="B2722" s="12" t="inlineStr">
        <is>
          <t>E</t>
        </is>
      </c>
      <c r="C2722" s="12" t="inlineStr">
        <is>
          <t>Water / utilities</t>
        </is>
      </c>
      <c r="D2722" s="12" t="inlineStr">
        <is>
          <t>Motor 15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E-C-0035</t>
        </is>
      </c>
      <c r="B2723" s="12" t="inlineStr">
        <is>
          <t>E</t>
        </is>
      </c>
      <c r="C2723" s="12" t="inlineStr">
        <is>
          <t>Water / utilities</t>
        </is>
      </c>
      <c r="D2723" s="12" t="inlineStr">
        <is>
          <t>Motor 16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E-C-0036</t>
        </is>
      </c>
      <c r="B2724" s="12" t="inlineStr">
        <is>
          <t>E</t>
        </is>
      </c>
      <c r="C2724" s="12" t="inlineStr">
        <is>
          <t>Water / utilities</t>
        </is>
      </c>
      <c r="D2724" s="12" t="inlineStr">
        <is>
          <t>Motor 17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E-C-0037</t>
        </is>
      </c>
      <c r="B2725" s="12" t="inlineStr">
        <is>
          <t>E</t>
        </is>
      </c>
      <c r="C2725" s="12" t="inlineStr">
        <is>
          <t>Water / utilities</t>
        </is>
      </c>
      <c r="D2725" s="12" t="inlineStr">
        <is>
          <t>Motor 18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E-C-0038</t>
        </is>
      </c>
      <c r="B2726" s="12" t="inlineStr">
        <is>
          <t>E</t>
        </is>
      </c>
      <c r="C2726" s="12" t="inlineStr">
        <is>
          <t>Water / utilities</t>
        </is>
      </c>
      <c r="D2726" s="12" t="inlineStr">
        <is>
          <t>Motor 19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E-C-0039</t>
        </is>
      </c>
      <c r="B2727" s="12" t="inlineStr">
        <is>
          <t>E</t>
        </is>
      </c>
      <c r="C2727" s="12" t="inlineStr">
        <is>
          <t>Water / utilities</t>
        </is>
      </c>
      <c r="D2727" s="12" t="inlineStr">
        <is>
          <t>Motor 20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E-F-0001</t>
        </is>
      </c>
      <c r="B2728" s="12" t="inlineStr">
        <is>
          <t>E</t>
        </is>
      </c>
      <c r="C2728" s="12" t="inlineStr">
        <is>
          <t>Water / utilities</t>
        </is>
      </c>
      <c r="D2728" s="12" t="inlineStr">
        <is>
          <t>Plant network / DCS fibre</t>
        </is>
      </c>
      <c r="E2728" s="12" t="inlineStr">
        <is>
          <t>CR</t>
        </is>
      </c>
      <c r="F2728" s="12" t="inlineStr">
        <is>
          <t>Control / admin building (main control room)</t>
        </is>
      </c>
      <c r="G2728" s="12" t="inlineStr">
        <is>
          <t>R-WT</t>
        </is>
      </c>
      <c r="H2728" s="12" t="inlineStr">
        <is>
          <t>Water treatment building (incl. R-WT electrical room)</t>
        </is>
      </c>
      <c r="I2728" s="12" t="inlineStr">
        <is>
          <t>Fibre / data</t>
        </is>
      </c>
      <c r="J2728" s="12" t="inlineStr">
        <is>
          <t>Fibre optic, single-mode, 12-fibre, armored, orange jacket</t>
        </is>
      </c>
      <c r="K2728" s="12" t="inlineStr">
        <is>
          <t>FO|12 SM|-</t>
        </is>
      </c>
      <c r="L2728" s="12" t="inlineStr">
        <is>
          <t>12 SM</t>
        </is>
      </c>
      <c r="M2728" s="12" t="inlineStr">
        <is>
          <t>-</t>
        </is>
      </c>
      <c r="N2728" s="12" t="n">
        <v>1</v>
      </c>
      <c r="O2728" s="12" t="n">
        <v>1</v>
      </c>
      <c r="P2728" s="12" t="n"/>
      <c r="Q2728" s="12" t="n"/>
      <c r="R2728" s="12" t="n"/>
      <c r="S2728" s="12" t="inlineStr">
        <is>
          <t>Duct bank</t>
        </is>
      </c>
      <c r="T2728" s="16" t="n">
        <v>1251</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E-FA-0001</t>
        </is>
      </c>
      <c r="B2729" s="12" t="inlineStr">
        <is>
          <t>E</t>
        </is>
      </c>
      <c r="C2729" s="12" t="inlineStr">
        <is>
          <t>Water / utilities</t>
        </is>
      </c>
      <c r="D2729" s="12" t="inlineStr">
        <is>
          <t>Fire alarm / F&amp;G loop (to the local FACP / F&amp;G node)</t>
        </is>
      </c>
      <c r="E2729" s="12" t="inlineStr">
        <is>
          <t>R-WT</t>
        </is>
      </c>
      <c r="F2729" s="12" t="inlineStr">
        <is>
          <t>Water treatment building (incl. R-WT electrical room)</t>
        </is>
      </c>
      <c r="G2729" s="12" t="inlineStr"/>
      <c r="H2729" s="12" t="inlineStr">
        <is>
          <t>Auxiliary boiler</t>
        </is>
      </c>
      <c r="I2729" s="12" t="inlineStr">
        <is>
          <t>Fire alarm</t>
        </is>
      </c>
      <c r="J2729" s="12" t="inlineStr">
        <is>
          <t>Fire alarm FPLR 2/C #14 shielded, red jacket (NEC 760)</t>
        </is>
      </c>
      <c r="K2729" s="12" t="inlineStr">
        <is>
          <t>FA|2/C|14</t>
        </is>
      </c>
      <c r="L2729" s="12" t="inlineStr">
        <is>
          <t>2/C</t>
        </is>
      </c>
      <c r="M2729" s="12" t="inlineStr">
        <is>
          <t>14</t>
        </is>
      </c>
      <c r="N2729" s="12" t="n">
        <v>1</v>
      </c>
      <c r="O2729" s="12" t="n">
        <v>1</v>
      </c>
      <c r="P2729" s="12" t="n"/>
      <c r="Q2729" s="12" t="n"/>
      <c r="R2729" s="12" t="n"/>
      <c r="S2729" s="12" t="inlineStr">
        <is>
          <t>Duct bank</t>
        </is>
      </c>
      <c r="T2729" s="16" t="n">
        <v>370</v>
      </c>
      <c r="U2729" s="16" t="n">
        <v>52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E-FA-0002</t>
        </is>
      </c>
      <c r="B2730" s="12" t="inlineStr">
        <is>
          <t>E</t>
        </is>
      </c>
      <c r="C2730" s="12" t="inlineStr">
        <is>
          <t>Water / utilities</t>
        </is>
      </c>
      <c r="D2730" s="12" t="inlineStr">
        <is>
          <t>Fire alarm / F&amp;G loop (to the local FACP / F&amp;G node)</t>
        </is>
      </c>
      <c r="E2730" s="12" t="inlineStr">
        <is>
          <t>R-WT</t>
        </is>
      </c>
      <c r="F2730" s="12" t="inlineStr">
        <is>
          <t>Water treatment building (incl. R-WT electrical room)</t>
        </is>
      </c>
      <c r="G2730" s="12" t="inlineStr"/>
      <c r="H2730" s="12" t="inlineStr">
        <is>
          <t>Fire pump house</t>
        </is>
      </c>
      <c r="I2730" s="12" t="inlineStr">
        <is>
          <t>Fire alarm</t>
        </is>
      </c>
      <c r="J2730" s="12" t="inlineStr">
        <is>
          <t>Fire alarm FPLR 2/C #14 shielded, red jacket (NEC 760)</t>
        </is>
      </c>
      <c r="K2730" s="12" t="inlineStr">
        <is>
          <t>FA|2/C|14</t>
        </is>
      </c>
      <c r="L2730" s="12" t="inlineStr">
        <is>
          <t>2/C</t>
        </is>
      </c>
      <c r="M2730" s="12" t="inlineStr">
        <is>
          <t>14</t>
        </is>
      </c>
      <c r="N2730" s="12" t="n">
        <v>1</v>
      </c>
      <c r="O2730" s="12" t="n">
        <v>1</v>
      </c>
      <c r="P2730" s="12" t="n"/>
      <c r="Q2730" s="12" t="n"/>
      <c r="R2730" s="12" t="n"/>
      <c r="S2730" s="12" t="inlineStr">
        <is>
          <t>Duct bank</t>
        </is>
      </c>
      <c r="T2730" s="16" t="n">
        <v>160</v>
      </c>
      <c r="U2730" s="16" t="n">
        <v>96</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E-FA-0003</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is>
          <t>R-WT</t>
        </is>
      </c>
      <c r="H2731" s="12" t="inlineStr">
        <is>
          <t>Water treatment building (incl. R-WT electrical room)</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Tray</t>
        </is>
      </c>
      <c r="T2731" s="16" t="n">
        <v>0</v>
      </c>
      <c r="U2731" s="16" t="n">
        <v>32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E-I-0001</t>
        </is>
      </c>
      <c r="B2732" s="12" t="inlineStr">
        <is>
          <t>E</t>
        </is>
      </c>
      <c r="C2732" s="12" t="inlineStr">
        <is>
          <t>Water / utilities</t>
        </is>
      </c>
      <c r="D2732" s="12" t="inlineStr">
        <is>
          <t>Analog instrument to JB JB-Ammonia storage (a-AI01: 8 x 1 pr (field cables)</t>
        </is>
      </c>
      <c r="E2732" s="12" t="inlineStr"/>
      <c r="F2732" s="12" t="inlineStr">
        <is>
          <t>Ammonia storage (aqueous, SCR reagent)</t>
        </is>
      </c>
      <c r="G2732" s="12" t="inlineStr">
        <is>
          <t>JB-Ammonia storage (a-AI01</t>
        </is>
      </c>
      <c r="H2732" s="12" t="inlineStr">
        <is>
          <t>Ammonia storage (aqueous, SCR reagent)</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8</v>
      </c>
      <c r="O2732" s="12" t="n">
        <v>1</v>
      </c>
      <c r="P2732" s="12" t="n"/>
      <c r="Q2732" s="12" t="n"/>
      <c r="R2732" s="12" t="n"/>
      <c r="S2732" s="12" t="inlineStr">
        <is>
          <t>Tray / conduit</t>
        </is>
      </c>
      <c r="T2732" s="16" t="n">
        <v>90</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E-I-0002</t>
        </is>
      </c>
      <c r="B2733" s="12" t="inlineStr">
        <is>
          <t>E</t>
        </is>
      </c>
      <c r="C2733" s="12" t="inlineStr">
        <is>
          <t>Water / utilities</t>
        </is>
      </c>
      <c r="D2733" s="12" t="inlineStr">
        <is>
          <t>Home run JB-Ammonia storage (a-AI01 to the control / marshalling room</t>
        </is>
      </c>
      <c r="E2733" s="12" t="inlineStr">
        <is>
          <t>R-WT</t>
        </is>
      </c>
      <c r="F2733" s="12" t="inlineStr">
        <is>
          <t>Water treatment building (incl. R-WT electrical room)</t>
        </is>
      </c>
      <c r="G2733" s="12" t="inlineStr">
        <is>
          <t>JB-Ammonia storage (a-AI01</t>
        </is>
      </c>
      <c r="H2733" s="12" t="inlineStr">
        <is>
          <t>Ammonia storage (aqueous, SCR reagent)</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6" t="n">
        <v>292</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E-I-0003</t>
        </is>
      </c>
      <c r="B2734" s="12" t="inlineStr">
        <is>
          <t>E</t>
        </is>
      </c>
      <c r="C2734" s="12" t="inlineStr">
        <is>
          <t>Water / utilities</t>
        </is>
      </c>
      <c r="D2734" s="12" t="inlineStr">
        <is>
          <t>Discrete device to JB JB-Ammonia storage (a-DI01: 10 x 1 pr (field cables)</t>
        </is>
      </c>
      <c r="E2734" s="12" t="inlineStr"/>
      <c r="F2734" s="12" t="inlineStr">
        <is>
          <t>Ammonia storage (aqueous, SCR reagent)</t>
        </is>
      </c>
      <c r="G2734" s="12" t="inlineStr">
        <is>
          <t>JB-Ammonia storage (a-DI01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10</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E-I-0004</t>
        </is>
      </c>
      <c r="B2735" s="12" t="inlineStr">
        <is>
          <t>E</t>
        </is>
      </c>
      <c r="C2735" s="12" t="inlineStr">
        <is>
          <t>Water / utilities</t>
        </is>
      </c>
      <c r="D2735" s="12" t="inlineStr">
        <is>
          <t>Home run JB-Ammonia storage (a-DI01 to the control / marshalling room</t>
        </is>
      </c>
      <c r="E2735" s="12" t="inlineStr">
        <is>
          <t>R-WT</t>
        </is>
      </c>
      <c r="F2735" s="12" t="inlineStr">
        <is>
          <t>Water treatment building (incl. R-WT electrical room)</t>
        </is>
      </c>
      <c r="G2735" s="12" t="inlineStr">
        <is>
          <t>JB-Ammonia storage (a-DI01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E-I-0005</t>
        </is>
      </c>
      <c r="B2736" s="12" t="inlineStr">
        <is>
          <t>E</t>
        </is>
      </c>
      <c r="C2736" s="12" t="inlineStr">
        <is>
          <t>Water / utilities</t>
        </is>
      </c>
      <c r="D2736" s="12" t="inlineStr">
        <is>
          <t>Analog instrument to JB JB-Auxiliary boiler-AI01: 20 x 1 pr (field cables)</t>
        </is>
      </c>
      <c r="E2736" s="12" t="inlineStr"/>
      <c r="F2736" s="12" t="inlineStr">
        <is>
          <t>Auxiliary boiler</t>
        </is>
      </c>
      <c r="G2736" s="12" t="inlineStr">
        <is>
          <t>JB-Auxiliary boiler-AI01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6" t="n">
        <v>128</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E-I-0006</t>
        </is>
      </c>
      <c r="B2737" s="12" t="inlineStr">
        <is>
          <t>E</t>
        </is>
      </c>
      <c r="C2737" s="12" t="inlineStr">
        <is>
          <t>Water / utilities</t>
        </is>
      </c>
      <c r="D2737" s="12" t="inlineStr">
        <is>
          <t>Home run JB-Auxiliary boiler-AI01 to the control / marshalling room</t>
        </is>
      </c>
      <c r="E2737" s="12" t="inlineStr">
        <is>
          <t>R-WT</t>
        </is>
      </c>
      <c r="F2737" s="12" t="inlineStr">
        <is>
          <t>Water treatment building (incl. R-WT electrical room)</t>
        </is>
      </c>
      <c r="G2737" s="12" t="inlineStr">
        <is>
          <t>JB-Auxiliary boiler-AI01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370</v>
      </c>
      <c r="U2737" s="16" t="n">
        <v>52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E-I-0007</t>
        </is>
      </c>
      <c r="B2738" s="12" t="inlineStr">
        <is>
          <t>E</t>
        </is>
      </c>
      <c r="C2738" s="12" t="inlineStr">
        <is>
          <t>Water / utilities</t>
        </is>
      </c>
      <c r="D2738" s="12" t="inlineStr">
        <is>
          <t>Analog instrument to JB JB-Auxiliary boiler-AI02: 5 x 1 pr (field cables)</t>
        </is>
      </c>
      <c r="E2738" s="12" t="inlineStr"/>
      <c r="F2738" s="12" t="inlineStr">
        <is>
          <t>Auxiliary boiler</t>
        </is>
      </c>
      <c r="G2738" s="12" t="inlineStr">
        <is>
          <t>JB-Auxiliary boiler-AI02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E-I-0008</t>
        </is>
      </c>
      <c r="B2739" s="12" t="inlineStr">
        <is>
          <t>E</t>
        </is>
      </c>
      <c r="C2739" s="12" t="inlineStr">
        <is>
          <t>Water / utilities</t>
        </is>
      </c>
      <c r="D2739" s="12" t="inlineStr">
        <is>
          <t>Home run JB-Auxiliary boiler-AI02 to the control / marshalling room</t>
        </is>
      </c>
      <c r="E2739" s="12" t="inlineStr">
        <is>
          <t>R-WT</t>
        </is>
      </c>
      <c r="F2739" s="12" t="inlineStr">
        <is>
          <t>Water treatment building (incl. R-WT electrical room)</t>
        </is>
      </c>
      <c r="G2739" s="12" t="inlineStr">
        <is>
          <t>JB-Auxiliary boiler-AI02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E-I-0009</t>
        </is>
      </c>
      <c r="B2740" s="12" t="inlineStr">
        <is>
          <t>E</t>
        </is>
      </c>
      <c r="C2740" s="12" t="inlineStr">
        <is>
          <t>Water / utilities</t>
        </is>
      </c>
      <c r="D2740" s="12" t="inlineStr">
        <is>
          <t>Discrete device to JB JB-Auxiliary boiler-DI01: 20 x 1 pr (field cables)</t>
        </is>
      </c>
      <c r="E2740" s="12" t="inlineStr"/>
      <c r="F2740" s="12" t="inlineStr">
        <is>
          <t>Auxiliary boiler</t>
        </is>
      </c>
      <c r="G2740" s="12" t="inlineStr">
        <is>
          <t>JB-Auxiliary boiler-DI01</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20</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E-I-0010</t>
        </is>
      </c>
      <c r="B2741" s="12" t="inlineStr">
        <is>
          <t>E</t>
        </is>
      </c>
      <c r="C2741" s="12" t="inlineStr">
        <is>
          <t>Water / utilities</t>
        </is>
      </c>
      <c r="D2741" s="12" t="inlineStr">
        <is>
          <t>Home run JB-Auxiliary boiler-DI01 to the control / marshalling room</t>
        </is>
      </c>
      <c r="E2741" s="12" t="inlineStr">
        <is>
          <t>R-WT</t>
        </is>
      </c>
      <c r="F2741" s="12" t="inlineStr">
        <is>
          <t>Water treatment building (incl. R-WT electrical room)</t>
        </is>
      </c>
      <c r="G2741" s="12" t="inlineStr">
        <is>
          <t>JB-Auxiliary boiler-DI01</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E-I-0011</t>
        </is>
      </c>
      <c r="B2742" s="12" t="inlineStr">
        <is>
          <t>E</t>
        </is>
      </c>
      <c r="C2742" s="12" t="inlineStr">
        <is>
          <t>Water / utilities</t>
        </is>
      </c>
      <c r="D2742" s="12" t="inlineStr">
        <is>
          <t>Discrete device to JB JB-Auxiliary boiler-DI02: 5 x 1 pr (field cables)</t>
        </is>
      </c>
      <c r="E2742" s="12" t="inlineStr"/>
      <c r="F2742" s="12" t="inlineStr">
        <is>
          <t>Auxiliary boiler</t>
        </is>
      </c>
      <c r="G2742" s="12" t="inlineStr">
        <is>
          <t>JB-Auxiliary boiler-DI02</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5</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E-I-0012</t>
        </is>
      </c>
      <c r="B2743" s="12" t="inlineStr">
        <is>
          <t>E</t>
        </is>
      </c>
      <c r="C2743" s="12" t="inlineStr">
        <is>
          <t>Water / utilities</t>
        </is>
      </c>
      <c r="D2743" s="12" t="inlineStr">
        <is>
          <t>Home run JB-Auxiliary boiler-DI02 to the control / marshalling room</t>
        </is>
      </c>
      <c r="E2743" s="12" t="inlineStr">
        <is>
          <t>R-WT</t>
        </is>
      </c>
      <c r="F2743" s="12" t="inlineStr">
        <is>
          <t>Water treatment building (incl. R-WT electrical room)</t>
        </is>
      </c>
      <c r="G2743" s="12" t="inlineStr">
        <is>
          <t>JB-Auxiliary boiler-DI02</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E-I-0013</t>
        </is>
      </c>
      <c r="B2744" s="12" t="inlineStr">
        <is>
          <t>E</t>
        </is>
      </c>
      <c r="C2744" s="12" t="inlineStr">
        <is>
          <t>Water / utilities</t>
        </is>
      </c>
      <c r="D2744" s="12" t="inlineStr">
        <is>
          <t>Instrumentation</t>
        </is>
      </c>
      <c r="E2744" s="12" t="inlineStr">
        <is>
          <t>R-WT</t>
        </is>
      </c>
      <c r="F2744" s="12" t="inlineStr">
        <is>
          <t>Water treatment building (incl. R-WT electrical room)</t>
        </is>
      </c>
      <c r="G2744" s="12" t="inlineStr">
        <is>
          <t>CPR-2</t>
        </is>
      </c>
      <c r="H2744" s="12" t="inlineStr">
        <is>
          <t>CPR-2: cathodic-protection rectifier</t>
        </is>
      </c>
      <c r="I2744" s="12" t="inlineStr">
        <is>
          <t>Instrumentation</t>
        </is>
      </c>
      <c r="J2744" s="12" t="inlineStr">
        <is>
          <t>Instrumentation PLTC / TC-ER 300 V, #18 twisted shielded pairs, overall shield</t>
        </is>
      </c>
      <c r="K2744" s="12" t="inlineStr">
        <is>
          <t>PLTC|4 pr|18</t>
        </is>
      </c>
      <c r="L2744" s="12" t="inlineStr">
        <is>
          <t>4 pr</t>
        </is>
      </c>
      <c r="M2744" s="12" t="inlineStr">
        <is>
          <t>18</t>
        </is>
      </c>
      <c r="N2744" s="12" t="n">
        <v>1</v>
      </c>
      <c r="O2744" s="12" t="n">
        <v>1</v>
      </c>
      <c r="P2744" s="12" t="n"/>
      <c r="Q2744" s="12" t="n"/>
      <c r="R2744" s="12" t="n"/>
      <c r="S2744" s="12" t="inlineStr">
        <is>
          <t>Duct bank</t>
        </is>
      </c>
      <c r="T2744" s="16" t="n">
        <v>115</v>
      </c>
      <c r="U2744" s="16" t="n">
        <v>96</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E-I-0014</t>
        </is>
      </c>
      <c r="B2745" s="12" t="inlineStr">
        <is>
          <t>E</t>
        </is>
      </c>
      <c r="C2745" s="12" t="inlineStr">
        <is>
          <t>Water / utilities</t>
        </is>
      </c>
      <c r="D2745" s="12" t="inlineStr">
        <is>
          <t>Analog instrument to JB JB-Demineralised wate-AI01: 4 x 1 pr (field cables)</t>
        </is>
      </c>
      <c r="E2745" s="12" t="inlineStr"/>
      <c r="F2745" s="12" t="inlineStr">
        <is>
          <t>Demineralised water tank</t>
        </is>
      </c>
      <c r="G2745" s="12" t="inlineStr">
        <is>
          <t>JB-Demineralised wate-AI01</t>
        </is>
      </c>
      <c r="H2745" s="12" t="inlineStr">
        <is>
          <t>Demineralised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6" t="n">
        <v>86</v>
      </c>
      <c r="U2745" s="16" t="n">
        <v>10</v>
      </c>
      <c r="V2745" s="16">
        <f>ROUNDUP((T2745+U2745+2*'Read Me'!$B$13)*(1+'Read Me'!$B$12),-1)</f>
        <v/>
      </c>
      <c r="W2745" s="16">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E-I-0015</t>
        </is>
      </c>
      <c r="B2746" s="12" t="inlineStr">
        <is>
          <t>E</t>
        </is>
      </c>
      <c r="C2746" s="12" t="inlineStr">
        <is>
          <t>Water / utilities</t>
        </is>
      </c>
      <c r="D2746" s="12" t="inlineStr">
        <is>
          <t>Home run JB-Demineralised wate-AI01 to the control / marshalling room</t>
        </is>
      </c>
      <c r="E2746" s="12" t="inlineStr">
        <is>
          <t>R-WT</t>
        </is>
      </c>
      <c r="F2746" s="12" t="inlineStr">
        <is>
          <t>Water treatment building (incl. R-WT electrical room)</t>
        </is>
      </c>
      <c r="G2746" s="12" t="inlineStr">
        <is>
          <t>JB-Demineralised wate-AI01</t>
        </is>
      </c>
      <c r="H2746" s="12" t="inlineStr">
        <is>
          <t>Demineralised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Duct bank</t>
        </is>
      </c>
      <c r="T2746" s="16" t="n">
        <v>28</v>
      </c>
      <c r="U2746" s="16" t="n">
        <v>123</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E-I-0016</t>
        </is>
      </c>
      <c r="B2747" s="12" t="inlineStr">
        <is>
          <t>E</t>
        </is>
      </c>
      <c r="C2747" s="12" t="inlineStr">
        <is>
          <t>Water / utilities</t>
        </is>
      </c>
      <c r="D2747" s="12" t="inlineStr">
        <is>
          <t>Discrete device to JB JB-Demineralised wate-DI01: 4 x 1 pr (field cables)</t>
        </is>
      </c>
      <c r="E2747" s="12" t="inlineStr"/>
      <c r="F2747" s="12" t="inlineStr">
        <is>
          <t>Demineralised water tank</t>
        </is>
      </c>
      <c r="G2747" s="12" t="inlineStr">
        <is>
          <t>JB-Demineralised wate-DI01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E-I-0017</t>
        </is>
      </c>
      <c r="B2748" s="12" t="inlineStr">
        <is>
          <t>E</t>
        </is>
      </c>
      <c r="C2748" s="12" t="inlineStr">
        <is>
          <t>Water / utilities</t>
        </is>
      </c>
      <c r="D2748" s="12" t="inlineStr">
        <is>
          <t>Home run JB-Demineralised wate-DI01 to the control / marshalling room</t>
        </is>
      </c>
      <c r="E2748" s="12" t="inlineStr">
        <is>
          <t>R-WT</t>
        </is>
      </c>
      <c r="F2748" s="12" t="inlineStr">
        <is>
          <t>Water treatment building (incl. R-WT electrical room)</t>
        </is>
      </c>
      <c r="G2748" s="12" t="inlineStr">
        <is>
          <t>JB-Demineralised wate-DI01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E-I-0018</t>
        </is>
      </c>
      <c r="B2749" s="12" t="inlineStr">
        <is>
          <t>E</t>
        </is>
      </c>
      <c r="C2749" s="12" t="inlineStr">
        <is>
          <t>Water / utilities</t>
        </is>
      </c>
      <c r="D2749" s="12" t="inlineStr">
        <is>
          <t>Analog instrument to JB JB-Fire / service wat-AI01: 4 x 1 pr (field cables)</t>
        </is>
      </c>
      <c r="E2749" s="12" t="inlineStr"/>
      <c r="F2749" s="12" t="inlineStr">
        <is>
          <t>Fire / service water tank</t>
        </is>
      </c>
      <c r="G2749" s="12" t="inlineStr">
        <is>
          <t>JB-Fire / service wat-AI01</t>
        </is>
      </c>
      <c r="H2749" s="12" t="inlineStr">
        <is>
          <t>Fire / service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95</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E-I-0019</t>
        </is>
      </c>
      <c r="B2750" s="12" t="inlineStr">
        <is>
          <t>E</t>
        </is>
      </c>
      <c r="C2750" s="12" t="inlineStr">
        <is>
          <t>Water / utilities</t>
        </is>
      </c>
      <c r="D2750" s="12" t="inlineStr">
        <is>
          <t>Home run JB-Fire / service wat-AI01 to the control / marshalling room</t>
        </is>
      </c>
      <c r="E2750" s="12" t="inlineStr">
        <is>
          <t>R-WT</t>
        </is>
      </c>
      <c r="F2750" s="12" t="inlineStr">
        <is>
          <t>Water treatment building (incl. R-WT electrical room)</t>
        </is>
      </c>
      <c r="G2750" s="12" t="inlineStr">
        <is>
          <t>JB-Fire / service wat-AI01</t>
        </is>
      </c>
      <c r="H2750" s="12" t="inlineStr">
        <is>
          <t>Fire / service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0</v>
      </c>
      <c r="U2750" s="16" t="n">
        <v>100</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E-I-0020</t>
        </is>
      </c>
      <c r="B2751" s="12" t="inlineStr">
        <is>
          <t>E</t>
        </is>
      </c>
      <c r="C2751" s="12" t="inlineStr">
        <is>
          <t>Water / utilities</t>
        </is>
      </c>
      <c r="D2751" s="12" t="inlineStr">
        <is>
          <t>Discrete device to JB JB-Fire / service wat-DI01: 4 x 1 pr (field cables)</t>
        </is>
      </c>
      <c r="E2751" s="12" t="inlineStr"/>
      <c r="F2751" s="12" t="inlineStr">
        <is>
          <t>Fire / service water tank</t>
        </is>
      </c>
      <c r="G2751" s="12" t="inlineStr">
        <is>
          <t>JB-Fire / service wat-DI01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E-I-0021</t>
        </is>
      </c>
      <c r="B2752" s="12" t="inlineStr">
        <is>
          <t>E</t>
        </is>
      </c>
      <c r="C2752" s="12" t="inlineStr">
        <is>
          <t>Water / utilities</t>
        </is>
      </c>
      <c r="D2752" s="12" t="inlineStr">
        <is>
          <t>Home run JB-Fire / service wat-DI01 to the control / marshalling room</t>
        </is>
      </c>
      <c r="E2752" s="12" t="inlineStr">
        <is>
          <t>R-WT</t>
        </is>
      </c>
      <c r="F2752" s="12" t="inlineStr">
        <is>
          <t>Water treatment building (incl. R-WT electrical room)</t>
        </is>
      </c>
      <c r="G2752" s="12" t="inlineStr">
        <is>
          <t>JB-Fire / service wat-DI01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E-I-0022</t>
        </is>
      </c>
      <c r="B2753" s="12" t="inlineStr">
        <is>
          <t>E</t>
        </is>
      </c>
      <c r="C2753" s="12" t="inlineStr">
        <is>
          <t>Water / utilities</t>
        </is>
      </c>
      <c r="D2753" s="12" t="inlineStr">
        <is>
          <t>Analog instrument to JB JB-Fire pump house-AI01: 10 x 1 pr (field cables)</t>
        </is>
      </c>
      <c r="E2753" s="12" t="inlineStr"/>
      <c r="F2753" s="12" t="inlineStr">
        <is>
          <t>Fire pump house</t>
        </is>
      </c>
      <c r="G2753" s="12" t="inlineStr">
        <is>
          <t>JB-Fire pump house-AI01</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6" t="n">
        <v>66</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E-I-0023</t>
        </is>
      </c>
      <c r="B2754" s="12" t="inlineStr">
        <is>
          <t>E</t>
        </is>
      </c>
      <c r="C2754" s="12" t="inlineStr">
        <is>
          <t>Water / utilities</t>
        </is>
      </c>
      <c r="D2754" s="12" t="inlineStr">
        <is>
          <t>Home run JB-Fire pump house-AI01 to the control / marshalling room</t>
        </is>
      </c>
      <c r="E2754" s="12" t="inlineStr">
        <is>
          <t>R-WT</t>
        </is>
      </c>
      <c r="F2754" s="12" t="inlineStr">
        <is>
          <t>Water treatment building (incl. R-WT electrical room)</t>
        </is>
      </c>
      <c r="G2754" s="12" t="inlineStr">
        <is>
          <t>JB-Fire pump house-AI01</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160</v>
      </c>
      <c r="U2754" s="16" t="n">
        <v>96</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E-I-0024</t>
        </is>
      </c>
      <c r="B2755" s="12" t="inlineStr">
        <is>
          <t>E</t>
        </is>
      </c>
      <c r="C2755" s="12" t="inlineStr">
        <is>
          <t>Water / utilities</t>
        </is>
      </c>
      <c r="D2755" s="12" t="inlineStr">
        <is>
          <t>Discrete device to JB JB-Fire pump house-DI01: 20 x 1 pr (field cables)</t>
        </is>
      </c>
      <c r="E2755" s="12" t="inlineStr"/>
      <c r="F2755" s="12" t="inlineStr">
        <is>
          <t>Fire pump house</t>
        </is>
      </c>
      <c r="G2755" s="12" t="inlineStr">
        <is>
          <t>JB-Fire pump house-DI01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E-I-0025</t>
        </is>
      </c>
      <c r="B2756" s="12" t="inlineStr">
        <is>
          <t>E</t>
        </is>
      </c>
      <c r="C2756" s="12" t="inlineStr">
        <is>
          <t>Water / utilities</t>
        </is>
      </c>
      <c r="D2756" s="12" t="inlineStr">
        <is>
          <t>Home run JB-Fire pump house-DI01 to the control / marshalling room</t>
        </is>
      </c>
      <c r="E2756" s="12" t="inlineStr">
        <is>
          <t>R-WT</t>
        </is>
      </c>
      <c r="F2756" s="12" t="inlineStr">
        <is>
          <t>Water treatment building (incl. R-WT electrical room)</t>
        </is>
      </c>
      <c r="G2756" s="12" t="inlineStr">
        <is>
          <t>JB-Fire pump house-DI01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E-I-0026</t>
        </is>
      </c>
      <c r="B2757" s="12" t="inlineStr">
        <is>
          <t>E</t>
        </is>
      </c>
      <c r="C2757" s="12" t="inlineStr">
        <is>
          <t>Water / utilities</t>
        </is>
      </c>
      <c r="D2757" s="12" t="inlineStr">
        <is>
          <t>Discrete device to JB JB-Fire pump house-DI02: 10 x 1 pr (field cables)</t>
        </is>
      </c>
      <c r="E2757" s="12" t="inlineStr"/>
      <c r="F2757" s="12" t="inlineStr">
        <is>
          <t>Fire pump house</t>
        </is>
      </c>
      <c r="G2757" s="12" t="inlineStr">
        <is>
          <t>JB-Fire pump house-DI02</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10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E-I-0027</t>
        </is>
      </c>
      <c r="B2758" s="12" t="inlineStr">
        <is>
          <t>E</t>
        </is>
      </c>
      <c r="C2758" s="12" t="inlineStr">
        <is>
          <t>Water / utilities</t>
        </is>
      </c>
      <c r="D2758" s="12" t="inlineStr">
        <is>
          <t>Home run JB-Fire pump house-DI02 to the control / marshalling room</t>
        </is>
      </c>
      <c r="E2758" s="12" t="inlineStr">
        <is>
          <t>R-WT</t>
        </is>
      </c>
      <c r="F2758" s="12" t="inlineStr">
        <is>
          <t>Water treatment building (incl. R-WT electrical room)</t>
        </is>
      </c>
      <c r="G2758" s="12" t="inlineStr">
        <is>
          <t>JB-Fire pump house-DI02</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E-I-0028</t>
        </is>
      </c>
      <c r="B2759" s="12" t="inlineStr">
        <is>
          <t>E</t>
        </is>
      </c>
      <c r="C2759" s="12" t="inlineStr">
        <is>
          <t>Water / utilities</t>
        </is>
      </c>
      <c r="D2759" s="12" t="inlineStr">
        <is>
          <t>Analog instrument to JB JB-H2 / CO2 storage (-AI01: 8 x 1 pr (field cables)</t>
        </is>
      </c>
      <c r="E2759" s="12" t="inlineStr"/>
      <c r="F2759" s="12" t="inlineStr">
        <is>
          <t>H2 / CO2 storage (generator gas)</t>
        </is>
      </c>
      <c r="G2759" s="12" t="inlineStr">
        <is>
          <t>JB-H2 / CO2 storage (-AI01</t>
        </is>
      </c>
      <c r="H2759" s="12" t="inlineStr">
        <is>
          <t>H2 / CO2 storage (generator gas)</t>
        </is>
      </c>
      <c r="I2759" s="12" t="inlineStr">
        <is>
          <t>Instrumentation</t>
        </is>
      </c>
      <c r="J2759" s="12" t="inlineStr">
        <is>
          <t>Instrumentation ITC / PLTC, IS, #18 shielded pairs, blue jacket</t>
        </is>
      </c>
      <c r="K2759" s="12" t="inlineStr">
        <is>
          <t>ITC|1 pr|16</t>
        </is>
      </c>
      <c r="L2759" s="12" t="inlineStr">
        <is>
          <t>1 pr</t>
        </is>
      </c>
      <c r="M2759" s="12" t="inlineStr">
        <is>
          <t>16</t>
        </is>
      </c>
      <c r="N2759" s="12" t="n">
        <v>8</v>
      </c>
      <c r="O2759" s="12" t="n">
        <v>1</v>
      </c>
      <c r="P2759" s="12" t="n"/>
      <c r="Q2759" s="12" t="n"/>
      <c r="R2759" s="12" t="n"/>
      <c r="S2759" s="12" t="inlineStr">
        <is>
          <t>Tray / conduit</t>
        </is>
      </c>
      <c r="T2759" s="16" t="n">
        <v>82</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E-I-0029</t>
        </is>
      </c>
      <c r="B2760" s="12" t="inlineStr">
        <is>
          <t>E</t>
        </is>
      </c>
      <c r="C2760" s="12" t="inlineStr">
        <is>
          <t>Water / utilities</t>
        </is>
      </c>
      <c r="D2760" s="12" t="inlineStr">
        <is>
          <t>Home run JB-H2 / CO2 storage (-AI01 to the control / marshalling room</t>
        </is>
      </c>
      <c r="E2760" s="12" t="inlineStr">
        <is>
          <t>R-WT</t>
        </is>
      </c>
      <c r="F2760" s="12" t="inlineStr">
        <is>
          <t>Water treatment building (incl. R-WT electrical room)</t>
        </is>
      </c>
      <c r="G2760" s="12" t="inlineStr">
        <is>
          <t>JB-H2 / CO2 storage (-AI01</t>
        </is>
      </c>
      <c r="H2760" s="12" t="inlineStr">
        <is>
          <t>H2 / CO2 storage (generator gas)</t>
        </is>
      </c>
      <c r="I2760" s="12" t="inlineStr">
        <is>
          <t>Instrumentation</t>
        </is>
      </c>
      <c r="J2760" s="12" t="inlineStr">
        <is>
          <t>Instrumentation ITC / PLTC, IS, #18 shielded pairs, blue jacket</t>
        </is>
      </c>
      <c r="K2760" s="12" t="inlineStr">
        <is>
          <t>ITC|24 pr|18</t>
        </is>
      </c>
      <c r="L2760" s="12" t="inlineStr">
        <is>
          <t>24 pr</t>
        </is>
      </c>
      <c r="M2760" s="12" t="inlineStr">
        <is>
          <t>18</t>
        </is>
      </c>
      <c r="N2760" s="12" t="n">
        <v>1</v>
      </c>
      <c r="O2760" s="12" t="n">
        <v>1</v>
      </c>
      <c r="P2760" s="12" t="n"/>
      <c r="Q2760" s="12" t="n"/>
      <c r="R2760" s="12" t="n"/>
      <c r="S2760" s="12" t="inlineStr">
        <is>
          <t>Duct bank</t>
        </is>
      </c>
      <c r="T2760" s="16" t="n">
        <v>535</v>
      </c>
      <c r="U2760" s="16" t="n">
        <v>32</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E-I-0030</t>
        </is>
      </c>
      <c r="B2761" s="12" t="inlineStr">
        <is>
          <t>E</t>
        </is>
      </c>
      <c r="C2761" s="12" t="inlineStr">
        <is>
          <t>Water / utilities</t>
        </is>
      </c>
      <c r="D2761" s="12" t="inlineStr">
        <is>
          <t>Discrete device to JB JB-H2 / CO2 storage (-DI01: 8 x 1 pr (field cables)</t>
        </is>
      </c>
      <c r="E2761" s="12" t="inlineStr"/>
      <c r="F2761" s="12" t="inlineStr">
        <is>
          <t>H2 / CO2 storage (generator gas)</t>
        </is>
      </c>
      <c r="G2761" s="12" t="inlineStr">
        <is>
          <t>JB-H2 / CO2 storage (-DI01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E-I-0031</t>
        </is>
      </c>
      <c r="B2762" s="12" t="inlineStr">
        <is>
          <t>E</t>
        </is>
      </c>
      <c r="C2762" s="12" t="inlineStr">
        <is>
          <t>Water / utilities</t>
        </is>
      </c>
      <c r="D2762" s="12" t="inlineStr">
        <is>
          <t>Home run JB-H2 / CO2 storage (-DI01 to the control / marshalling room</t>
        </is>
      </c>
      <c r="E2762" s="12" t="inlineStr">
        <is>
          <t>R-WT</t>
        </is>
      </c>
      <c r="F2762" s="12" t="inlineStr">
        <is>
          <t>Water treatment building (incl. R-WT electrical room)</t>
        </is>
      </c>
      <c r="G2762" s="12" t="inlineStr">
        <is>
          <t>JB-H2 / CO2 storage (-DI01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E-I-0032</t>
        </is>
      </c>
      <c r="B2763" s="12" t="inlineStr">
        <is>
          <t>E</t>
        </is>
      </c>
      <c r="C2763" s="12" t="inlineStr">
        <is>
          <t>Water / utilities</t>
        </is>
      </c>
      <c r="D2763" s="12" t="inlineStr">
        <is>
          <t>Analog instrument to JB JB-HTP-3-AI01: 4 x 1 pr (field cables)</t>
        </is>
      </c>
      <c r="E2763" s="12" t="inlineStr">
        <is>
          <t>HTP-3</t>
        </is>
      </c>
      <c r="F2763" s="12" t="inlineStr">
        <is>
          <t>HTP-3: heat-trace panel (tanks)</t>
        </is>
      </c>
      <c r="G2763" s="12" t="inlineStr">
        <is>
          <t>JB-HTP-3-AI01</t>
        </is>
      </c>
      <c r="H2763" s="12" t="inlineStr">
        <is>
          <t>HTP-3: heat-trace panel (tanks)</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6" t="n">
        <v>40</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E-I-0033</t>
        </is>
      </c>
      <c r="B2764" s="12" t="inlineStr">
        <is>
          <t>E</t>
        </is>
      </c>
      <c r="C2764" s="12" t="inlineStr">
        <is>
          <t>Water / utilities</t>
        </is>
      </c>
      <c r="D2764" s="12" t="inlineStr">
        <is>
          <t>Home run JB-HTP-3-AI01 to the control / marshalling room</t>
        </is>
      </c>
      <c r="E2764" s="12" t="inlineStr">
        <is>
          <t>R-WT</t>
        </is>
      </c>
      <c r="F2764" s="12" t="inlineStr">
        <is>
          <t>Water treatment building (incl. R-WT electrical room)</t>
        </is>
      </c>
      <c r="G2764" s="12" t="inlineStr">
        <is>
          <t>JB-HTP-3-AI01</t>
        </is>
      </c>
      <c r="H2764" s="12" t="inlineStr">
        <is>
          <t>HTP-3: heat-trace panel (tanks)</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Duct bank</t>
        </is>
      </c>
      <c r="T2764" s="16" t="n">
        <v>0</v>
      </c>
      <c r="U2764" s="16" t="n">
        <v>58</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E-I-0034</t>
        </is>
      </c>
      <c r="B2765" s="12" t="inlineStr">
        <is>
          <t>E</t>
        </is>
      </c>
      <c r="C2765" s="12" t="inlineStr">
        <is>
          <t>Water / utilities</t>
        </is>
      </c>
      <c r="D2765" s="12" t="inlineStr">
        <is>
          <t>Discrete device to JB JB-HTP-3-DI01: 4 x 1 pr (field cables)</t>
        </is>
      </c>
      <c r="E2765" s="12" t="inlineStr">
        <is>
          <t>HTP-3</t>
        </is>
      </c>
      <c r="F2765" s="12" t="inlineStr">
        <is>
          <t>HTP-3: heat-trace panel (tanks)</t>
        </is>
      </c>
      <c r="G2765" s="12" t="inlineStr">
        <is>
          <t>JB-HTP-3-DI01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E-I-0035</t>
        </is>
      </c>
      <c r="B2766" s="12" t="inlineStr">
        <is>
          <t>E</t>
        </is>
      </c>
      <c r="C2766" s="12" t="inlineStr">
        <is>
          <t>Water / utilities</t>
        </is>
      </c>
      <c r="D2766" s="12" t="inlineStr">
        <is>
          <t>Home run JB-HTP-3-DI01 to the control / marshalling room</t>
        </is>
      </c>
      <c r="E2766" s="12" t="inlineStr">
        <is>
          <t>R-WT</t>
        </is>
      </c>
      <c r="F2766" s="12" t="inlineStr">
        <is>
          <t>Water treatment building (incl. R-WT electrical room)</t>
        </is>
      </c>
      <c r="G2766" s="12" t="inlineStr">
        <is>
          <t>JB-HTP-3-DI01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E-I-0036</t>
        </is>
      </c>
      <c r="B2767" s="12" t="inlineStr">
        <is>
          <t>E</t>
        </is>
      </c>
      <c r="C2767" s="12" t="inlineStr">
        <is>
          <t>Water / utilities</t>
        </is>
      </c>
      <c r="D2767" s="12" t="inlineStr">
        <is>
          <t>Analog instrument to JB JB-Oil-water separato-AI01: 4 x 1 pr (field cables)</t>
        </is>
      </c>
      <c r="E2767" s="12" t="inlineStr"/>
      <c r="F2767" s="12" t="inlineStr">
        <is>
          <t>Oil-water separator</t>
        </is>
      </c>
      <c r="G2767" s="12" t="inlineStr">
        <is>
          <t>JB-Oil-water separato-AI01</t>
        </is>
      </c>
      <c r="H2767" s="12" t="inlineStr">
        <is>
          <t>Oil-water separator</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45</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E-I-0037</t>
        </is>
      </c>
      <c r="B2768" s="12" t="inlineStr">
        <is>
          <t>E</t>
        </is>
      </c>
      <c r="C2768" s="12" t="inlineStr">
        <is>
          <t>Water / utilities</t>
        </is>
      </c>
      <c r="D2768" s="12" t="inlineStr">
        <is>
          <t>Home run JB-Oil-water separato-AI01 to the control / marshalling room</t>
        </is>
      </c>
      <c r="E2768" s="12" t="inlineStr">
        <is>
          <t>R-WT</t>
        </is>
      </c>
      <c r="F2768" s="12" t="inlineStr">
        <is>
          <t>Water treatment building (incl. R-WT electrical room)</t>
        </is>
      </c>
      <c r="G2768" s="12" t="inlineStr">
        <is>
          <t>JB-Oil-water separato-AI01</t>
        </is>
      </c>
      <c r="H2768" s="12" t="inlineStr">
        <is>
          <t>Oil-water separator</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655</v>
      </c>
      <c r="U2768" s="16" t="n">
        <v>32</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E-I-0038</t>
        </is>
      </c>
      <c r="B2769" s="12" t="inlineStr">
        <is>
          <t>E</t>
        </is>
      </c>
      <c r="C2769" s="12" t="inlineStr">
        <is>
          <t>Water / utilities</t>
        </is>
      </c>
      <c r="D2769" s="12" t="inlineStr">
        <is>
          <t>Discrete device to JB JB-Oil-water separato-DI01: 4 x 1 pr (field cables)</t>
        </is>
      </c>
      <c r="E2769" s="12" t="inlineStr"/>
      <c r="F2769" s="12" t="inlineStr">
        <is>
          <t>Oil-water separator</t>
        </is>
      </c>
      <c r="G2769" s="12" t="inlineStr">
        <is>
          <t>JB-Oil-water separato-DI01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E-I-0039</t>
        </is>
      </c>
      <c r="B2770" s="12" t="inlineStr">
        <is>
          <t>E</t>
        </is>
      </c>
      <c r="C2770" s="12" t="inlineStr">
        <is>
          <t>Water / utilities</t>
        </is>
      </c>
      <c r="D2770" s="12" t="inlineStr">
        <is>
          <t>Home run JB-Oil-water separato-DI01 to the control / marshalling room</t>
        </is>
      </c>
      <c r="E2770" s="12" t="inlineStr">
        <is>
          <t>R-WT</t>
        </is>
      </c>
      <c r="F2770" s="12" t="inlineStr">
        <is>
          <t>Water treatment building (incl. R-WT electrical room)</t>
        </is>
      </c>
      <c r="G2770" s="12" t="inlineStr">
        <is>
          <t>JB-Oil-water separato-DI01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E-I-0040</t>
        </is>
      </c>
      <c r="B2771" s="12" t="inlineStr">
        <is>
          <t>E</t>
        </is>
      </c>
      <c r="C2771" s="12" t="inlineStr">
        <is>
          <t>Water / utilities</t>
        </is>
      </c>
      <c r="D2771" s="12" t="inlineStr">
        <is>
          <t>Analog instrument to JB JB-Raw water tank-AI01: 4 x 1 pr (field cables)</t>
        </is>
      </c>
      <c r="E2771" s="12" t="inlineStr"/>
      <c r="F2771" s="12" t="inlineStr">
        <is>
          <t>Raw water tank</t>
        </is>
      </c>
      <c r="G2771" s="12" t="inlineStr">
        <is>
          <t>JB-Raw water tank-AI01</t>
        </is>
      </c>
      <c r="H2771" s="12" t="inlineStr">
        <is>
          <t>Raw water tank</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86</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E-I-0041</t>
        </is>
      </c>
      <c r="B2772" s="12" t="inlineStr">
        <is>
          <t>E</t>
        </is>
      </c>
      <c r="C2772" s="12" t="inlineStr">
        <is>
          <t>Water / utilities</t>
        </is>
      </c>
      <c r="D2772" s="12" t="inlineStr">
        <is>
          <t>Home run JB-Raw water tank-AI01 to the control / marshalling room</t>
        </is>
      </c>
      <c r="E2772" s="12" t="inlineStr">
        <is>
          <t>R-WT</t>
        </is>
      </c>
      <c r="F2772" s="12" t="inlineStr">
        <is>
          <t>Water treatment building (incl. R-WT electrical room)</t>
        </is>
      </c>
      <c r="G2772" s="12" t="inlineStr">
        <is>
          <t>JB-Raw water tank-AI01</t>
        </is>
      </c>
      <c r="H2772" s="12" t="inlineStr">
        <is>
          <t>Raw water tank</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125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E-I-0042</t>
        </is>
      </c>
      <c r="B2773" s="12" t="inlineStr">
        <is>
          <t>E</t>
        </is>
      </c>
      <c r="C2773" s="12" t="inlineStr">
        <is>
          <t>Water / utilities</t>
        </is>
      </c>
      <c r="D2773" s="12" t="inlineStr">
        <is>
          <t>Discrete device to JB JB-Raw water tank-DI01: 4 x 1 pr (field cables)</t>
        </is>
      </c>
      <c r="E2773" s="12" t="inlineStr"/>
      <c r="F2773" s="12" t="inlineStr">
        <is>
          <t>Raw water tank</t>
        </is>
      </c>
      <c r="G2773" s="12" t="inlineStr">
        <is>
          <t>JB-Raw water tank-DI01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E-I-0043</t>
        </is>
      </c>
      <c r="B2774" s="12" t="inlineStr">
        <is>
          <t>E</t>
        </is>
      </c>
      <c r="C2774" s="12" t="inlineStr">
        <is>
          <t>Water / utilities</t>
        </is>
      </c>
      <c r="D2774" s="12" t="inlineStr">
        <is>
          <t>Home run JB-Raw water tank-DI01 to the control / marshalling room</t>
        </is>
      </c>
      <c r="E2774" s="12" t="inlineStr">
        <is>
          <t>R-WT</t>
        </is>
      </c>
      <c r="F2774" s="12" t="inlineStr">
        <is>
          <t>Water treatment building (incl. R-WT electrical room)</t>
        </is>
      </c>
      <c r="G2774" s="12" t="inlineStr">
        <is>
          <t>JB-Raw water tank-DI01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E-I-0044</t>
        </is>
      </c>
      <c r="B2775" s="12" t="inlineStr">
        <is>
          <t>E</t>
        </is>
      </c>
      <c r="C2775" s="12" t="inlineStr">
        <is>
          <t>Water / utilities</t>
        </is>
      </c>
      <c r="D2775" s="12" t="inlineStr">
        <is>
          <t>Analog instrument to JB JB-Wastewater treatme-AI01: 20 x 1 pr (field cables)</t>
        </is>
      </c>
      <c r="E2775" s="12" t="inlineStr"/>
      <c r="F2775" s="12" t="inlineStr">
        <is>
          <t>Wastewater treatment</t>
        </is>
      </c>
      <c r="G2775" s="12" t="inlineStr">
        <is>
          <t>JB-Wastewater treatme-AI01</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20</v>
      </c>
      <c r="O2775" s="12" t="n">
        <v>1</v>
      </c>
      <c r="P2775" s="12" t="n"/>
      <c r="Q2775" s="12" t="n"/>
      <c r="R2775" s="12" t="n"/>
      <c r="S2775" s="12" t="inlineStr">
        <is>
          <t>Tray / conduit</t>
        </is>
      </c>
      <c r="T2775" s="16" t="n">
        <v>140</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E-I-0045</t>
        </is>
      </c>
      <c r="B2776" s="12" t="inlineStr">
        <is>
          <t>E</t>
        </is>
      </c>
      <c r="C2776" s="12" t="inlineStr">
        <is>
          <t>Water / utilities</t>
        </is>
      </c>
      <c r="D2776" s="12" t="inlineStr">
        <is>
          <t>Home run JB-Wastewater treatme-AI01 to the control / marshalling room</t>
        </is>
      </c>
      <c r="E2776" s="12" t="inlineStr">
        <is>
          <t>R-WT</t>
        </is>
      </c>
      <c r="F2776" s="12" t="inlineStr">
        <is>
          <t>Water treatment building (incl. R-WT electrical room)</t>
        </is>
      </c>
      <c r="G2776" s="12" t="inlineStr">
        <is>
          <t>JB-Wastewater treatme-AI01</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15</v>
      </c>
      <c r="U2776" s="16" t="n">
        <v>99</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E-I-0046</t>
        </is>
      </c>
      <c r="B2777" s="12" t="inlineStr">
        <is>
          <t>E</t>
        </is>
      </c>
      <c r="C2777" s="12" t="inlineStr">
        <is>
          <t>Water / utilities</t>
        </is>
      </c>
      <c r="D2777" s="12" t="inlineStr">
        <is>
          <t>Discrete device to JB JB-Wastewater treatme-DI01: 20 x 1 pr (field cables)</t>
        </is>
      </c>
      <c r="E2777" s="12" t="inlineStr"/>
      <c r="F2777" s="12" t="inlineStr">
        <is>
          <t>Wastewater treatment</t>
        </is>
      </c>
      <c r="G2777" s="12" t="inlineStr">
        <is>
          <t>JB-Wastewater treatme-DI01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E-I-0047</t>
        </is>
      </c>
      <c r="B2778" s="12" t="inlineStr">
        <is>
          <t>E</t>
        </is>
      </c>
      <c r="C2778" s="12" t="inlineStr">
        <is>
          <t>Water / utilities</t>
        </is>
      </c>
      <c r="D2778" s="12" t="inlineStr">
        <is>
          <t>Home run JB-Wastewater treatme-DI01 to the control / marshalling room</t>
        </is>
      </c>
      <c r="E2778" s="12" t="inlineStr">
        <is>
          <t>R-WT</t>
        </is>
      </c>
      <c r="F2778" s="12" t="inlineStr">
        <is>
          <t>Water treatment building (incl. R-WT electrical room)</t>
        </is>
      </c>
      <c r="G2778" s="12" t="inlineStr">
        <is>
          <t>JB-Wastewater treatme-DI01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E-I-0048</t>
        </is>
      </c>
      <c r="B2779" s="12" t="inlineStr">
        <is>
          <t>E</t>
        </is>
      </c>
      <c r="C2779" s="12" t="inlineStr">
        <is>
          <t>Water / utilities</t>
        </is>
      </c>
      <c r="D2779" s="12" t="inlineStr">
        <is>
          <t>Discrete device to JB JB-Wastewater treatme-DI02: 10 x 1 pr (field cables)</t>
        </is>
      </c>
      <c r="E2779" s="12" t="inlineStr"/>
      <c r="F2779" s="12" t="inlineStr">
        <is>
          <t>Wastewater treatment</t>
        </is>
      </c>
      <c r="G2779" s="12" t="inlineStr">
        <is>
          <t>JB-Wastewater treatme-DI02</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10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E-I-0049</t>
        </is>
      </c>
      <c r="B2780" s="12" t="inlineStr">
        <is>
          <t>E</t>
        </is>
      </c>
      <c r="C2780" s="12" t="inlineStr">
        <is>
          <t>Water / utilities</t>
        </is>
      </c>
      <c r="D2780" s="12" t="inlineStr">
        <is>
          <t>Home run JB-Wastewater treatme-DI02 to the control / marshalling room</t>
        </is>
      </c>
      <c r="E2780" s="12" t="inlineStr">
        <is>
          <t>R-WT</t>
        </is>
      </c>
      <c r="F2780" s="12" t="inlineStr">
        <is>
          <t>Water treatment building (incl. R-WT electrical room)</t>
        </is>
      </c>
      <c r="G2780" s="12" t="inlineStr">
        <is>
          <t>JB-Wastewater treatme-DI02</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E-I-0050</t>
        </is>
      </c>
      <c r="B2781" s="12" t="inlineStr">
        <is>
          <t>E</t>
        </is>
      </c>
      <c r="C2781" s="12" t="inlineStr">
        <is>
          <t>Water / utilities</t>
        </is>
      </c>
      <c r="D2781" s="12" t="inlineStr">
        <is>
          <t>Analog instrument to JB JB-R-WT-AI01: 20 x 1 pr (field cables)</t>
        </is>
      </c>
      <c r="E2781" s="12" t="inlineStr">
        <is>
          <t>R-WT</t>
        </is>
      </c>
      <c r="F2781" s="12" t="inlineStr">
        <is>
          <t>Water treatment building (incl. R-WT electrical room)</t>
        </is>
      </c>
      <c r="G2781" s="12" t="inlineStr">
        <is>
          <t>JB-R-WT-AI01</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6" t="n">
        <v>160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E-I-0051</t>
        </is>
      </c>
      <c r="B2782" s="12" t="inlineStr">
        <is>
          <t>E</t>
        </is>
      </c>
      <c r="C2782" s="12" t="inlineStr">
        <is>
          <t>Water / utilities</t>
        </is>
      </c>
      <c r="D2782" s="12" t="inlineStr">
        <is>
          <t>Home run JB-R-WT-AI01 to the control / marshalling room</t>
        </is>
      </c>
      <c r="E2782" s="12" t="inlineStr">
        <is>
          <t>R-WT</t>
        </is>
      </c>
      <c r="F2782" s="12" t="inlineStr">
        <is>
          <t>Water treatment building (incl. R-WT electrical room)</t>
        </is>
      </c>
      <c r="G2782" s="12" t="inlineStr">
        <is>
          <t>JB-R-WT-AI01</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6" t="n">
        <v>0</v>
      </c>
      <c r="U2782" s="16" t="n">
        <v>32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E-I-0052</t>
        </is>
      </c>
      <c r="B2783" s="12" t="inlineStr">
        <is>
          <t>E</t>
        </is>
      </c>
      <c r="C2783" s="12" t="inlineStr">
        <is>
          <t>Water / utilities</t>
        </is>
      </c>
      <c r="D2783" s="12" t="inlineStr">
        <is>
          <t>Analog instrument to JB JB-R-WT-AI02: 20 x 1 pr (field cables)</t>
        </is>
      </c>
      <c r="E2783" s="12" t="inlineStr">
        <is>
          <t>R-WT</t>
        </is>
      </c>
      <c r="F2783" s="12" t="inlineStr">
        <is>
          <t>Water treatment building (incl. R-WT electrical room)</t>
        </is>
      </c>
      <c r="G2783" s="12" t="inlineStr">
        <is>
          <t>JB-R-WT-AI02</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E-I-0053</t>
        </is>
      </c>
      <c r="B2784" s="12" t="inlineStr">
        <is>
          <t>E</t>
        </is>
      </c>
      <c r="C2784" s="12" t="inlineStr">
        <is>
          <t>Water / utilities</t>
        </is>
      </c>
      <c r="D2784" s="12" t="inlineStr">
        <is>
          <t>Home run JB-R-WT-AI02 to the control / marshalling room</t>
        </is>
      </c>
      <c r="E2784" s="12" t="inlineStr">
        <is>
          <t>R-WT</t>
        </is>
      </c>
      <c r="F2784" s="12" t="inlineStr">
        <is>
          <t>Water treatment building (incl. R-WT electrical room)</t>
        </is>
      </c>
      <c r="G2784" s="12" t="inlineStr">
        <is>
          <t>JB-R-WT-AI02</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E-I-0054</t>
        </is>
      </c>
      <c r="B2785" s="12" t="inlineStr">
        <is>
          <t>E</t>
        </is>
      </c>
      <c r="C2785" s="12" t="inlineStr">
        <is>
          <t>Water / utilities</t>
        </is>
      </c>
      <c r="D2785" s="12" t="inlineStr">
        <is>
          <t>Analog instrument to JB JB-R-WT-AI03: 20 x 1 pr (field cables)</t>
        </is>
      </c>
      <c r="E2785" s="12" t="inlineStr">
        <is>
          <t>R-WT</t>
        </is>
      </c>
      <c r="F2785" s="12" t="inlineStr">
        <is>
          <t>Water treatment building (incl. R-WT electrical room)</t>
        </is>
      </c>
      <c r="G2785" s="12" t="inlineStr">
        <is>
          <t>JB-R-WT-AI03</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E-I-0055</t>
        </is>
      </c>
      <c r="B2786" s="12" t="inlineStr">
        <is>
          <t>E</t>
        </is>
      </c>
      <c r="C2786" s="12" t="inlineStr">
        <is>
          <t>Water / utilities</t>
        </is>
      </c>
      <c r="D2786" s="12" t="inlineStr">
        <is>
          <t>Home run JB-R-WT-AI03 to the control / marshalling room</t>
        </is>
      </c>
      <c r="E2786" s="12" t="inlineStr">
        <is>
          <t>R-WT</t>
        </is>
      </c>
      <c r="F2786" s="12" t="inlineStr">
        <is>
          <t>Water treatment building (incl. R-WT electrical room)</t>
        </is>
      </c>
      <c r="G2786" s="12" t="inlineStr">
        <is>
          <t>JB-R-WT-AI03</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E-I-0056</t>
        </is>
      </c>
      <c r="B2787" s="12" t="inlineStr">
        <is>
          <t>E</t>
        </is>
      </c>
      <c r="C2787" s="12" t="inlineStr">
        <is>
          <t>Water / utilities</t>
        </is>
      </c>
      <c r="D2787" s="12" t="inlineStr">
        <is>
          <t>Discrete device to JB JB-R-WT-DI01: 20 x 1 pr (field cables)</t>
        </is>
      </c>
      <c r="E2787" s="12" t="inlineStr">
        <is>
          <t>R-WT</t>
        </is>
      </c>
      <c r="F2787" s="12" t="inlineStr">
        <is>
          <t>Water treatment building (incl. R-WT electrical room)</t>
        </is>
      </c>
      <c r="G2787" s="12" t="inlineStr">
        <is>
          <t>JB-R-WT-DI01</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E-I-0057</t>
        </is>
      </c>
      <c r="B2788" s="12" t="inlineStr">
        <is>
          <t>E</t>
        </is>
      </c>
      <c r="C2788" s="12" t="inlineStr">
        <is>
          <t>Water / utilities</t>
        </is>
      </c>
      <c r="D2788" s="12" t="inlineStr">
        <is>
          <t>Home run JB-R-WT-DI01 to the control / marshalling room</t>
        </is>
      </c>
      <c r="E2788" s="12" t="inlineStr">
        <is>
          <t>R-WT</t>
        </is>
      </c>
      <c r="F2788" s="12" t="inlineStr">
        <is>
          <t>Water treatment building (incl. R-WT electrical room)</t>
        </is>
      </c>
      <c r="G2788" s="12" t="inlineStr">
        <is>
          <t>JB-R-WT-DI01</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E-I-0058</t>
        </is>
      </c>
      <c r="B2789" s="12" t="inlineStr">
        <is>
          <t>E</t>
        </is>
      </c>
      <c r="C2789" s="12" t="inlineStr">
        <is>
          <t>Water / utilities</t>
        </is>
      </c>
      <c r="D2789" s="12" t="inlineStr">
        <is>
          <t>Discrete device to JB JB-R-WT-DI02: 20 x 1 pr (field cables)</t>
        </is>
      </c>
      <c r="E2789" s="12" t="inlineStr">
        <is>
          <t>R-WT</t>
        </is>
      </c>
      <c r="F2789" s="12" t="inlineStr">
        <is>
          <t>Water treatment building (incl. R-WT electrical room)</t>
        </is>
      </c>
      <c r="G2789" s="12" t="inlineStr">
        <is>
          <t>JB-R-WT-DI02</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E-I-0059</t>
        </is>
      </c>
      <c r="B2790" s="12" t="inlineStr">
        <is>
          <t>E</t>
        </is>
      </c>
      <c r="C2790" s="12" t="inlineStr">
        <is>
          <t>Water / utilities</t>
        </is>
      </c>
      <c r="D2790" s="12" t="inlineStr">
        <is>
          <t>Home run JB-R-WT-DI02 to the control / marshalling room</t>
        </is>
      </c>
      <c r="E2790" s="12" t="inlineStr">
        <is>
          <t>R-WT</t>
        </is>
      </c>
      <c r="F2790" s="12" t="inlineStr">
        <is>
          <t>Water treatment building (incl. R-WT electrical room)</t>
        </is>
      </c>
      <c r="G2790" s="12" t="inlineStr">
        <is>
          <t>JB-R-WT-DI02</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E-I-0060</t>
        </is>
      </c>
      <c r="B2791" s="12" t="inlineStr">
        <is>
          <t>E</t>
        </is>
      </c>
      <c r="C2791" s="12" t="inlineStr">
        <is>
          <t>Water / utilities</t>
        </is>
      </c>
      <c r="D2791" s="12" t="inlineStr">
        <is>
          <t>Discrete device to JB JB-R-WT-DI03: 20 x 1 pr (field cables)</t>
        </is>
      </c>
      <c r="E2791" s="12" t="inlineStr">
        <is>
          <t>R-WT</t>
        </is>
      </c>
      <c r="F2791" s="12" t="inlineStr">
        <is>
          <t>Water treatment building (incl. R-WT electrical room)</t>
        </is>
      </c>
      <c r="G2791" s="12" t="inlineStr">
        <is>
          <t>JB-R-WT-DI03</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E-I-0061</t>
        </is>
      </c>
      <c r="B2792" s="12" t="inlineStr">
        <is>
          <t>E</t>
        </is>
      </c>
      <c r="C2792" s="12" t="inlineStr">
        <is>
          <t>Water / utilities</t>
        </is>
      </c>
      <c r="D2792" s="12" t="inlineStr">
        <is>
          <t>Home run JB-R-WT-DI03 to the control / marshalling room</t>
        </is>
      </c>
      <c r="E2792" s="12" t="inlineStr">
        <is>
          <t>R-WT</t>
        </is>
      </c>
      <c r="F2792" s="12" t="inlineStr">
        <is>
          <t>Water treatment building (incl. R-WT electrical room)</t>
        </is>
      </c>
      <c r="G2792" s="12" t="inlineStr">
        <is>
          <t>JB-R-WT-DI03</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E-I-0062</t>
        </is>
      </c>
      <c r="B2793" s="12" t="inlineStr">
        <is>
          <t>E</t>
        </is>
      </c>
      <c r="C2793" s="12" t="inlineStr">
        <is>
          <t>Water / utilities</t>
        </is>
      </c>
      <c r="D2793" s="12" t="inlineStr">
        <is>
          <t>Discrete device to JB JB-R-WT-DI04: 20 x 1 pr (field cables)</t>
        </is>
      </c>
      <c r="E2793" s="12" t="inlineStr">
        <is>
          <t>R-WT</t>
        </is>
      </c>
      <c r="F2793" s="12" t="inlineStr">
        <is>
          <t>Water treatment building (incl. R-WT electrical room)</t>
        </is>
      </c>
      <c r="G2793" s="12" t="inlineStr">
        <is>
          <t>JB-R-WT-DI04</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E-I-0063</t>
        </is>
      </c>
      <c r="B2794" s="12" t="inlineStr">
        <is>
          <t>E</t>
        </is>
      </c>
      <c r="C2794" s="12" t="inlineStr">
        <is>
          <t>Water / utilities</t>
        </is>
      </c>
      <c r="D2794" s="12" t="inlineStr">
        <is>
          <t>Home run JB-R-WT-DI04 to the control / marshalling room</t>
        </is>
      </c>
      <c r="E2794" s="12" t="inlineStr">
        <is>
          <t>R-WT</t>
        </is>
      </c>
      <c r="F2794" s="12" t="inlineStr">
        <is>
          <t>Water treatment building (incl. R-WT electrical room)</t>
        </is>
      </c>
      <c r="G2794" s="12" t="inlineStr">
        <is>
          <t>JB-R-WT-DI04</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E-P-0001</t>
        </is>
      </c>
      <c r="B2795" s="12" t="inlineStr">
        <is>
          <t>E</t>
        </is>
      </c>
      <c r="C2795" s="12" t="inlineStr">
        <is>
          <t>Water / utilities</t>
        </is>
      </c>
      <c r="D2795" s="12" t="inlineStr">
        <is>
          <t>Motor 1 of 2, 7 kW</t>
        </is>
      </c>
      <c r="E2795" s="12" t="inlineStr">
        <is>
          <t>MCC-C2</t>
        </is>
      </c>
      <c r="F2795" s="12" t="inlineStr">
        <is>
          <t>R1 MCC-C2</t>
        </is>
      </c>
      <c r="G2795" s="12" t="inlineStr"/>
      <c r="H2795" s="12" t="inlineStr">
        <is>
          <t>Ammonia storage (aqueous, SCR reagent)</t>
        </is>
      </c>
      <c r="I2795" s="12" t="inlineStr">
        <is>
          <t>LV 600 V</t>
        </is>
      </c>
      <c r="J2795" s="12" t="inlineStr">
        <is>
          <t>Type TC-ER 600 V 3/C Cu XHHW-2 + ground, PVC jacket</t>
        </is>
      </c>
      <c r="K2795" s="12" t="inlineStr">
        <is>
          <t>LV|3/C+G|4</t>
        </is>
      </c>
      <c r="L2795" s="12" t="inlineStr">
        <is>
          <t>3/C+G</t>
        </is>
      </c>
      <c r="M2795" s="12" t="inlineStr">
        <is>
          <t>4</t>
        </is>
      </c>
      <c r="N2795" s="12" t="n">
        <v>1</v>
      </c>
      <c r="O2795" s="12" t="n">
        <v>1</v>
      </c>
      <c r="P2795" s="12" t="n">
        <v>480</v>
      </c>
      <c r="Q2795" s="12" t="n">
        <v>7</v>
      </c>
      <c r="R2795" s="12" t="n">
        <v>9.9</v>
      </c>
      <c r="S2795" s="12" t="inlineStr">
        <is>
          <t>Duct bank</t>
        </is>
      </c>
      <c r="T2795" s="16" t="n">
        <v>2010</v>
      </c>
      <c r="U2795" s="16" t="n">
        <v>145</v>
      </c>
      <c r="V2795" s="16">
        <f>ROUNDUP((T2795+U2795+2*'Read Me'!$B$13)*(1+'Read Me'!$B$12),-1)</f>
        <v/>
      </c>
      <c r="W2795" s="16">
        <f>V2795*N2795*O2795</f>
        <v/>
      </c>
      <c r="X2795" s="12">
        <f>IF(LEFT(I2795,2)="MV",2*N2795*IF(L2795="1/C",O2795,1),0)</f>
        <v/>
      </c>
      <c r="Y2795" s="12">
        <f>IF(OR(LEFT(K2795,4)="LVAX",LEFT(K2795,6)="MV15AX",LEFT(K2795,4)="CTAX",LEFT(K2795,2)="W|"),2*N2795*O2795,0)</f>
        <v/>
      </c>
      <c r="Z2795" s="12" t="inlineStr">
        <is>
          <t>VD 2.6 %</t>
        </is>
      </c>
      <c r="AA2795" s="12">
        <f>N2795*O2795</f>
        <v/>
      </c>
    </row>
    <row r="2796">
      <c r="A2796" s="12" t="inlineStr">
        <is>
          <t>E-P-0002</t>
        </is>
      </c>
      <c r="B2796" s="12" t="inlineStr">
        <is>
          <t>E</t>
        </is>
      </c>
      <c r="C2796" s="12" t="inlineStr">
        <is>
          <t>Water / utilities</t>
        </is>
      </c>
      <c r="D2796" s="12" t="inlineStr">
        <is>
          <t>Motor 2 of 2, 7 kW</t>
        </is>
      </c>
      <c r="E2796" s="12" t="inlineStr">
        <is>
          <t>MCC-C2</t>
        </is>
      </c>
      <c r="F2796" s="12" t="inlineStr">
        <is>
          <t>R1 MCC-C2</t>
        </is>
      </c>
      <c r="G2796" s="12" t="inlineStr"/>
      <c r="H2796" s="12" t="inlineStr">
        <is>
          <t>Ammonia storage (aqueous, SCR reagent)</t>
        </is>
      </c>
      <c r="I2796" s="12" t="inlineStr">
        <is>
          <t>LV 600 V</t>
        </is>
      </c>
      <c r="J2796" s="12" t="inlineStr">
        <is>
          <t>Type TC-ER 600 V 3/C Cu XHHW-2 + ground, PVC jacket</t>
        </is>
      </c>
      <c r="K2796" s="12" t="inlineStr">
        <is>
          <t>LV|3/C+G|4</t>
        </is>
      </c>
      <c r="L2796" s="12" t="inlineStr">
        <is>
          <t>3/C+G</t>
        </is>
      </c>
      <c r="M2796" s="12" t="inlineStr">
        <is>
          <t>4</t>
        </is>
      </c>
      <c r="N2796" s="12" t="n">
        <v>1</v>
      </c>
      <c r="O2796" s="12" t="n">
        <v>1</v>
      </c>
      <c r="P2796" s="12" t="n">
        <v>480</v>
      </c>
      <c r="Q2796" s="12" t="n">
        <v>7</v>
      </c>
      <c r="R2796" s="12" t="n">
        <v>9.9</v>
      </c>
      <c r="S2796" s="12" t="inlineStr">
        <is>
          <t>Duct bank</t>
        </is>
      </c>
      <c r="T2796" s="16" t="n">
        <v>2010</v>
      </c>
      <c r="U2796" s="16" t="n">
        <v>145</v>
      </c>
      <c r="V2796" s="16">
        <f>ROUNDUP((T2796+U2796+2*'Read Me'!$B$13)*(1+'Read Me'!$B$12),-1)</f>
        <v/>
      </c>
      <c r="W2796" s="16">
        <f>V2796*N2796*O2796</f>
        <v/>
      </c>
      <c r="X2796" s="12">
        <f>IF(LEFT(I2796,2)="MV",2*N2796*IF(L2796="1/C",O2796,1),0)</f>
        <v/>
      </c>
      <c r="Y2796" s="12">
        <f>IF(OR(LEFT(K2796,4)="LVAX",LEFT(K2796,6)="MV15AX",LEFT(K2796,4)="CTAX",LEFT(K2796,2)="W|"),2*N2796*O2796,0)</f>
        <v/>
      </c>
      <c r="Z2796" s="12" t="inlineStr">
        <is>
          <t>VD 2.6 %</t>
        </is>
      </c>
      <c r="AA2796" s="12">
        <f>N2796*O2796</f>
        <v/>
      </c>
    </row>
    <row r="2797">
      <c r="A2797" s="12" t="inlineStr">
        <is>
          <t>E-P-0003</t>
        </is>
      </c>
      <c r="B2797" s="12" t="inlineStr">
        <is>
          <t>E</t>
        </is>
      </c>
      <c r="C2797" s="12" t="inlineStr">
        <is>
          <t>Water / utilities</t>
        </is>
      </c>
      <c r="D2797" s="12" t="inlineStr">
        <is>
          <t>Motor 1 of 3, 30 kW</t>
        </is>
      </c>
      <c r="E2797" s="12" t="inlineStr">
        <is>
          <t>MCC-C2</t>
        </is>
      </c>
      <c r="F2797" s="12" t="inlineStr">
        <is>
          <t>R1 MCC-C2</t>
        </is>
      </c>
      <c r="G2797" s="12" t="inlineStr"/>
      <c r="H2797" s="12" t="inlineStr">
        <is>
          <t>Auxiliary boiler</t>
        </is>
      </c>
      <c r="I2797" s="12" t="inlineStr">
        <is>
          <t>LV 600 V</t>
        </is>
      </c>
      <c r="J2797" s="12" t="inlineStr">
        <is>
          <t>Type TC-ER 600 V 3/C Cu XHHW-2 + ground, PVC jacket</t>
        </is>
      </c>
      <c r="K2797" s="12" t="inlineStr">
        <is>
          <t>LV|3/C+G|3/0</t>
        </is>
      </c>
      <c r="L2797" s="12" t="inlineStr">
        <is>
          <t>3/C+G</t>
        </is>
      </c>
      <c r="M2797" s="12" t="inlineStr">
        <is>
          <t>3/0</t>
        </is>
      </c>
      <c r="N2797" s="12" t="n">
        <v>1</v>
      </c>
      <c r="O2797" s="12" t="n">
        <v>1</v>
      </c>
      <c r="P2797" s="12" t="n">
        <v>480</v>
      </c>
      <c r="Q2797" s="12" t="n">
        <v>30</v>
      </c>
      <c r="R2797" s="12" t="n">
        <v>42.5</v>
      </c>
      <c r="S2797" s="12" t="inlineStr">
        <is>
          <t>Duct bank</t>
        </is>
      </c>
      <c r="T2797" s="16" t="n">
        <v>2089</v>
      </c>
      <c r="U2797" s="16" t="n">
        <v>165</v>
      </c>
      <c r="V2797" s="16">
        <f>ROUNDUP((T2797+U2797+2*'Read Me'!$B$13)*(1+'Read Me'!$B$12),-1)</f>
        <v/>
      </c>
      <c r="W2797" s="16">
        <f>V2797*N2797*O2797</f>
        <v/>
      </c>
      <c r="X2797" s="12">
        <f>IF(LEFT(I2797,2)="MV",2*N2797*IF(L2797="1/C",O2797,1),0)</f>
        <v/>
      </c>
      <c r="Y2797" s="12">
        <f>IF(OR(LEFT(K2797,4)="LVAX",LEFT(K2797,6)="MV15AX",LEFT(K2797,4)="CTAX",LEFT(K2797,2)="W|"),2*N2797*O2797,0)</f>
        <v/>
      </c>
      <c r="Z2797" s="12" t="inlineStr">
        <is>
          <t>VD 2.9 %</t>
        </is>
      </c>
      <c r="AA2797" s="12">
        <f>N2797*O2797</f>
        <v/>
      </c>
    </row>
    <row r="2798">
      <c r="A2798" s="12" t="inlineStr">
        <is>
          <t>E-P-0004</t>
        </is>
      </c>
      <c r="B2798" s="12" t="inlineStr">
        <is>
          <t>E</t>
        </is>
      </c>
      <c r="C2798" s="12" t="inlineStr">
        <is>
          <t>Water / utilities</t>
        </is>
      </c>
      <c r="D2798" s="12" t="inlineStr">
        <is>
          <t>Motor 2 of 3, 30 kW</t>
        </is>
      </c>
      <c r="E2798" s="12" t="inlineStr">
        <is>
          <t>MCC-C2</t>
        </is>
      </c>
      <c r="F2798" s="12" t="inlineStr">
        <is>
          <t>R1 MCC-C2</t>
        </is>
      </c>
      <c r="G2798" s="12" t="inlineStr"/>
      <c r="H2798" s="12" t="inlineStr">
        <is>
          <t>Auxiliary boiler</t>
        </is>
      </c>
      <c r="I2798" s="12" t="inlineStr">
        <is>
          <t>LV 600 V</t>
        </is>
      </c>
      <c r="J2798" s="12" t="inlineStr">
        <is>
          <t>Type TC-ER 600 V 3/C Cu XHHW-2 + ground, PVC jacket</t>
        </is>
      </c>
      <c r="K2798" s="12" t="inlineStr">
        <is>
          <t>LV|3/C+G|3/0</t>
        </is>
      </c>
      <c r="L2798" s="12" t="inlineStr">
        <is>
          <t>3/C+G</t>
        </is>
      </c>
      <c r="M2798" s="12" t="inlineStr">
        <is>
          <t>3/0</t>
        </is>
      </c>
      <c r="N2798" s="12" t="n">
        <v>1</v>
      </c>
      <c r="O2798" s="12" t="n">
        <v>1</v>
      </c>
      <c r="P2798" s="12" t="n">
        <v>480</v>
      </c>
      <c r="Q2798" s="12" t="n">
        <v>30</v>
      </c>
      <c r="R2798" s="12" t="n">
        <v>42.5</v>
      </c>
      <c r="S2798" s="12" t="inlineStr">
        <is>
          <t>Duct bank</t>
        </is>
      </c>
      <c r="T2798" s="16" t="n">
        <v>2089</v>
      </c>
      <c r="U2798" s="16" t="n">
        <v>165</v>
      </c>
      <c r="V2798" s="16">
        <f>ROUNDUP((T2798+U2798+2*'Read Me'!$B$13)*(1+'Read Me'!$B$12),-1)</f>
        <v/>
      </c>
      <c r="W2798" s="16">
        <f>V2798*N2798*O2798</f>
        <v/>
      </c>
      <c r="X2798" s="12">
        <f>IF(LEFT(I2798,2)="MV",2*N2798*IF(L2798="1/C",O2798,1),0)</f>
        <v/>
      </c>
      <c r="Y2798" s="12">
        <f>IF(OR(LEFT(K2798,4)="LVAX",LEFT(K2798,6)="MV15AX",LEFT(K2798,4)="CTAX",LEFT(K2798,2)="W|"),2*N2798*O2798,0)</f>
        <v/>
      </c>
      <c r="Z2798" s="12" t="inlineStr">
        <is>
          <t>VD 2.9 %</t>
        </is>
      </c>
      <c r="AA2798" s="12">
        <f>N2798*O2798</f>
        <v/>
      </c>
    </row>
    <row r="2799">
      <c r="A2799" s="12" t="inlineStr">
        <is>
          <t>E-P-0005</t>
        </is>
      </c>
      <c r="B2799" s="12" t="inlineStr">
        <is>
          <t>E</t>
        </is>
      </c>
      <c r="C2799" s="12" t="inlineStr">
        <is>
          <t>Water / utilities</t>
        </is>
      </c>
      <c r="D2799" s="12" t="inlineStr">
        <is>
          <t>Motor 3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E-P-0006</t>
        </is>
      </c>
      <c r="B2800" s="12" t="inlineStr">
        <is>
          <t>E</t>
        </is>
      </c>
      <c r="C2800" s="12" t="inlineStr">
        <is>
          <t>Water / utilities</t>
        </is>
      </c>
      <c r="D2800" s="12" t="inlineStr">
        <is>
          <t>Cathodic-protection rectifier supply</t>
        </is>
      </c>
      <c r="E2800" s="12" t="inlineStr">
        <is>
          <t>MCC-C2</t>
        </is>
      </c>
      <c r="F2800" s="12" t="inlineStr">
        <is>
          <t>R1 MCC-C2</t>
        </is>
      </c>
      <c r="G2800" s="12" t="inlineStr">
        <is>
          <t>CPR-2</t>
        </is>
      </c>
      <c r="H2800" s="12" t="inlineStr">
        <is>
          <t>CPR-2: cathodic-protection rectifier</t>
        </is>
      </c>
      <c r="I2800" s="12" t="inlineStr">
        <is>
          <t>LV 600 V</t>
        </is>
      </c>
      <c r="J2800" s="12" t="inlineStr">
        <is>
          <t>Type TC-ER 600 V 3/C Cu XHHW-2 + ground, PVC jacket</t>
        </is>
      </c>
      <c r="K2800" s="12" t="inlineStr">
        <is>
          <t>LV|3/C+G|2</t>
        </is>
      </c>
      <c r="L2800" s="12" t="inlineStr">
        <is>
          <t>3/C+G</t>
        </is>
      </c>
      <c r="M2800" s="12" t="inlineStr">
        <is>
          <t>2</t>
        </is>
      </c>
      <c r="N2800" s="12" t="n">
        <v>1</v>
      </c>
      <c r="O2800" s="12" t="n">
        <v>1</v>
      </c>
      <c r="P2800" s="12" t="n">
        <v>480</v>
      </c>
      <c r="Q2800" s="12" t="n">
        <v>10</v>
      </c>
      <c r="R2800" s="12" t="n">
        <v>12.7</v>
      </c>
      <c r="S2800" s="12" t="inlineStr">
        <is>
          <t>Duct bank</t>
        </is>
      </c>
      <c r="T2800" s="16" t="n">
        <v>1959</v>
      </c>
      <c r="U2800" s="16" t="n">
        <v>209</v>
      </c>
      <c r="V2800" s="16">
        <f>ROUNDUP((T2800+U2800+2*'Read Me'!$B$13)*(1+'Read Me'!$B$12),-1)</f>
        <v/>
      </c>
      <c r="W2800" s="16">
        <f>V2800*N2800*O2800</f>
        <v/>
      </c>
      <c r="X2800" s="12">
        <f>IF(LEFT(I2800,2)="MV",2*N2800*IF(L2800="1/C",O2800,1),0)</f>
        <v/>
      </c>
      <c r="Y2800" s="12">
        <f>IF(OR(LEFT(K2800,4)="LVAX",LEFT(K2800,6)="MV15AX",LEFT(K2800,4)="CTAX",LEFT(K2800,2)="W|"),2*N2800*O2800,0)</f>
        <v/>
      </c>
      <c r="Z2800" s="12" t="inlineStr">
        <is>
          <t>VD 2.1 %</t>
        </is>
      </c>
      <c r="AA2800" s="12">
        <f>N2800*O2800</f>
        <v/>
      </c>
    </row>
    <row r="2801">
      <c r="A2801" s="12" t="inlineStr">
        <is>
          <t>E-P-0007</t>
        </is>
      </c>
      <c r="B2801" s="12" t="inlineStr">
        <is>
          <t>E</t>
        </is>
      </c>
      <c r="C2801" s="12" t="inlineStr">
        <is>
          <t>Water / utilities</t>
        </is>
      </c>
      <c r="D2801" s="12" t="inlineStr">
        <is>
          <t>CP anode / structure leads (allowance)</t>
        </is>
      </c>
      <c r="E2801" s="12" t="inlineStr">
        <is>
          <t>CPR-2</t>
        </is>
      </c>
      <c r="F2801" s="12" t="inlineStr">
        <is>
          <t>CPR-2: cathodic-protection rectifier</t>
        </is>
      </c>
      <c r="G2801" s="12" t="inlineStr">
        <is>
          <t>CPR-2</t>
        </is>
      </c>
      <c r="H2801" s="12" t="inlineStr">
        <is>
          <t>CPR-2: cathodic-protection rectifier</t>
        </is>
      </c>
      <c r="I2801" s="12" t="inlineStr">
        <is>
          <t>LV 600 V</t>
        </is>
      </c>
      <c r="J2801" s="12" t="inlineStr">
        <is>
          <t>Type TC-ER 600 V 3/C Cu XHHW-2 + ground, PVC jacket</t>
        </is>
      </c>
      <c r="K2801" s="12" t="inlineStr">
        <is>
          <t>LV|1/C|8</t>
        </is>
      </c>
      <c r="L2801" s="12" t="inlineStr">
        <is>
          <t>1/C</t>
        </is>
      </c>
      <c r="M2801" s="12" t="inlineStr">
        <is>
          <t>8</t>
        </is>
      </c>
      <c r="N2801" s="12" t="n">
        <v>1</v>
      </c>
      <c r="O2801" s="12" t="n">
        <v>1</v>
      </c>
      <c r="P2801" s="12" t="n"/>
      <c r="Q2801" s="12" t="n"/>
      <c r="R2801" s="12" t="n"/>
      <c r="S2801" s="12" t="inlineStr">
        <is>
          <t>Buried</t>
        </is>
      </c>
      <c r="T2801" s="16" t="n">
        <v>1500</v>
      </c>
      <c r="U2801" s="16" t="n">
        <v>0</v>
      </c>
      <c r="V2801" s="16">
        <f>ROUNDUP((T2801+U2801+2*'Read Me'!$B$13)*(1+'Read Me'!$B$12),-1)</f>
        <v/>
      </c>
      <c r="W2801" s="16">
        <f>V2801*N2801*O2801</f>
        <v/>
      </c>
      <c r="X2801" s="12">
        <f>IF(LEFT(I2801,2)="MV",2*N2801*IF(L2801="1/C",O2801,1),0)</f>
        <v/>
      </c>
      <c r="Y2801" s="12">
        <f>IF(OR(LEFT(K2801,4)="LVAX",LEFT(K2801,6)="MV15AX",LEFT(K2801,4)="CTAX",LEFT(K2801,2)="W|"),2*N2801*O2801,0)</f>
        <v/>
      </c>
      <c r="Z2801" s="12" t="inlineStr">
        <is>
          <t>HMWPE anode lead cable by CP vendor; allowance</t>
        </is>
      </c>
      <c r="AA2801" s="12">
        <f>N2801*O2801</f>
        <v/>
      </c>
    </row>
    <row r="2802">
      <c r="A2802" s="12" t="inlineStr">
        <is>
          <t>E-P-0008</t>
        </is>
      </c>
      <c r="B2802" s="12" t="inlineStr">
        <is>
          <t>E</t>
        </is>
      </c>
      <c r="C2802" s="12" t="inlineStr">
        <is>
          <t>Water / utilities</t>
        </is>
      </c>
      <c r="D2802" s="12" t="inlineStr">
        <is>
          <t>LV power feeder</t>
        </is>
      </c>
      <c r="E2802" s="12" t="inlineStr">
        <is>
          <t>MCC-C2</t>
        </is>
      </c>
      <c r="F2802" s="12" t="inlineStr">
        <is>
          <t>R1 MCC-C2</t>
        </is>
      </c>
      <c r="G2802" s="12" t="inlineStr"/>
      <c r="H2802" s="12" t="inlineStr">
        <is>
          <t>Demineralised water tank</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14.2</v>
      </c>
      <c r="S2802" s="12" t="inlineStr">
        <is>
          <t>Duct bank</t>
        </is>
      </c>
      <c r="T2802" s="16" t="n">
        <v>1872</v>
      </c>
      <c r="U2802" s="16" t="n">
        <v>236</v>
      </c>
      <c r="V2802" s="16">
        <f>ROUNDUP((T2802+U2802+2*'Read Me'!$B$13)*(1+'Read Me'!$B$12),-1)</f>
        <v/>
      </c>
      <c r="W2802" s="16">
        <f>V2802*N2802*O2802</f>
        <v/>
      </c>
      <c r="X2802" s="12">
        <f>IF(LEFT(I2802,2)="MV",2*N2802*IF(L2802="1/C",O2802,1),0)</f>
        <v/>
      </c>
      <c r="Y2802" s="12">
        <f>IF(OR(LEFT(K2802,4)="LVAX",LEFT(K2802,6)="MV15AX",LEFT(K2802,4)="CTAX",LEFT(K2802,2)="W|"),2*N2802*O2802,0)</f>
        <v/>
      </c>
      <c r="Z2802" s="12" t="inlineStr">
        <is>
          <t>VD 2.3 %</t>
        </is>
      </c>
      <c r="AA2802" s="12">
        <f>N2802*O2802</f>
        <v/>
      </c>
    </row>
    <row r="2803">
      <c r="A2803" s="12" t="inlineStr">
        <is>
          <t>E-P-0009</t>
        </is>
      </c>
      <c r="B2803" s="12" t="inlineStr">
        <is>
          <t>E</t>
        </is>
      </c>
      <c r="C2803" s="12" t="inlineStr">
        <is>
          <t>Water / utilities</t>
        </is>
      </c>
      <c r="D2803" s="12" t="inlineStr">
        <is>
          <t>LV power feeder</t>
        </is>
      </c>
      <c r="E2803" s="12" t="inlineStr">
        <is>
          <t>MCC-C2</t>
        </is>
      </c>
      <c r="F2803" s="12" t="inlineStr">
        <is>
          <t>R1 MCC-C2</t>
        </is>
      </c>
      <c r="G2803" s="12" t="inlineStr"/>
      <c r="H2803" s="12" t="inlineStr">
        <is>
          <t>Fire / service water tank</t>
        </is>
      </c>
      <c r="I2803" s="12" t="inlineStr">
        <is>
          <t>LV 600 V</t>
        </is>
      </c>
      <c r="J2803" s="12" t="inlineStr">
        <is>
          <t>Type TC-ER 600 V 3/C Cu XHHW-2 + ground, PVC jacket</t>
        </is>
      </c>
      <c r="K2803" s="12" t="inlineStr">
        <is>
          <t>LV|3/C+G|2</t>
        </is>
      </c>
      <c r="L2803" s="12" t="inlineStr">
        <is>
          <t>3/C+G</t>
        </is>
      </c>
      <c r="M2803" s="12" t="inlineStr">
        <is>
          <t>2</t>
        </is>
      </c>
      <c r="N2803" s="12" t="n">
        <v>1</v>
      </c>
      <c r="O2803" s="12" t="n">
        <v>1</v>
      </c>
      <c r="P2803" s="12" t="n">
        <v>480</v>
      </c>
      <c r="Q2803" s="12" t="n">
        <v>10</v>
      </c>
      <c r="R2803" s="12" t="n">
        <v>14.2</v>
      </c>
      <c r="S2803" s="12" t="inlineStr">
        <is>
          <t>Duct bank</t>
        </is>
      </c>
      <c r="T2803" s="16" t="n">
        <v>1798</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is>
          <t>VD 2.1 %</t>
        </is>
      </c>
      <c r="AA2803" s="12">
        <f>N2803*O2803</f>
        <v/>
      </c>
    </row>
    <row r="2804">
      <c r="A2804" s="12" t="inlineStr">
        <is>
          <t>E-P-0010</t>
        </is>
      </c>
      <c r="B2804" s="12" t="inlineStr">
        <is>
          <t>E</t>
        </is>
      </c>
      <c r="C2804" s="12" t="inlineStr">
        <is>
          <t>Water / utilities</t>
        </is>
      </c>
      <c r="D2804" s="12" t="inlineStr">
        <is>
          <t>Motor 1 of 1, 250 kW</t>
        </is>
      </c>
      <c r="E2804" s="12" t="inlineStr">
        <is>
          <t>MCC-C2</t>
        </is>
      </c>
      <c r="F2804" s="12" t="inlineStr">
        <is>
          <t>R1 MCC-C2</t>
        </is>
      </c>
      <c r="G2804" s="12" t="inlineStr"/>
      <c r="H2804" s="12" t="inlineStr">
        <is>
          <t>Fire pump house</t>
        </is>
      </c>
      <c r="I2804" s="12" t="inlineStr">
        <is>
          <t>LV 600 V</t>
        </is>
      </c>
      <c r="J2804" s="12" t="inlineStr">
        <is>
          <t>Type TC-ER 600 V 3/C Cu XHHW-2 + ground, PVC jacket</t>
        </is>
      </c>
      <c r="K2804" s="12" t="inlineStr">
        <is>
          <t>LV|3/C+G|500</t>
        </is>
      </c>
      <c r="L2804" s="12" t="inlineStr">
        <is>
          <t>3/C+G</t>
        </is>
      </c>
      <c r="M2804" s="12" t="inlineStr">
        <is>
          <t>500 kcmil</t>
        </is>
      </c>
      <c r="N2804" s="12" t="n">
        <v>3</v>
      </c>
      <c r="O2804" s="12" t="n">
        <v>1</v>
      </c>
      <c r="P2804" s="12" t="n">
        <v>480</v>
      </c>
      <c r="Q2804" s="12" t="n">
        <v>250</v>
      </c>
      <c r="R2804" s="12" t="n">
        <v>353.8</v>
      </c>
      <c r="S2804" s="12" t="inlineStr">
        <is>
          <t>Duct bank</t>
        </is>
      </c>
      <c r="T2804" s="16" t="n">
        <v>2004</v>
      </c>
      <c r="U2804" s="16" t="n">
        <v>209</v>
      </c>
      <c r="V2804" s="16">
        <f>ROUNDUP((T2804+U2804+2*'Read Me'!$B$13)*(1+'Read Me'!$B$12),-1)</f>
        <v/>
      </c>
      <c r="W2804" s="16">
        <f>V2804*N2804*O2804</f>
        <v/>
      </c>
      <c r="X2804" s="12">
        <f>IF(LEFT(I2804,2)="MV",2*N2804*IF(L2804="1/C",O2804,1),0)</f>
        <v/>
      </c>
      <c r="Y2804" s="12">
        <f>IF(OR(LEFT(K2804,4)="LVAX",LEFT(K2804,6)="MV15AX",LEFT(K2804,4)="CTAX",LEFT(K2804,2)="W|"),2*N2804*O2804,0)</f>
        <v/>
      </c>
      <c r="Z2804" s="12" t="inlineStr">
        <is>
          <t>VD 2.7 %</t>
        </is>
      </c>
      <c r="AA2804" s="12">
        <f>N2804*O2804</f>
        <v/>
      </c>
    </row>
    <row r="2805">
      <c r="A2805" s="12" t="inlineStr">
        <is>
          <t>E-P-0011</t>
        </is>
      </c>
      <c r="B2805" s="12" t="inlineStr">
        <is>
          <t>E</t>
        </is>
      </c>
      <c r="C2805" s="12" t="inlineStr">
        <is>
          <t>Water / utilities</t>
        </is>
      </c>
      <c r="D2805" s="12" t="inlineStr">
        <is>
          <t>Motor 1 of 1, 15 kW</t>
        </is>
      </c>
      <c r="E2805" s="12" t="inlineStr">
        <is>
          <t>MCC-C2</t>
        </is>
      </c>
      <c r="F2805" s="12" t="inlineStr">
        <is>
          <t>R1 MCC-C2</t>
        </is>
      </c>
      <c r="G2805" s="12" t="inlineStr"/>
      <c r="H2805" s="12" t="inlineStr">
        <is>
          <t>Fire pump house</t>
        </is>
      </c>
      <c r="I2805" s="12" t="inlineStr">
        <is>
          <t>LV 600 V</t>
        </is>
      </c>
      <c r="J2805" s="12" t="inlineStr">
        <is>
          <t>Type TC-ER 600 V 3/C Cu XHHW-2 + ground, PVC jacket</t>
        </is>
      </c>
      <c r="K2805" s="12" t="inlineStr">
        <is>
          <t>LV|3/C+G|1</t>
        </is>
      </c>
      <c r="L2805" s="12" t="inlineStr">
        <is>
          <t>3/C+G</t>
        </is>
      </c>
      <c r="M2805" s="12" t="inlineStr">
        <is>
          <t>1</t>
        </is>
      </c>
      <c r="N2805" s="12" t="n">
        <v>1</v>
      </c>
      <c r="O2805" s="12" t="n">
        <v>1</v>
      </c>
      <c r="P2805" s="12" t="n">
        <v>480</v>
      </c>
      <c r="Q2805" s="12" t="n">
        <v>15</v>
      </c>
      <c r="R2805" s="12" t="n">
        <v>21.2</v>
      </c>
      <c r="S2805" s="12" t="inlineStr">
        <is>
          <t>Duct bank</t>
        </is>
      </c>
      <c r="T2805" s="16" t="n">
        <v>2004</v>
      </c>
      <c r="U2805" s="16" t="n">
        <v>209</v>
      </c>
      <c r="V2805" s="16">
        <f>ROUNDUP((T2805+U2805+2*'Read Me'!$B$13)*(1+'Read Me'!$B$12),-1)</f>
        <v/>
      </c>
      <c r="W2805" s="16">
        <f>V2805*N2805*O2805</f>
        <v/>
      </c>
      <c r="X2805" s="12">
        <f>IF(LEFT(I2805,2)="MV",2*N2805*IF(L2805="1/C",O2805,1),0)</f>
        <v/>
      </c>
      <c r="Y2805" s="12">
        <f>IF(OR(LEFT(K2805,4)="LVAX",LEFT(K2805,6)="MV15AX",LEFT(K2805,4)="CTAX",LEFT(K2805,2)="W|"),2*N2805*O2805,0)</f>
        <v/>
      </c>
      <c r="Z2805" s="12" t="inlineStr">
        <is>
          <t>VD 2.9 %</t>
        </is>
      </c>
      <c r="AA2805" s="12">
        <f>N2805*O2805</f>
        <v/>
      </c>
    </row>
    <row r="2806">
      <c r="A2806" s="12" t="inlineStr">
        <is>
          <t>E-P-0012</t>
        </is>
      </c>
      <c r="B2806" s="12" t="inlineStr">
        <is>
          <t>E</t>
        </is>
      </c>
      <c r="C2806" s="12" t="inlineStr">
        <is>
          <t>Water / utilities</t>
        </is>
      </c>
      <c r="D2806" s="12" t="inlineStr">
        <is>
          <t>LV power feeder</t>
        </is>
      </c>
      <c r="E2806" s="12" t="inlineStr">
        <is>
          <t>MCC-C2</t>
        </is>
      </c>
      <c r="F2806" s="12" t="inlineStr">
        <is>
          <t>R1 MCC-C2</t>
        </is>
      </c>
      <c r="G2806" s="12" t="inlineStr"/>
      <c r="H2806" s="12" t="inlineStr">
        <is>
          <t>H2 / CO2 storage (generator gas)</t>
        </is>
      </c>
      <c r="I2806" s="12" t="inlineStr">
        <is>
          <t>LV 600 V</t>
        </is>
      </c>
      <c r="J2806" s="12" t="inlineStr">
        <is>
          <t>ARMOR-X MC-HL 600 V 3/C Cu XHHW-2 + ground, CWA, black PVC (Class I Div 2)</t>
        </is>
      </c>
      <c r="K2806" s="12" t="inlineStr">
        <is>
          <t>LVAX|3/C+G|1/0</t>
        </is>
      </c>
      <c r="L2806" s="12" t="inlineStr">
        <is>
          <t>3/C+G</t>
        </is>
      </c>
      <c r="M2806" s="12" t="inlineStr">
        <is>
          <t>1/0</t>
        </is>
      </c>
      <c r="N2806" s="12" t="n">
        <v>1</v>
      </c>
      <c r="O2806" s="12" t="n">
        <v>1</v>
      </c>
      <c r="P2806" s="12" t="n">
        <v>480</v>
      </c>
      <c r="Q2806" s="12" t="n">
        <v>15</v>
      </c>
      <c r="R2806" s="12" t="n">
        <v>21.2</v>
      </c>
      <c r="S2806" s="12" t="inlineStr">
        <is>
          <t>Duct bank</t>
        </is>
      </c>
      <c r="T2806" s="16" t="n">
        <v>2254</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is>
          <t>VD 2.5 %</t>
        </is>
      </c>
      <c r="AA2806" s="12">
        <f>N2806*O2806</f>
        <v/>
      </c>
    </row>
    <row r="2807">
      <c r="A2807" s="12" t="inlineStr">
        <is>
          <t>E-P-0013</t>
        </is>
      </c>
      <c r="B2807" s="12" t="inlineStr">
        <is>
          <t>E</t>
        </is>
      </c>
      <c r="C2807" s="12" t="inlineStr">
        <is>
          <t>Water / utilities</t>
        </is>
      </c>
      <c r="D2807" s="12" t="inlineStr">
        <is>
          <t>LV power feeder</t>
        </is>
      </c>
      <c r="E2807" s="12" t="inlineStr">
        <is>
          <t>MCC-C2</t>
        </is>
      </c>
      <c r="F2807" s="12" t="inlineStr">
        <is>
          <t>R1 MCC-C2</t>
        </is>
      </c>
      <c r="G2807" s="12" t="inlineStr">
        <is>
          <t>HTP-2</t>
        </is>
      </c>
      <c r="H2807" s="12" t="inlineStr">
        <is>
          <t>HTP-2: heat-trace panel (NH3)</t>
        </is>
      </c>
      <c r="I2807" s="12" t="inlineStr">
        <is>
          <t>LV 600 V</t>
        </is>
      </c>
      <c r="J2807" s="12" t="inlineStr">
        <is>
          <t>Type TC-ER 600 V 3/C Cu XHHW-2 + ground, PVC jacket</t>
        </is>
      </c>
      <c r="K2807" s="12" t="inlineStr">
        <is>
          <t>LV|3/C+G|350</t>
        </is>
      </c>
      <c r="L2807" s="12" t="inlineStr">
        <is>
          <t>3/C+G</t>
        </is>
      </c>
      <c r="M2807" s="12" t="inlineStr">
        <is>
          <t>350 kcmil</t>
        </is>
      </c>
      <c r="N2807" s="12" t="n">
        <v>2</v>
      </c>
      <c r="O2807" s="12" t="n">
        <v>1</v>
      </c>
      <c r="P2807" s="12" t="n">
        <v>480</v>
      </c>
      <c r="Q2807" s="12" t="n">
        <v>120</v>
      </c>
      <c r="R2807" s="12" t="n">
        <v>169.8</v>
      </c>
      <c r="S2807" s="12" t="inlineStr">
        <is>
          <t>Duct bank</t>
        </is>
      </c>
      <c r="T2807" s="16" t="n">
        <v>2010</v>
      </c>
      <c r="U2807" s="16" t="n">
        <v>220</v>
      </c>
      <c r="V2807" s="16">
        <f>ROUNDUP((T2807+U2807+2*'Read Me'!$B$13)*(1+'Read Me'!$B$12),-1)</f>
        <v/>
      </c>
      <c r="W2807" s="16">
        <f>V2807*N2807*O2807</f>
        <v/>
      </c>
      <c r="X2807" s="12">
        <f>IF(LEFT(I2807,2)="MV",2*N2807*IF(L2807="1/C",O2807,1),0)</f>
        <v/>
      </c>
      <c r="Y2807" s="12">
        <f>IF(OR(LEFT(K2807,4)="LVAX",LEFT(K2807,6)="MV15AX",LEFT(K2807,4)="CTAX",LEFT(K2807,2)="W|"),2*N2807*O2807,0)</f>
        <v/>
      </c>
      <c r="Z2807" s="12" t="inlineStr">
        <is>
          <t>VD 2.8 %</t>
        </is>
      </c>
      <c r="AA2807" s="12">
        <f>N2807*O2807</f>
        <v/>
      </c>
    </row>
    <row r="2808">
      <c r="A2808" s="12" t="inlineStr">
        <is>
          <t>E-P-0014</t>
        </is>
      </c>
      <c r="B2808" s="12" t="inlineStr">
        <is>
          <t>E</t>
        </is>
      </c>
      <c r="C2808" s="12" t="inlineStr">
        <is>
          <t>Water / utilities</t>
        </is>
      </c>
      <c r="D2808" s="12" t="inlineStr">
        <is>
          <t>Heat-trace circuit 1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6" t="n">
        <v>180</v>
      </c>
      <c r="U2808" s="16" t="n">
        <v>20</v>
      </c>
      <c r="V2808" s="16">
        <f>ROUNDUP((T2808+U2808+2*'Read Me'!$B$13)*(1+'Read Me'!$B$12),-1)</f>
        <v/>
      </c>
      <c r="W2808" s="16">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E-P-0015</t>
        </is>
      </c>
      <c r="B2809" s="12" t="inlineStr">
        <is>
          <t>E</t>
        </is>
      </c>
      <c r="C2809" s="12" t="inlineStr">
        <is>
          <t>Water / utilities</t>
        </is>
      </c>
      <c r="D2809" s="12" t="inlineStr">
        <is>
          <t>Heat-trace circuit 2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6" t="n">
        <v>180</v>
      </c>
      <c r="U2809" s="16" t="n">
        <v>20</v>
      </c>
      <c r="V2809" s="16">
        <f>ROUNDUP((T2809+U2809+2*'Read Me'!$B$13)*(1+'Read Me'!$B$12),-1)</f>
        <v/>
      </c>
      <c r="W2809" s="16">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E-P-0016</t>
        </is>
      </c>
      <c r="B2810" s="12" t="inlineStr">
        <is>
          <t>E</t>
        </is>
      </c>
      <c r="C2810" s="12" t="inlineStr">
        <is>
          <t>Water / utilities</t>
        </is>
      </c>
      <c r="D2810" s="12" t="inlineStr">
        <is>
          <t>Heat-trace circuit 3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E-P-0017</t>
        </is>
      </c>
      <c r="B2811" s="12" t="inlineStr">
        <is>
          <t>E</t>
        </is>
      </c>
      <c r="C2811" s="12" t="inlineStr">
        <is>
          <t>Water / utilities</t>
        </is>
      </c>
      <c r="D2811" s="12" t="inlineStr">
        <is>
          <t>Heat-trace circuit 4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E-P-0018</t>
        </is>
      </c>
      <c r="B2812" s="12" t="inlineStr">
        <is>
          <t>E</t>
        </is>
      </c>
      <c r="C2812" s="12" t="inlineStr">
        <is>
          <t>Water / utilities</t>
        </is>
      </c>
      <c r="D2812" s="12" t="inlineStr">
        <is>
          <t>Heat-trace circuit 5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E-P-0019</t>
        </is>
      </c>
      <c r="B2813" s="12" t="inlineStr">
        <is>
          <t>E</t>
        </is>
      </c>
      <c r="C2813" s="12" t="inlineStr">
        <is>
          <t>Water / utilities</t>
        </is>
      </c>
      <c r="D2813" s="12" t="inlineStr">
        <is>
          <t>Heat-trace circuit 6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E-P-0020</t>
        </is>
      </c>
      <c r="B2814" s="12" t="inlineStr">
        <is>
          <t>E</t>
        </is>
      </c>
      <c r="C2814" s="12" t="inlineStr">
        <is>
          <t>Water / utilities</t>
        </is>
      </c>
      <c r="D2814" s="12" t="inlineStr">
        <is>
          <t>Heat-trace circuit 7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E-P-0021</t>
        </is>
      </c>
      <c r="B2815" s="12" t="inlineStr">
        <is>
          <t>E</t>
        </is>
      </c>
      <c r="C2815" s="12" t="inlineStr">
        <is>
          <t>Water / utilities</t>
        </is>
      </c>
      <c r="D2815" s="12" t="inlineStr">
        <is>
          <t>Heat-trace circuit 8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E-P-0022</t>
        </is>
      </c>
      <c r="B2816" s="12" t="inlineStr">
        <is>
          <t>E</t>
        </is>
      </c>
      <c r="C2816" s="12" t="inlineStr">
        <is>
          <t>Water / utilities</t>
        </is>
      </c>
      <c r="D2816" s="12" t="inlineStr">
        <is>
          <t>Heat-trace circuit 9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E-P-0023</t>
        </is>
      </c>
      <c r="B2817" s="12" t="inlineStr">
        <is>
          <t>E</t>
        </is>
      </c>
      <c r="C2817" s="12" t="inlineStr">
        <is>
          <t>Water / utilities</t>
        </is>
      </c>
      <c r="D2817" s="12" t="inlineStr">
        <is>
          <t>Heat-trace circuit 10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E-P-0024</t>
        </is>
      </c>
      <c r="B2818" s="12" t="inlineStr">
        <is>
          <t>E</t>
        </is>
      </c>
      <c r="C2818" s="12" t="inlineStr">
        <is>
          <t>Water / utilities</t>
        </is>
      </c>
      <c r="D2818" s="12" t="inlineStr">
        <is>
          <t>Heat-trace circuit 11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E-P-0025</t>
        </is>
      </c>
      <c r="B2819" s="12" t="inlineStr">
        <is>
          <t>E</t>
        </is>
      </c>
      <c r="C2819" s="12" t="inlineStr">
        <is>
          <t>Water / utilities</t>
        </is>
      </c>
      <c r="D2819" s="12" t="inlineStr">
        <is>
          <t>Heat-trace circuit 12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E-P-0026</t>
        </is>
      </c>
      <c r="B2820" s="12" t="inlineStr">
        <is>
          <t>E</t>
        </is>
      </c>
      <c r="C2820" s="12" t="inlineStr">
        <is>
          <t>Water / utilities</t>
        </is>
      </c>
      <c r="D2820" s="12" t="inlineStr">
        <is>
          <t>Heat-trace circuit 13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E-P-0027</t>
        </is>
      </c>
      <c r="B2821" s="12" t="inlineStr">
        <is>
          <t>E</t>
        </is>
      </c>
      <c r="C2821" s="12" t="inlineStr">
        <is>
          <t>Water / utilities</t>
        </is>
      </c>
      <c r="D2821" s="12" t="inlineStr">
        <is>
          <t>Heat-trace circuit 14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E-P-0028</t>
        </is>
      </c>
      <c r="B2822" s="12" t="inlineStr">
        <is>
          <t>E</t>
        </is>
      </c>
      <c r="C2822" s="12" t="inlineStr">
        <is>
          <t>Water / utilities</t>
        </is>
      </c>
      <c r="D2822" s="12" t="inlineStr">
        <is>
          <t>Heat-trace circuit 15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E-P-0029</t>
        </is>
      </c>
      <c r="B2823" s="12" t="inlineStr">
        <is>
          <t>E</t>
        </is>
      </c>
      <c r="C2823" s="12" t="inlineStr">
        <is>
          <t>Water / utilities</t>
        </is>
      </c>
      <c r="D2823" s="12" t="inlineStr">
        <is>
          <t>Heat-trace circuit 16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E-P-0030</t>
        </is>
      </c>
      <c r="B2824" s="12" t="inlineStr">
        <is>
          <t>E</t>
        </is>
      </c>
      <c r="C2824" s="12" t="inlineStr">
        <is>
          <t>Water / utilities</t>
        </is>
      </c>
      <c r="D2824" s="12" t="inlineStr">
        <is>
          <t>Heat-trace circuit 17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E-P-0031</t>
        </is>
      </c>
      <c r="B2825" s="12" t="inlineStr">
        <is>
          <t>E</t>
        </is>
      </c>
      <c r="C2825" s="12" t="inlineStr">
        <is>
          <t>Water / utilities</t>
        </is>
      </c>
      <c r="D2825" s="12" t="inlineStr">
        <is>
          <t>Heat-trace circuit 18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E-P-0032</t>
        </is>
      </c>
      <c r="B2826" s="12" t="inlineStr">
        <is>
          <t>E</t>
        </is>
      </c>
      <c r="C2826" s="12" t="inlineStr">
        <is>
          <t>Water / utilities</t>
        </is>
      </c>
      <c r="D2826" s="12" t="inlineStr">
        <is>
          <t>Heat-trace circuit 19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E-P-0033</t>
        </is>
      </c>
      <c r="B2827" s="12" t="inlineStr">
        <is>
          <t>E</t>
        </is>
      </c>
      <c r="C2827" s="12" t="inlineStr">
        <is>
          <t>Water / utilities</t>
        </is>
      </c>
      <c r="D2827" s="12" t="inlineStr">
        <is>
          <t>Heat-trace circuit 20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E-P-0034</t>
        </is>
      </c>
      <c r="B2828" s="12" t="inlineStr">
        <is>
          <t>E</t>
        </is>
      </c>
      <c r="C2828" s="12" t="inlineStr">
        <is>
          <t>Water / utilities</t>
        </is>
      </c>
      <c r="D2828" s="12" t="inlineStr">
        <is>
          <t>Heat-trace circuit 21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E-P-0035</t>
        </is>
      </c>
      <c r="B2829" s="12" t="inlineStr">
        <is>
          <t>E</t>
        </is>
      </c>
      <c r="C2829" s="12" t="inlineStr">
        <is>
          <t>Water / utilities</t>
        </is>
      </c>
      <c r="D2829" s="12" t="inlineStr">
        <is>
          <t>Heat-trace circuit 22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E-P-0036</t>
        </is>
      </c>
      <c r="B2830" s="12" t="inlineStr">
        <is>
          <t>E</t>
        </is>
      </c>
      <c r="C2830" s="12" t="inlineStr">
        <is>
          <t>Water / utilities</t>
        </is>
      </c>
      <c r="D2830" s="12" t="inlineStr">
        <is>
          <t>Heat-trace circuit 23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E-P-0037</t>
        </is>
      </c>
      <c r="B2831" s="12" t="inlineStr">
        <is>
          <t>E</t>
        </is>
      </c>
      <c r="C2831" s="12" t="inlineStr">
        <is>
          <t>Water / utilities</t>
        </is>
      </c>
      <c r="D2831" s="12" t="inlineStr">
        <is>
          <t>Heat-trace circuit 24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E-P-0038</t>
        </is>
      </c>
      <c r="B2832" s="12" t="inlineStr">
        <is>
          <t>E</t>
        </is>
      </c>
      <c r="C2832" s="12" t="inlineStr">
        <is>
          <t>Water / utilities</t>
        </is>
      </c>
      <c r="D2832" s="12" t="inlineStr">
        <is>
          <t>LV power feeder</t>
        </is>
      </c>
      <c r="E2832" s="12" t="inlineStr">
        <is>
          <t>MCC-C2</t>
        </is>
      </c>
      <c r="F2832" s="12" t="inlineStr">
        <is>
          <t>R1 MCC-C2</t>
        </is>
      </c>
      <c r="G2832" s="12" t="inlineStr">
        <is>
          <t>HTP-3</t>
        </is>
      </c>
      <c r="H2832" s="12" t="inlineStr">
        <is>
          <t>HTP-3: heat-trace panel (tanks)</t>
        </is>
      </c>
      <c r="I2832" s="12" t="inlineStr">
        <is>
          <t>LV 600 V</t>
        </is>
      </c>
      <c r="J2832" s="12" t="inlineStr">
        <is>
          <t>Type TC-ER 600 V 3/C Cu XHHW-2 + ground, PVC jacket</t>
        </is>
      </c>
      <c r="K2832" s="12" t="inlineStr">
        <is>
          <t>LV|3/C+G|2</t>
        </is>
      </c>
      <c r="L2832" s="12" t="inlineStr">
        <is>
          <t>3/C+G</t>
        </is>
      </c>
      <c r="M2832" s="12" t="inlineStr">
        <is>
          <t>2</t>
        </is>
      </c>
      <c r="N2832" s="12" t="n">
        <v>1</v>
      </c>
      <c r="O2832" s="12" t="n">
        <v>1</v>
      </c>
      <c r="P2832" s="12" t="n">
        <v>480</v>
      </c>
      <c r="Q2832" s="12" t="n">
        <v>10</v>
      </c>
      <c r="R2832" s="12" t="n">
        <v>14.2</v>
      </c>
      <c r="S2832" s="12" t="inlineStr">
        <is>
          <t>Duct bank</t>
        </is>
      </c>
      <c r="T2832" s="16" t="n">
        <v>1844</v>
      </c>
      <c r="U2832" s="16" t="n">
        <v>171</v>
      </c>
      <c r="V2832" s="16">
        <f>ROUNDUP((T2832+U2832+2*'Read Me'!$B$13)*(1+'Read Me'!$B$12),-1)</f>
        <v/>
      </c>
      <c r="W2832" s="16">
        <f>V2832*N2832*O2832</f>
        <v/>
      </c>
      <c r="X2832" s="12">
        <f>IF(LEFT(I2832,2)="MV",2*N2832*IF(L2832="1/C",O2832,1),0)</f>
        <v/>
      </c>
      <c r="Y2832" s="12">
        <f>IF(OR(LEFT(K2832,4)="LVAX",LEFT(K2832,6)="MV15AX",LEFT(K2832,4)="CTAX",LEFT(K2832,2)="W|"),2*N2832*O2832,0)</f>
        <v/>
      </c>
      <c r="Z2832" s="12" t="inlineStr">
        <is>
          <t>VD 2.2 %</t>
        </is>
      </c>
      <c r="AA2832" s="12">
        <f>N2832*O2832</f>
        <v/>
      </c>
    </row>
    <row r="2833">
      <c r="A2833" s="12" t="inlineStr">
        <is>
          <t>E-P-0039</t>
        </is>
      </c>
      <c r="B2833" s="12" t="inlineStr">
        <is>
          <t>E</t>
        </is>
      </c>
      <c r="C2833" s="12" t="inlineStr">
        <is>
          <t>Water / utilities</t>
        </is>
      </c>
      <c r="D2833" s="12" t="inlineStr">
        <is>
          <t>Heat-trace circuit 1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E-P-0040</t>
        </is>
      </c>
      <c r="B2834" s="12" t="inlineStr">
        <is>
          <t>E</t>
        </is>
      </c>
      <c r="C2834" s="12" t="inlineStr">
        <is>
          <t>Water / utilities</t>
        </is>
      </c>
      <c r="D2834" s="12" t="inlineStr">
        <is>
          <t>Heat-trace circuit 2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6" t="n">
        <v>180</v>
      </c>
      <c r="U2834" s="16" t="n">
        <v>20</v>
      </c>
      <c r="V2834" s="16">
        <f>ROUNDUP((T2834+U2834+2*'Read Me'!$B$13)*(1+'Read Me'!$B$12),-1)</f>
        <v/>
      </c>
      <c r="W2834" s="16">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E-P-0041</t>
        </is>
      </c>
      <c r="B2835" s="12" t="inlineStr">
        <is>
          <t>E</t>
        </is>
      </c>
      <c r="C2835" s="12" t="inlineStr">
        <is>
          <t>Water / utilities</t>
        </is>
      </c>
      <c r="D2835" s="12" t="inlineStr">
        <is>
          <t>Heat-trace circuit 3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E-P-0042</t>
        </is>
      </c>
      <c r="B2836" s="12" t="inlineStr">
        <is>
          <t>E</t>
        </is>
      </c>
      <c r="C2836" s="12" t="inlineStr">
        <is>
          <t>Water / utilities</t>
        </is>
      </c>
      <c r="D2836" s="12" t="inlineStr">
        <is>
          <t>Heat-trace circuit 4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E-P-0043</t>
        </is>
      </c>
      <c r="B2837" s="12" t="inlineStr">
        <is>
          <t>E</t>
        </is>
      </c>
      <c r="C2837" s="12" t="inlineStr">
        <is>
          <t>Water / utilities</t>
        </is>
      </c>
      <c r="D2837" s="12" t="inlineStr">
        <is>
          <t>Heat-trace circuit 5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E-P-0044</t>
        </is>
      </c>
      <c r="B2838" s="12" t="inlineStr">
        <is>
          <t>E</t>
        </is>
      </c>
      <c r="C2838" s="12" t="inlineStr">
        <is>
          <t>Water / utilities</t>
        </is>
      </c>
      <c r="D2838" s="12" t="inlineStr">
        <is>
          <t>Heat-trace circuit 6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E-P-0045</t>
        </is>
      </c>
      <c r="B2839" s="12" t="inlineStr">
        <is>
          <t>E</t>
        </is>
      </c>
      <c r="C2839" s="12" t="inlineStr">
        <is>
          <t>Water / utilities</t>
        </is>
      </c>
      <c r="D2839" s="12" t="inlineStr">
        <is>
          <t>Heat-trace circuit 7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E-P-0046</t>
        </is>
      </c>
      <c r="B2840" s="12" t="inlineStr">
        <is>
          <t>E</t>
        </is>
      </c>
      <c r="C2840" s="12" t="inlineStr">
        <is>
          <t>Water / utilities</t>
        </is>
      </c>
      <c r="D2840" s="12" t="inlineStr">
        <is>
          <t>Heat-trace circuit 8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E-P-0047</t>
        </is>
      </c>
      <c r="B2841" s="12" t="inlineStr">
        <is>
          <t>E</t>
        </is>
      </c>
      <c r="C2841" s="12" t="inlineStr">
        <is>
          <t>Water / utilities</t>
        </is>
      </c>
      <c r="D2841" s="12" t="inlineStr">
        <is>
          <t>Heat-trace circuit 9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E-P-0048</t>
        </is>
      </c>
      <c r="B2842" s="12" t="inlineStr">
        <is>
          <t>E</t>
        </is>
      </c>
      <c r="C2842" s="12" t="inlineStr">
        <is>
          <t>Water / utilities</t>
        </is>
      </c>
      <c r="D2842" s="12" t="inlineStr">
        <is>
          <t>Heat-trace circuit 10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E-P-0049</t>
        </is>
      </c>
      <c r="B2843" s="12" t="inlineStr">
        <is>
          <t>E</t>
        </is>
      </c>
      <c r="C2843" s="12" t="inlineStr">
        <is>
          <t>Water / utilities</t>
        </is>
      </c>
      <c r="D2843" s="12" t="inlineStr">
        <is>
          <t>Heat-trace circuit 11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E-P-0050</t>
        </is>
      </c>
      <c r="B2844" s="12" t="inlineStr">
        <is>
          <t>E</t>
        </is>
      </c>
      <c r="C2844" s="12" t="inlineStr">
        <is>
          <t>Water / utilities</t>
        </is>
      </c>
      <c r="D2844" s="12" t="inlineStr">
        <is>
          <t>Heat-trace circuit 12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E-P-0051</t>
        </is>
      </c>
      <c r="B2845" s="12" t="inlineStr">
        <is>
          <t>E</t>
        </is>
      </c>
      <c r="C2845" s="12" t="inlineStr">
        <is>
          <t>Water / utilities</t>
        </is>
      </c>
      <c r="D2845" s="12" t="inlineStr">
        <is>
          <t>Heat-trace circuit 13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E-P-0052</t>
        </is>
      </c>
      <c r="B2846" s="12" t="inlineStr">
        <is>
          <t>E</t>
        </is>
      </c>
      <c r="C2846" s="12" t="inlineStr">
        <is>
          <t>Water / utilities</t>
        </is>
      </c>
      <c r="D2846" s="12" t="inlineStr">
        <is>
          <t>Heat-trace circuit 14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E-P-0053</t>
        </is>
      </c>
      <c r="B2847" s="12" t="inlineStr">
        <is>
          <t>E</t>
        </is>
      </c>
      <c r="C2847" s="12" t="inlineStr">
        <is>
          <t>Water / utilities</t>
        </is>
      </c>
      <c r="D2847" s="12" t="inlineStr">
        <is>
          <t>Heat-trace circuit 15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E-P-0054</t>
        </is>
      </c>
      <c r="B2848" s="12" t="inlineStr">
        <is>
          <t>E</t>
        </is>
      </c>
      <c r="C2848" s="12" t="inlineStr">
        <is>
          <t>Water / utilities</t>
        </is>
      </c>
      <c r="D2848" s="12" t="inlineStr">
        <is>
          <t>Heat-trace circuit 16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E-P-0055</t>
        </is>
      </c>
      <c r="B2849" s="12" t="inlineStr">
        <is>
          <t>E</t>
        </is>
      </c>
      <c r="C2849" s="12" t="inlineStr">
        <is>
          <t>Water / utilities</t>
        </is>
      </c>
      <c r="D2849" s="12" t="inlineStr">
        <is>
          <t>Heat-trace circuit 17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E-P-0056</t>
        </is>
      </c>
      <c r="B2850" s="12" t="inlineStr">
        <is>
          <t>E</t>
        </is>
      </c>
      <c r="C2850" s="12" t="inlineStr">
        <is>
          <t>Water / utilities</t>
        </is>
      </c>
      <c r="D2850" s="12" t="inlineStr">
        <is>
          <t>Heat-trace circuit 18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E-P-0057</t>
        </is>
      </c>
      <c r="B2851" s="12" t="inlineStr">
        <is>
          <t>E</t>
        </is>
      </c>
      <c r="C2851" s="12" t="inlineStr">
        <is>
          <t>Water / utilities</t>
        </is>
      </c>
      <c r="D2851" s="12" t="inlineStr">
        <is>
          <t>Heat-trace circuit 19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E-P-0058</t>
        </is>
      </c>
      <c r="B2852" s="12" t="inlineStr">
        <is>
          <t>E</t>
        </is>
      </c>
      <c r="C2852" s="12" t="inlineStr">
        <is>
          <t>Water / utilities</t>
        </is>
      </c>
      <c r="D2852" s="12" t="inlineStr">
        <is>
          <t>Heat-trace circuit 20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E-P-0059</t>
        </is>
      </c>
      <c r="B2853" s="12" t="inlineStr">
        <is>
          <t>E</t>
        </is>
      </c>
      <c r="C2853" s="12" t="inlineStr">
        <is>
          <t>Water / utilities</t>
        </is>
      </c>
      <c r="D2853" s="12" t="inlineStr">
        <is>
          <t>Heat-trace circuit 21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E-P-0060</t>
        </is>
      </c>
      <c r="B2854" s="12" t="inlineStr">
        <is>
          <t>E</t>
        </is>
      </c>
      <c r="C2854" s="12" t="inlineStr">
        <is>
          <t>Water / utilities</t>
        </is>
      </c>
      <c r="D2854" s="12" t="inlineStr">
        <is>
          <t>Heat-trace circuit 22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E-P-0061</t>
        </is>
      </c>
      <c r="B2855" s="12" t="inlineStr">
        <is>
          <t>E</t>
        </is>
      </c>
      <c r="C2855" s="12" t="inlineStr">
        <is>
          <t>Water / utilities</t>
        </is>
      </c>
      <c r="D2855" s="12" t="inlineStr">
        <is>
          <t>Heat-trace circuit 23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E-P-0062</t>
        </is>
      </c>
      <c r="B2856" s="12" t="inlineStr">
        <is>
          <t>E</t>
        </is>
      </c>
      <c r="C2856" s="12" t="inlineStr">
        <is>
          <t>Water / utilities</t>
        </is>
      </c>
      <c r="D2856" s="12" t="inlineStr">
        <is>
          <t>Heat-trace circuit 24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E-P-0063</t>
        </is>
      </c>
      <c r="B2857" s="12" t="inlineStr">
        <is>
          <t>E</t>
        </is>
      </c>
      <c r="C2857" s="12" t="inlineStr">
        <is>
          <t>Water / utilities</t>
        </is>
      </c>
      <c r="D2857" s="12" t="inlineStr">
        <is>
          <t>Motor 1 of 2, 7 kW</t>
        </is>
      </c>
      <c r="E2857" s="12" t="inlineStr">
        <is>
          <t>MCC-C2</t>
        </is>
      </c>
      <c r="F2857" s="12" t="inlineStr">
        <is>
          <t>R1 MCC-C2</t>
        </is>
      </c>
      <c r="G2857" s="12" t="inlineStr"/>
      <c r="H2857" s="12" t="inlineStr">
        <is>
          <t>Oil-water separator</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7</v>
      </c>
      <c r="R2857" s="12" t="n">
        <v>9.9</v>
      </c>
      <c r="S2857" s="12" t="inlineStr">
        <is>
          <t>Duct bank</t>
        </is>
      </c>
      <c r="T2857" s="16" t="n">
        <v>2002</v>
      </c>
      <c r="U2857" s="16" t="n">
        <v>347</v>
      </c>
      <c r="V2857" s="16">
        <f>ROUNDUP((T2857+U2857+2*'Read Me'!$B$13)*(1+'Read Me'!$B$12),-1)</f>
        <v/>
      </c>
      <c r="W2857" s="16">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E-P-0064</t>
        </is>
      </c>
      <c r="B2858" s="12" t="inlineStr">
        <is>
          <t>E</t>
        </is>
      </c>
      <c r="C2858" s="12" t="inlineStr">
        <is>
          <t>Water / utilities</t>
        </is>
      </c>
      <c r="D2858" s="12" t="inlineStr">
        <is>
          <t>Motor 2 of 2, 7 kW</t>
        </is>
      </c>
      <c r="E2858" s="12" t="inlineStr">
        <is>
          <t>MCC-C2</t>
        </is>
      </c>
      <c r="F2858" s="12" t="inlineStr">
        <is>
          <t>R1 MCC-C2</t>
        </is>
      </c>
      <c r="G2858" s="12" t="inlineStr"/>
      <c r="H2858" s="12" t="inlineStr">
        <is>
          <t>Oil-water separator</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7</v>
      </c>
      <c r="R2858" s="12" t="n">
        <v>9.9</v>
      </c>
      <c r="S2858" s="12" t="inlineStr">
        <is>
          <t>Duct bank</t>
        </is>
      </c>
      <c r="T2858" s="16" t="n">
        <v>2002</v>
      </c>
      <c r="U2858" s="16" t="n">
        <v>347</v>
      </c>
      <c r="V2858" s="16">
        <f>ROUNDUP((T2858+U2858+2*'Read Me'!$B$13)*(1+'Read Me'!$B$12),-1)</f>
        <v/>
      </c>
      <c r="W2858" s="16">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E-P-0065</t>
        </is>
      </c>
      <c r="B2859" s="12" t="inlineStr">
        <is>
          <t>E</t>
        </is>
      </c>
      <c r="C2859" s="12" t="inlineStr">
        <is>
          <t>Water / utilities</t>
        </is>
      </c>
      <c r="D2859" s="12" t="inlineStr">
        <is>
          <t>LV power feeder</t>
        </is>
      </c>
      <c r="E2859" s="12" t="inlineStr">
        <is>
          <t>MCC-C2</t>
        </is>
      </c>
      <c r="F2859" s="12" t="inlineStr">
        <is>
          <t>R1 MCC-C2</t>
        </is>
      </c>
      <c r="G2859" s="12" t="inlineStr"/>
      <c r="H2859" s="12" t="inlineStr">
        <is>
          <t>Raw water tank</t>
        </is>
      </c>
      <c r="I2859" s="12" t="inlineStr">
        <is>
          <t>LV 600 V</t>
        </is>
      </c>
      <c r="J2859" s="12" t="inlineStr">
        <is>
          <t>Type TC-ER 600 V 3/C Cu XHHW-2 + ground, PVC jacket</t>
        </is>
      </c>
      <c r="K2859" s="12" t="inlineStr">
        <is>
          <t>LV|3/C+G|2</t>
        </is>
      </c>
      <c r="L2859" s="12" t="inlineStr">
        <is>
          <t>3/C+G</t>
        </is>
      </c>
      <c r="M2859" s="12" t="inlineStr">
        <is>
          <t>2</t>
        </is>
      </c>
      <c r="N2859" s="12" t="n">
        <v>1</v>
      </c>
      <c r="O2859" s="12" t="n">
        <v>1</v>
      </c>
      <c r="P2859" s="12" t="n">
        <v>480</v>
      </c>
      <c r="Q2859" s="12" t="n">
        <v>10</v>
      </c>
      <c r="R2859" s="12" t="n">
        <v>14.2</v>
      </c>
      <c r="S2859" s="12" t="inlineStr">
        <is>
          <t>Duct bank</t>
        </is>
      </c>
      <c r="T2859" s="16" t="n">
        <v>1754</v>
      </c>
      <c r="U2859" s="16" t="n">
        <v>145</v>
      </c>
      <c r="V2859" s="16">
        <f>ROUNDUP((T2859+U2859+2*'Read Me'!$B$13)*(1+'Read Me'!$B$12),-1)</f>
        <v/>
      </c>
      <c r="W2859" s="16">
        <f>V2859*N2859*O2859</f>
        <v/>
      </c>
      <c r="X2859" s="12">
        <f>IF(LEFT(I2859,2)="MV",2*N2859*IF(L2859="1/C",O2859,1),0)</f>
        <v/>
      </c>
      <c r="Y2859" s="12">
        <f>IF(OR(LEFT(K2859,4)="LVAX",LEFT(K2859,6)="MV15AX",LEFT(K2859,4)="CTAX",LEFT(K2859,2)="W|"),2*N2859*O2859,0)</f>
        <v/>
      </c>
      <c r="Z2859" s="12" t="inlineStr">
        <is>
          <t>VD 2.1 %</t>
        </is>
      </c>
      <c r="AA2859" s="12">
        <f>N2859*O2859</f>
        <v/>
      </c>
    </row>
    <row r="2860">
      <c r="A2860" s="12" t="inlineStr">
        <is>
          <t>E-P-0066</t>
        </is>
      </c>
      <c r="B2860" s="12" t="inlineStr">
        <is>
          <t>E</t>
        </is>
      </c>
      <c r="C2860" s="12" t="inlineStr">
        <is>
          <t>Water / utilities</t>
        </is>
      </c>
      <c r="D2860" s="12" t="inlineStr">
        <is>
          <t>Motor 1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LV|3/C+G|1</t>
        </is>
      </c>
      <c r="L2860" s="12" t="inlineStr">
        <is>
          <t>3/C+G</t>
        </is>
      </c>
      <c r="M2860" s="12" t="inlineStr">
        <is>
          <t>1</t>
        </is>
      </c>
      <c r="N2860" s="12" t="n">
        <v>1</v>
      </c>
      <c r="O2860" s="12" t="n">
        <v>1</v>
      </c>
      <c r="P2860" s="12" t="n">
        <v>480</v>
      </c>
      <c r="Q2860" s="12" t="n">
        <v>15</v>
      </c>
      <c r="R2860" s="12" t="n">
        <v>21.2</v>
      </c>
      <c r="S2860" s="12" t="inlineStr">
        <is>
          <t>Duct bank</t>
        </is>
      </c>
      <c r="T2860" s="16" t="n">
        <v>1859</v>
      </c>
      <c r="U2860" s="16" t="n">
        <v>212</v>
      </c>
      <c r="V2860" s="16">
        <f>ROUNDUP((T2860+U2860+2*'Read Me'!$B$13)*(1+'Read Me'!$B$12),-1)</f>
        <v/>
      </c>
      <c r="W2860" s="16">
        <f>V2860*N2860*O2860</f>
        <v/>
      </c>
      <c r="X2860" s="12">
        <f>IF(LEFT(I2860,2)="MV",2*N2860*IF(L2860="1/C",O2860,1),0)</f>
        <v/>
      </c>
      <c r="Y2860" s="12">
        <f>IF(OR(LEFT(K2860,4)="LVAX",LEFT(K2860,6)="MV15AX",LEFT(K2860,4)="CTAX",LEFT(K2860,2)="W|"),2*N2860*O2860,0)</f>
        <v/>
      </c>
      <c r="Z2860" s="12" t="inlineStr">
        <is>
          <t>VD 2.7 %</t>
        </is>
      </c>
      <c r="AA2860" s="12">
        <f>N2860*O2860</f>
        <v/>
      </c>
    </row>
    <row r="2861">
      <c r="A2861" s="12" t="inlineStr">
        <is>
          <t>E-P-0067</t>
        </is>
      </c>
      <c r="B2861" s="12" t="inlineStr">
        <is>
          <t>E</t>
        </is>
      </c>
      <c r="C2861" s="12" t="inlineStr">
        <is>
          <t>Water / utilities</t>
        </is>
      </c>
      <c r="D2861" s="12" t="inlineStr">
        <is>
          <t>Motor 2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LV|3/C+G|1</t>
        </is>
      </c>
      <c r="L2861" s="12" t="inlineStr">
        <is>
          <t>3/C+G</t>
        </is>
      </c>
      <c r="M2861" s="12" t="inlineStr">
        <is>
          <t>1</t>
        </is>
      </c>
      <c r="N2861" s="12" t="n">
        <v>1</v>
      </c>
      <c r="O2861" s="12" t="n">
        <v>1</v>
      </c>
      <c r="P2861" s="12" t="n">
        <v>480</v>
      </c>
      <c r="Q2861" s="12" t="n">
        <v>15</v>
      </c>
      <c r="R2861" s="12" t="n">
        <v>21.2</v>
      </c>
      <c r="S2861" s="12" t="inlineStr">
        <is>
          <t>Duct bank</t>
        </is>
      </c>
      <c r="T2861" s="16" t="n">
        <v>1859</v>
      </c>
      <c r="U2861" s="16" t="n">
        <v>212</v>
      </c>
      <c r="V2861" s="16">
        <f>ROUNDUP((T2861+U2861+2*'Read Me'!$B$13)*(1+'Read Me'!$B$12),-1)</f>
        <v/>
      </c>
      <c r="W2861" s="16">
        <f>V2861*N2861*O2861</f>
        <v/>
      </c>
      <c r="X2861" s="12">
        <f>IF(LEFT(I2861,2)="MV",2*N2861*IF(L2861="1/C",O2861,1),0)</f>
        <v/>
      </c>
      <c r="Y2861" s="12">
        <f>IF(OR(LEFT(K2861,4)="LVAX",LEFT(K2861,6)="MV15AX",LEFT(K2861,4)="CTAX",LEFT(K2861,2)="W|"),2*N2861*O2861,0)</f>
        <v/>
      </c>
      <c r="Z2861" s="12" t="inlineStr">
        <is>
          <t>VD 2.7 %</t>
        </is>
      </c>
      <c r="AA2861" s="12">
        <f>N2861*O2861</f>
        <v/>
      </c>
    </row>
    <row r="2862">
      <c r="A2862" s="12" t="inlineStr">
        <is>
          <t>E-P-0068</t>
        </is>
      </c>
      <c r="B2862" s="12" t="inlineStr">
        <is>
          <t>E</t>
        </is>
      </c>
      <c r="C2862" s="12" t="inlineStr">
        <is>
          <t>Water / utilities</t>
        </is>
      </c>
      <c r="D2862" s="12" t="inlineStr">
        <is>
          <t>Motor 3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E-P-0069</t>
        </is>
      </c>
      <c r="B2863" s="12" t="inlineStr">
        <is>
          <t>E</t>
        </is>
      </c>
      <c r="C2863" s="12" t="inlineStr">
        <is>
          <t>Water / utilities</t>
        </is>
      </c>
      <c r="D2863" s="12" t="inlineStr">
        <is>
          <t>Motor 4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E-P-0070</t>
        </is>
      </c>
      <c r="B2864" s="12" t="inlineStr">
        <is>
          <t>E</t>
        </is>
      </c>
      <c r="C2864" s="12" t="inlineStr">
        <is>
          <t>Water / utilities</t>
        </is>
      </c>
      <c r="D2864" s="12" t="inlineStr">
        <is>
          <t>Motor 5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E-P-0071</t>
        </is>
      </c>
      <c r="B2865" s="12" t="inlineStr">
        <is>
          <t>E</t>
        </is>
      </c>
      <c r="C2865" s="12" t="inlineStr">
        <is>
          <t>Water / utilities</t>
        </is>
      </c>
      <c r="D2865" s="12" t="inlineStr">
        <is>
          <t>Motor 6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E-P-0072</t>
        </is>
      </c>
      <c r="B2866" s="12" t="inlineStr">
        <is>
          <t>E</t>
        </is>
      </c>
      <c r="C2866" s="12" t="inlineStr">
        <is>
          <t>Water / utilities</t>
        </is>
      </c>
      <c r="D2866" s="12" t="inlineStr">
        <is>
          <t>Motor 7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E-P-0073</t>
        </is>
      </c>
      <c r="B2867" s="12" t="inlineStr">
        <is>
          <t>E</t>
        </is>
      </c>
      <c r="C2867" s="12" t="inlineStr">
        <is>
          <t>Water / utilities</t>
        </is>
      </c>
      <c r="D2867" s="12" t="inlineStr">
        <is>
          <t>Motor 8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E-P-0074</t>
        </is>
      </c>
      <c r="B2868" s="12" t="inlineStr">
        <is>
          <t>E</t>
        </is>
      </c>
      <c r="C2868" s="12" t="inlineStr">
        <is>
          <t>Water / utilities</t>
        </is>
      </c>
      <c r="D2868" s="12" t="inlineStr">
        <is>
          <t>Motor 1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6" t="n">
        <v>1629</v>
      </c>
      <c r="U2868" s="16" t="n">
        <v>145</v>
      </c>
      <c r="V2868" s="16">
        <f>ROUNDUP((T2868+U2868+2*'Read Me'!$B$13)*(1+'Read Me'!$B$12),-1)</f>
        <v/>
      </c>
      <c r="W2868" s="16">
        <f>V2868*N2868*O2868</f>
        <v/>
      </c>
      <c r="X2868" s="12">
        <f>IF(LEFT(I2868,2)="MV",2*N2868*IF(L2868="1/C",O2868,1),0)</f>
        <v/>
      </c>
      <c r="Y2868" s="12">
        <f>IF(OR(LEFT(K2868,4)="LVAX",LEFT(K2868,6)="MV15AX",LEFT(K2868,4)="CTAX",LEFT(K2868,2)="W|"),2*N2868*O2868,0)</f>
        <v/>
      </c>
      <c r="Z2868" s="12" t="inlineStr">
        <is>
          <t>VD 2.9 %</t>
        </is>
      </c>
      <c r="AA2868" s="12">
        <f>N2868*O2868</f>
        <v/>
      </c>
    </row>
    <row r="2869">
      <c r="A2869" s="12" t="inlineStr">
        <is>
          <t>E-P-0075</t>
        </is>
      </c>
      <c r="B2869" s="12" t="inlineStr">
        <is>
          <t>E</t>
        </is>
      </c>
      <c r="C2869" s="12" t="inlineStr">
        <is>
          <t>Water / utilities</t>
        </is>
      </c>
      <c r="D2869" s="12" t="inlineStr">
        <is>
          <t>Motor 2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6" t="n">
        <v>1629</v>
      </c>
      <c r="U2869" s="16" t="n">
        <v>145</v>
      </c>
      <c r="V2869" s="16">
        <f>ROUNDUP((T2869+U2869+2*'Read Me'!$B$13)*(1+'Read Me'!$B$12),-1)</f>
        <v/>
      </c>
      <c r="W2869" s="16">
        <f>V2869*N2869*O2869</f>
        <v/>
      </c>
      <c r="X2869" s="12">
        <f>IF(LEFT(I2869,2)="MV",2*N2869*IF(L2869="1/C",O2869,1),0)</f>
        <v/>
      </c>
      <c r="Y2869" s="12">
        <f>IF(OR(LEFT(K2869,4)="LVAX",LEFT(K2869,6)="MV15AX",LEFT(K2869,4)="CTAX",LEFT(K2869,2)="W|"),2*N2869*O2869,0)</f>
        <v/>
      </c>
      <c r="Z2869" s="12" t="inlineStr">
        <is>
          <t>VD 2.9 %</t>
        </is>
      </c>
      <c r="AA2869" s="12">
        <f>N2869*O2869</f>
        <v/>
      </c>
    </row>
    <row r="2870">
      <c r="A2870" s="12" t="inlineStr">
        <is>
          <t>E-P-0076</t>
        </is>
      </c>
      <c r="B2870" s="12" t="inlineStr">
        <is>
          <t>E</t>
        </is>
      </c>
      <c r="C2870" s="12" t="inlineStr">
        <is>
          <t>Water / utilities</t>
        </is>
      </c>
      <c r="D2870" s="12" t="inlineStr">
        <is>
          <t>Motor 3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E-P-0077</t>
        </is>
      </c>
      <c r="B2871" s="12" t="inlineStr">
        <is>
          <t>E</t>
        </is>
      </c>
      <c r="C2871" s="12" t="inlineStr">
        <is>
          <t>Water / utilities</t>
        </is>
      </c>
      <c r="D2871" s="12" t="inlineStr">
        <is>
          <t>Motor 4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E-P-0078</t>
        </is>
      </c>
      <c r="B2872" s="12" t="inlineStr">
        <is>
          <t>E</t>
        </is>
      </c>
      <c r="C2872" s="12" t="inlineStr">
        <is>
          <t>Water / utilities</t>
        </is>
      </c>
      <c r="D2872" s="12" t="inlineStr">
        <is>
          <t>Motor 5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E-P-0079</t>
        </is>
      </c>
      <c r="B2873" s="12" t="inlineStr">
        <is>
          <t>E</t>
        </is>
      </c>
      <c r="C2873" s="12" t="inlineStr">
        <is>
          <t>Water / utilities</t>
        </is>
      </c>
      <c r="D2873" s="12" t="inlineStr">
        <is>
          <t>Motor 6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E-P-0080</t>
        </is>
      </c>
      <c r="B2874" s="12" t="inlineStr">
        <is>
          <t>E</t>
        </is>
      </c>
      <c r="C2874" s="12" t="inlineStr">
        <is>
          <t>Water / utilities</t>
        </is>
      </c>
      <c r="D2874" s="12" t="inlineStr">
        <is>
          <t>Motor 7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E-P-0081</t>
        </is>
      </c>
      <c r="B2875" s="12" t="inlineStr">
        <is>
          <t>E</t>
        </is>
      </c>
      <c r="C2875" s="12" t="inlineStr">
        <is>
          <t>Water / utilities</t>
        </is>
      </c>
      <c r="D2875" s="12" t="inlineStr">
        <is>
          <t>Motor 8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E-P-0082</t>
        </is>
      </c>
      <c r="B2876" s="12" t="inlineStr">
        <is>
          <t>E</t>
        </is>
      </c>
      <c r="C2876" s="12" t="inlineStr">
        <is>
          <t>Water / utilities</t>
        </is>
      </c>
      <c r="D2876" s="12" t="inlineStr">
        <is>
          <t>Motor 9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E-P-0083</t>
        </is>
      </c>
      <c r="B2877" s="12" t="inlineStr">
        <is>
          <t>E</t>
        </is>
      </c>
      <c r="C2877" s="12" t="inlineStr">
        <is>
          <t>Water / utilities</t>
        </is>
      </c>
      <c r="D2877" s="12" t="inlineStr">
        <is>
          <t>Motor 10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E-P-0084</t>
        </is>
      </c>
      <c r="B2878" s="12" t="inlineStr">
        <is>
          <t>E</t>
        </is>
      </c>
      <c r="C2878" s="12" t="inlineStr">
        <is>
          <t>Water / utilities</t>
        </is>
      </c>
      <c r="D2878" s="12" t="inlineStr">
        <is>
          <t>Motor 11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E-P-0085</t>
        </is>
      </c>
      <c r="B2879" s="12" t="inlineStr">
        <is>
          <t>E</t>
        </is>
      </c>
      <c r="C2879" s="12" t="inlineStr">
        <is>
          <t>Water / utilities</t>
        </is>
      </c>
      <c r="D2879" s="12" t="inlineStr">
        <is>
          <t>Motor 12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E-P-0086</t>
        </is>
      </c>
      <c r="B2880" s="12" t="inlineStr">
        <is>
          <t>E</t>
        </is>
      </c>
      <c r="C2880" s="12" t="inlineStr">
        <is>
          <t>Water / utilities</t>
        </is>
      </c>
      <c r="D2880" s="12" t="inlineStr">
        <is>
          <t>Motor 13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E-P-0087</t>
        </is>
      </c>
      <c r="B2881" s="12" t="inlineStr">
        <is>
          <t>E</t>
        </is>
      </c>
      <c r="C2881" s="12" t="inlineStr">
        <is>
          <t>Water / utilities</t>
        </is>
      </c>
      <c r="D2881" s="12" t="inlineStr">
        <is>
          <t>Motor 14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E-P-0088</t>
        </is>
      </c>
      <c r="B2882" s="12" t="inlineStr">
        <is>
          <t>E</t>
        </is>
      </c>
      <c r="C2882" s="12" t="inlineStr">
        <is>
          <t>Water / utilities</t>
        </is>
      </c>
      <c r="D2882" s="12" t="inlineStr">
        <is>
          <t>Motor 15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E-P-0089</t>
        </is>
      </c>
      <c r="B2883" s="12" t="inlineStr">
        <is>
          <t>E</t>
        </is>
      </c>
      <c r="C2883" s="12" t="inlineStr">
        <is>
          <t>Water / utilities</t>
        </is>
      </c>
      <c r="D2883" s="12" t="inlineStr">
        <is>
          <t>Motor 16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E-P-0090</t>
        </is>
      </c>
      <c r="B2884" s="12" t="inlineStr">
        <is>
          <t>E</t>
        </is>
      </c>
      <c r="C2884" s="12" t="inlineStr">
        <is>
          <t>Water / utilities</t>
        </is>
      </c>
      <c r="D2884" s="12" t="inlineStr">
        <is>
          <t>Motor 17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E-P-0091</t>
        </is>
      </c>
      <c r="B2885" s="12" t="inlineStr">
        <is>
          <t>E</t>
        </is>
      </c>
      <c r="C2885" s="12" t="inlineStr">
        <is>
          <t>Water / utilities</t>
        </is>
      </c>
      <c r="D2885" s="12" t="inlineStr">
        <is>
          <t>Motor 18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E-P-0092</t>
        </is>
      </c>
      <c r="B2886" s="12" t="inlineStr">
        <is>
          <t>E</t>
        </is>
      </c>
      <c r="C2886" s="12" t="inlineStr">
        <is>
          <t>Water / utilities</t>
        </is>
      </c>
      <c r="D2886" s="12" t="inlineStr">
        <is>
          <t>Motor 19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E-P-0093</t>
        </is>
      </c>
      <c r="B2887" s="12" t="inlineStr">
        <is>
          <t>E</t>
        </is>
      </c>
      <c r="C2887" s="12" t="inlineStr">
        <is>
          <t>Water / utilities</t>
        </is>
      </c>
      <c r="D2887" s="12" t="inlineStr">
        <is>
          <t>Motor 20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F-L-0001</t>
        </is>
      </c>
      <c r="B2888" s="12" t="inlineStr">
        <is>
          <t>F</t>
        </is>
      </c>
      <c r="C2888" s="12" t="inlineStr">
        <is>
          <t>Controls / service</t>
        </is>
      </c>
      <c r="D2888" s="12" t="inlineStr">
        <is>
          <t>Lighting, receptacles and small power branch circuits (allowance)</t>
        </is>
      </c>
      <c r="E2888" s="12" t="inlineStr">
        <is>
          <t>CR</t>
        </is>
      </c>
      <c r="F2888" s="12" t="inlineStr">
        <is>
          <t>Control / admin building (main control room)</t>
        </is>
      </c>
      <c r="G2888" s="12" t="inlineStr">
        <is>
          <t>CR</t>
        </is>
      </c>
      <c r="H2888" s="12" t="inlineStr">
        <is>
          <t>Control / admin building (main control room)</t>
        </is>
      </c>
      <c r="I2888" s="12" t="inlineStr">
        <is>
          <t>Building wire</t>
        </is>
      </c>
      <c r="J2888" s="12" t="inlineStr">
        <is>
          <t>SIMpull THHN/THWN-2 600 V 1/C Cu (lighting, receptacles, small power)</t>
        </is>
      </c>
      <c r="K2888" s="12" t="inlineStr">
        <is>
          <t>THHN|1/C|12</t>
        </is>
      </c>
      <c r="L2888" s="12" t="inlineStr">
        <is>
          <t>1/C</t>
        </is>
      </c>
      <c r="M2888" s="12" t="inlineStr">
        <is>
          <t>12</t>
        </is>
      </c>
      <c r="N2888" s="12" t="n">
        <v>1</v>
      </c>
      <c r="O2888" s="12" t="n">
        <v>1</v>
      </c>
      <c r="P2888" s="12" t="n">
        <v>277</v>
      </c>
      <c r="Q2888" s="12" t="n"/>
      <c r="R2888" s="12" t="n"/>
      <c r="S2888" s="12" t="inlineStr">
        <is>
          <t>Conduit</t>
        </is>
      </c>
      <c r="T2888" s="16" t="n">
        <v>19339</v>
      </c>
      <c r="U2888" s="16" t="n">
        <v>0</v>
      </c>
      <c r="V2888" s="16">
        <f>ROUNDUP((T2888+U2888+2*'Read Me'!$B$13)*(1+'Read Me'!$B$12),-1)</f>
        <v/>
      </c>
      <c r="W2888" s="16">
        <f>V2888*N2888*O2888</f>
        <v/>
      </c>
      <c r="X2888" s="12">
        <f>IF(LEFT(I2888,2)="MV",2*N2888*IF(L2888="1/C",O2888,1),0)</f>
        <v/>
      </c>
      <c r="Y2888" s="12">
        <f>IF(OR(LEFT(K2888,4)="LVAX",LEFT(K2888,6)="MV15AX",LEFT(K2888,4)="CTAX",LEFT(K2888,2)="W|"),2*N2888*O2888,0)</f>
        <v/>
      </c>
      <c r="Z2888" s="12" t="inlineStr">
        <is>
          <t>allowance: 1.6 ft of conductor per ft2 of floor</t>
        </is>
      </c>
      <c r="AA2888" s="12">
        <f>N2888*O2888</f>
        <v/>
      </c>
    </row>
    <row r="2889">
      <c r="A2889" s="12" t="inlineStr">
        <is>
          <t>F-L-0002</t>
        </is>
      </c>
      <c r="B2889" s="12" t="inlineStr">
        <is>
          <t>F</t>
        </is>
      </c>
      <c r="C2889" s="12" t="inlineStr">
        <is>
          <t>Controls / service</t>
        </is>
      </c>
      <c r="D2889" s="12" t="inlineStr">
        <is>
          <t>Lighting, receptacles and small power branch circuits (allowance)</t>
        </is>
      </c>
      <c r="E2889" s="12" t="inlineStr"/>
      <c r="F2889" s="12" t="inlineStr">
        <is>
          <t>Gatehouse</t>
        </is>
      </c>
      <c r="G2889" s="12" t="inlineStr"/>
      <c r="H2889" s="12" t="inlineStr">
        <is>
          <t>Gatehouse</t>
        </is>
      </c>
      <c r="I2889" s="12" t="inlineStr">
        <is>
          <t>Building wire</t>
        </is>
      </c>
      <c r="J2889" s="12" t="inlineStr">
        <is>
          <t>SIMpull THHN/THWN-2 600 V 1/C Cu (lighting, receptacles, small power)</t>
        </is>
      </c>
      <c r="K2889" s="12" t="inlineStr">
        <is>
          <t>THHN|1/C|12</t>
        </is>
      </c>
      <c r="L2889" s="12" t="inlineStr">
        <is>
          <t>1/C</t>
        </is>
      </c>
      <c r="M2889" s="12" t="inlineStr">
        <is>
          <t>12</t>
        </is>
      </c>
      <c r="N2889" s="12" t="n">
        <v>1</v>
      </c>
      <c r="O2889" s="12" t="n">
        <v>1</v>
      </c>
      <c r="P2889" s="12" t="n">
        <v>277</v>
      </c>
      <c r="Q2889" s="12" t="n"/>
      <c r="R2889" s="12" t="n"/>
      <c r="S2889" s="12" t="inlineStr">
        <is>
          <t>Conduit</t>
        </is>
      </c>
      <c r="T2889" s="16" t="n">
        <v>736</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allowance: 1.6 ft of conductor per ft2 of floor</t>
        </is>
      </c>
      <c r="AA2889" s="12">
        <f>N2889*O2889</f>
        <v/>
      </c>
    </row>
    <row r="2890">
      <c r="A2890" s="12" t="inlineStr">
        <is>
          <t>F-L-0003</t>
        </is>
      </c>
      <c r="B2890" s="12" t="inlineStr">
        <is>
          <t>F</t>
        </is>
      </c>
      <c r="C2890" s="12" t="inlineStr">
        <is>
          <t>Controls / service</t>
        </is>
      </c>
      <c r="D2890" s="12" t="inlineStr">
        <is>
          <t>Lighting, receptacles and small power branch circuits (allowance)</t>
        </is>
      </c>
      <c r="E2890" s="12" t="inlineStr"/>
      <c r="F2890" s="12" t="inlineStr">
        <is>
          <t>Maintenance building / workshop</t>
        </is>
      </c>
      <c r="G2890" s="12" t="inlineStr"/>
      <c r="H2890" s="12" t="inlineStr">
        <is>
          <t>Maintenance building / workshop</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8003</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F-L-0004</t>
        </is>
      </c>
      <c r="B2891" s="12" t="inlineStr">
        <is>
          <t>F</t>
        </is>
      </c>
      <c r="C2891" s="12" t="inlineStr">
        <is>
          <t>Controls / service</t>
        </is>
      </c>
      <c r="D2891" s="12" t="inlineStr">
        <is>
          <t>Lighting, receptacles and small power branch circuits (allowance)</t>
        </is>
      </c>
      <c r="E2891" s="12" t="inlineStr"/>
      <c r="F2891" s="12" t="inlineStr">
        <is>
          <t>Warehouse</t>
        </is>
      </c>
      <c r="G2891" s="12" t="inlineStr"/>
      <c r="H2891" s="12" t="inlineStr">
        <is>
          <t>Warehouse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27227</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F-C-0001</t>
        </is>
      </c>
      <c r="B2892" s="12" t="inlineStr">
        <is>
          <t>F</t>
        </is>
      </c>
      <c r="C2892" s="12" t="inlineStr">
        <is>
          <t>Controls / service</t>
        </is>
      </c>
      <c r="D2892" s="12" t="inlineStr">
        <is>
          <t>Control</t>
        </is>
      </c>
      <c r="E2892" s="12" t="inlineStr">
        <is>
          <t>CR</t>
        </is>
      </c>
      <c r="F2892" s="12" t="inlineStr">
        <is>
          <t>Control / admin building (main control room)</t>
        </is>
      </c>
      <c r="G2892" s="12" t="inlineStr">
        <is>
          <t>CR</t>
        </is>
      </c>
      <c r="H2892" s="12" t="inlineStr">
        <is>
          <t>Control / admin building (main control room)</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F-C-0002</t>
        </is>
      </c>
      <c r="B2893" s="12" t="inlineStr">
        <is>
          <t>F</t>
        </is>
      </c>
      <c r="C2893" s="12" t="inlineStr">
        <is>
          <t>Controls / service</t>
        </is>
      </c>
      <c r="D2893" s="12" t="inlineStr">
        <is>
          <t>Control</t>
        </is>
      </c>
      <c r="E2893" s="12" t="inlineStr">
        <is>
          <t>CR</t>
        </is>
      </c>
      <c r="F2893" s="12" t="inlineStr">
        <is>
          <t>Control / admin building (main control room)</t>
        </is>
      </c>
      <c r="G2893" s="12" t="inlineStr">
        <is>
          <t>EDG-1</t>
        </is>
      </c>
      <c r="H2893" s="12" t="inlineStr">
        <is>
          <t>EDG-1: 3 MW emergency diesel generator (480 V)</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Duct bank</t>
        </is>
      </c>
      <c r="T2893" s="16" t="n">
        <v>626</v>
      </c>
      <c r="U2893" s="16" t="n">
        <v>62</v>
      </c>
      <c r="V2893" s="16">
        <f>ROUNDUP((T2893+U2893+2*'Read Me'!$B$13)*(1+'Read Me'!$B$12),-1)</f>
        <v/>
      </c>
      <c r="W2893" s="16">
        <f>V2893*N2893*O2893</f>
        <v/>
      </c>
      <c r="X2893" s="12">
        <f>IF(LEFT(I2893,2)="MV",2*N2893*IF(L2893="1/C",O2893,1),0)</f>
        <v/>
      </c>
      <c r="Y2893" s="12">
        <f>IF(OR(LEFT(K2893,4)="LVAX",LEFT(K2893,6)="MV15AX",LEFT(K2893,4)="CTAX",LEFT(K2893,2)="W|"),2*N2893*O2893,0)</f>
        <v/>
      </c>
      <c r="Z2893" s="12" t="inlineStr"/>
      <c r="AA2893" s="12">
        <f>N2893*O2893</f>
        <v/>
      </c>
    </row>
    <row r="2894">
      <c r="A2894" s="12" t="inlineStr">
        <is>
          <t>F-C-0003</t>
        </is>
      </c>
      <c r="B2894" s="12" t="inlineStr">
        <is>
          <t>F</t>
        </is>
      </c>
      <c r="C2894" s="12" t="inlineStr">
        <is>
          <t>Controls / service</t>
        </is>
      </c>
      <c r="D2894" s="12" t="inlineStr">
        <is>
          <t>Control</t>
        </is>
      </c>
      <c r="E2894" s="12" t="inlineStr">
        <is>
          <t>CR</t>
        </is>
      </c>
      <c r="F2894" s="12" t="inlineStr">
        <is>
          <t>Control / admin building (main control room)</t>
        </is>
      </c>
      <c r="G2894" s="12" t="inlineStr">
        <is>
          <t>EDG-2</t>
        </is>
      </c>
      <c r="H2894" s="12" t="inlineStr">
        <is>
          <t>EDG-2: 3 MW emergency diesel generator (480 V)</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6" t="n">
        <v>661</v>
      </c>
      <c r="U2894" s="16" t="n">
        <v>65</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F-C-0004</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Gatehouse</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Tray</t>
        </is>
      </c>
      <c r="T2895" s="16" t="n">
        <v>33</v>
      </c>
      <c r="U2895" s="16" t="n">
        <v>32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F-C-0005</t>
        </is>
      </c>
      <c r="B2896" s="12" t="inlineStr">
        <is>
          <t>F</t>
        </is>
      </c>
      <c r="C2896" s="12" t="inlineStr">
        <is>
          <t>Controls / service</t>
        </is>
      </c>
      <c r="D2896" s="12" t="inlineStr">
        <is>
          <t>Motor 1 of 2: control / local station</t>
        </is>
      </c>
      <c r="E2896" s="12" t="inlineStr">
        <is>
          <t>MCC-C2</t>
        </is>
      </c>
      <c r="F2896" s="12" t="inlineStr">
        <is>
          <t>R1 MCC-C2</t>
        </is>
      </c>
      <c r="G2896" s="12" t="inlineStr">
        <is>
          <t>LS-1</t>
        </is>
      </c>
      <c r="H2896" s="12" t="inlineStr">
        <is>
          <t>LS-1: sanitary lift station (packaged duplex)</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Tray</t>
        </is>
      </c>
      <c r="T2896" s="16" t="n">
        <v>744</v>
      </c>
      <c r="U2896" s="16" t="n">
        <v>173</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F-C-0006</t>
        </is>
      </c>
      <c r="B2897" s="12" t="inlineStr">
        <is>
          <t>F</t>
        </is>
      </c>
      <c r="C2897" s="12" t="inlineStr">
        <is>
          <t>Controls / service</t>
        </is>
      </c>
      <c r="D2897" s="12" t="inlineStr">
        <is>
          <t>Motor 2 of 2: control / local station</t>
        </is>
      </c>
      <c r="E2897" s="12" t="inlineStr">
        <is>
          <t>MCC-C2</t>
        </is>
      </c>
      <c r="F2897" s="12" t="inlineStr">
        <is>
          <t>R1 MCC-C2</t>
        </is>
      </c>
      <c r="G2897" s="12" t="inlineStr">
        <is>
          <t>LS-1</t>
        </is>
      </c>
      <c r="H2897" s="12" t="inlineStr">
        <is>
          <t>LS-1: sanitary lift station (packaged duplex)</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744</v>
      </c>
      <c r="U2897" s="16" t="n">
        <v>173</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F-C-0007</t>
        </is>
      </c>
      <c r="B2898" s="12" t="inlineStr">
        <is>
          <t>F</t>
        </is>
      </c>
      <c r="C2898" s="12" t="inlineStr">
        <is>
          <t>Controls / service</t>
        </is>
      </c>
      <c r="D2898" s="12" t="inlineStr">
        <is>
          <t>Control</t>
        </is>
      </c>
      <c r="E2898" s="12" t="inlineStr">
        <is>
          <t>RH</t>
        </is>
      </c>
      <c r="F2898" s="12" t="inlineStr">
        <is>
          <t>RH: switchyard relay / control house (52 x 70 ft)</t>
        </is>
      </c>
      <c r="G2898" s="12" t="inlineStr"/>
      <c r="H2898" s="12" t="inlineStr">
        <is>
          <t>Main gate: sliding gate, barrier arms, card readers, entrance sign</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6" t="n">
        <v>875</v>
      </c>
      <c r="U2898" s="16" t="n">
        <v>248</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F-C-0008</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Maintenance building / workshop</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Duct bank</t>
        </is>
      </c>
      <c r="T2899" s="16" t="n">
        <v>356</v>
      </c>
      <c r="U2899" s="16" t="n">
        <v>32</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F-C-0009</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Perimeter fence barbed-wire arms and CCTV cameras</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Tray</t>
        </is>
      </c>
      <c r="T2900" s="16" t="n">
        <v>2486</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F-C-0010</t>
        </is>
      </c>
      <c r="B2901" s="12" t="inlineStr">
        <is>
          <t>F</t>
        </is>
      </c>
      <c r="C2901" s="12" t="inlineStr">
        <is>
          <t>Controls / service</t>
        </is>
      </c>
      <c r="D2901" s="12" t="inlineStr">
        <is>
          <t>Motor 1 of 2: control / local station</t>
        </is>
      </c>
      <c r="E2901" s="12" t="inlineStr">
        <is>
          <t>MCC-C2</t>
        </is>
      </c>
      <c r="F2901" s="12" t="inlineStr">
        <is>
          <t>R1 MCC-C2</t>
        </is>
      </c>
      <c r="G2901" s="12" t="inlineStr"/>
      <c r="H2901" s="12" t="inlineStr">
        <is>
          <t>Stormwater pump station (2 x 100% submersible pumps)</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1832</v>
      </c>
      <c r="U2901" s="16" t="n">
        <v>145</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F-C-0011</t>
        </is>
      </c>
      <c r="B2902" s="12" t="inlineStr">
        <is>
          <t>F</t>
        </is>
      </c>
      <c r="C2902" s="12" t="inlineStr">
        <is>
          <t>Controls / service</t>
        </is>
      </c>
      <c r="D2902" s="12" t="inlineStr">
        <is>
          <t>Motor 2 of 2: control / local station</t>
        </is>
      </c>
      <c r="E2902" s="12" t="inlineStr">
        <is>
          <t>MCC-C2</t>
        </is>
      </c>
      <c r="F2902" s="12" t="inlineStr">
        <is>
          <t>R1 MCC-C2</t>
        </is>
      </c>
      <c r="G2902" s="12" t="inlineStr"/>
      <c r="H2902" s="12" t="inlineStr">
        <is>
          <t>Stormwater pump station (2 x 100% submersible pumps)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1832</v>
      </c>
      <c r="U2902" s="16" t="n">
        <v>145</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Warehouse</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6" t="n">
        <v>37</v>
      </c>
      <c r="U2903" s="16" t="n">
        <v>109</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F-F-0001</t>
        </is>
      </c>
      <c r="B2904" s="12" t="inlineStr">
        <is>
          <t>F</t>
        </is>
      </c>
      <c r="C2904" s="12" t="inlineStr">
        <is>
          <t>Controls / service</t>
        </is>
      </c>
      <c r="D2904" s="12" t="inlineStr">
        <is>
          <t>Plant network / DCS fibre</t>
        </is>
      </c>
      <c r="E2904" s="12" t="inlineStr">
        <is>
          <t>CR</t>
        </is>
      </c>
      <c r="F2904" s="12" t="inlineStr">
        <is>
          <t>Control / admin building (main control room)</t>
        </is>
      </c>
      <c r="G2904" s="12" t="inlineStr">
        <is>
          <t>CR</t>
        </is>
      </c>
      <c r="H2904" s="12" t="inlineStr">
        <is>
          <t>Control / admin building (main control room)</t>
        </is>
      </c>
      <c r="I2904" s="12" t="inlineStr">
        <is>
          <t>Fibre / data</t>
        </is>
      </c>
      <c r="J2904" s="12" t="inlineStr">
        <is>
          <t>Fibre optic, single-mode, 12-fibre, armored, orange jacket</t>
        </is>
      </c>
      <c r="K2904" s="12" t="inlineStr">
        <is>
          <t>FO|12 SM|-</t>
        </is>
      </c>
      <c r="L2904" s="12" t="inlineStr">
        <is>
          <t>12 SM</t>
        </is>
      </c>
      <c r="M2904" s="12" t="inlineStr">
        <is>
          <t>-</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F-F-0002</t>
        </is>
      </c>
      <c r="B2905" s="12" t="inlineStr">
        <is>
          <t>F</t>
        </is>
      </c>
      <c r="C2905" s="12" t="inlineStr">
        <is>
          <t>Controls / service</t>
        </is>
      </c>
      <c r="D2905" s="12" t="inlineStr">
        <is>
          <t>Plant network / DCS fibre</t>
        </is>
      </c>
      <c r="E2905" s="12" t="inlineStr">
        <is>
          <t>CR</t>
        </is>
      </c>
      <c r="F2905" s="12" t="inlineStr">
        <is>
          <t>Control / admin building (main control room)</t>
        </is>
      </c>
      <c r="G2905" s="12" t="inlineStr"/>
      <c r="H2905" s="12" t="inlineStr">
        <is>
          <t>Gatehouse</t>
        </is>
      </c>
      <c r="I2905" s="12" t="inlineStr">
        <is>
          <t>Fibre / data</t>
        </is>
      </c>
      <c r="J2905" s="12" t="inlineStr">
        <is>
          <t>Fibre optic, single-mode, 12-fibre, armored, orange jacket</t>
        </is>
      </c>
      <c r="K2905" s="12" t="inlineStr">
        <is>
          <t>FO|12 SM|-</t>
        </is>
      </c>
      <c r="L2905" s="12" t="inlineStr">
        <is>
          <t>12 SM</t>
        </is>
      </c>
      <c r="M2905" s="12" t="inlineStr">
        <is>
          <t>-</t>
        </is>
      </c>
      <c r="N2905" s="12" t="n">
        <v>1</v>
      </c>
      <c r="O2905" s="12" t="n">
        <v>1</v>
      </c>
      <c r="P2905" s="12" t="n"/>
      <c r="Q2905" s="12" t="n"/>
      <c r="R2905" s="12" t="n"/>
      <c r="S2905" s="12" t="inlineStr">
        <is>
          <t>Tray</t>
        </is>
      </c>
      <c r="T2905" s="16" t="n">
        <v>33</v>
      </c>
      <c r="U2905" s="16" t="n">
        <v>32</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F-F-0003</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c r="H2906" s="12" t="inlineStr">
        <is>
          <t>Maintenance building / workshop</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Duct bank</t>
        </is>
      </c>
      <c r="T2906" s="16" t="n">
        <v>356</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F-F-0004</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Warehouse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37</v>
      </c>
      <c r="U2907" s="16" t="n">
        <v>109</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F-FA-0001</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is>
          <t>CR</t>
        </is>
      </c>
      <c r="H2908" s="12" t="inlineStr">
        <is>
          <t>Control / admin building (main control room)</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F-FA-0002</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is>
          <t>EDG-1</t>
        </is>
      </c>
      <c r="H2909" s="12" t="inlineStr">
        <is>
          <t>EDG-1: 3 MW emergency diesel generator (480 V)</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Duct bank</t>
        </is>
      </c>
      <c r="T2909" s="16" t="n">
        <v>626</v>
      </c>
      <c r="U2909" s="16" t="n">
        <v>62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F-FA-0003</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EDG-2</t>
        </is>
      </c>
      <c r="H2910" s="12" t="inlineStr">
        <is>
          <t>EDG-2: 3 MW emergency diesel generator (480 V)</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Duct bank</t>
        </is>
      </c>
      <c r="T2910" s="16" t="n">
        <v>661</v>
      </c>
      <c r="U2910" s="16" t="n">
        <v>65</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F-FA-0004</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c r="H2911" s="12" t="inlineStr">
        <is>
          <t>Gatehouse</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33</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F-FA-0005</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c r="H2912" s="12" t="inlineStr">
        <is>
          <t>Maintenance building / workshop</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356</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F-FA-0006</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Warehouse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Tray</t>
        </is>
      </c>
      <c r="T2913" s="16" t="n">
        <v>37</v>
      </c>
      <c r="U2913" s="16" t="n">
        <v>109</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F-I-0001</t>
        </is>
      </c>
      <c r="B2914" s="12" t="inlineStr">
        <is>
          <t>F</t>
        </is>
      </c>
      <c r="C2914" s="12" t="inlineStr">
        <is>
          <t>Controls / service</t>
        </is>
      </c>
      <c r="D2914" s="12" t="inlineStr">
        <is>
          <t>Instrumentation</t>
        </is>
      </c>
      <c r="E2914" s="12" t="inlineStr">
        <is>
          <t>CR</t>
        </is>
      </c>
      <c r="F2914" s="12" t="inlineStr">
        <is>
          <t>Control / admin building (main control room)</t>
        </is>
      </c>
      <c r="G2914" s="12" t="inlineStr">
        <is>
          <t>EDG-1</t>
        </is>
      </c>
      <c r="H2914" s="12" t="inlineStr">
        <is>
          <t>EDG-1: 3 MW emergency diesel generator (480 V)</t>
        </is>
      </c>
      <c r="I2914" s="12" t="inlineStr">
        <is>
          <t>Instrumentation</t>
        </is>
      </c>
      <c r="J2914" s="12" t="inlineStr">
        <is>
          <t>Instrumentation PLTC / TC-ER 300 V, #18 twisted shielded pairs, overall shield</t>
        </is>
      </c>
      <c r="K2914" s="12" t="inlineStr">
        <is>
          <t>PLTC|4 pr|18</t>
        </is>
      </c>
      <c r="L2914" s="12" t="inlineStr">
        <is>
          <t>4 pr</t>
        </is>
      </c>
      <c r="M2914" s="12" t="inlineStr">
        <is>
          <t>18</t>
        </is>
      </c>
      <c r="N2914" s="12" t="n">
        <v>1</v>
      </c>
      <c r="O2914" s="12" t="n">
        <v>1</v>
      </c>
      <c r="P2914" s="12" t="n"/>
      <c r="Q2914" s="12" t="n"/>
      <c r="R2914" s="12" t="n"/>
      <c r="S2914" s="12" t="inlineStr">
        <is>
          <t>Duct bank</t>
        </is>
      </c>
      <c r="T2914" s="16" t="n">
        <v>626</v>
      </c>
      <c r="U2914" s="16" t="n">
        <v>62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F-I-0002</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EDG-1</t>
        </is>
      </c>
      <c r="H2915" s="12" t="inlineStr">
        <is>
          <t>EDG-1: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6" t="n">
        <v>626</v>
      </c>
      <c r="U2915" s="16" t="n">
        <v>62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F-I-0003</t>
        </is>
      </c>
      <c r="B2916" s="12" t="inlineStr">
        <is>
          <t>F</t>
        </is>
      </c>
      <c r="C2916" s="12" t="inlineStr">
        <is>
          <t>Controls / service</t>
        </is>
      </c>
      <c r="D2916" s="12" t="inlineStr">
        <is>
          <t>Thermocouples</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Thermocouple extension KX, #16 shielded pairs, PLTC</t>
        </is>
      </c>
      <c r="K2916" s="12" t="inlineStr">
        <is>
          <t>TCX|12 pr|16</t>
        </is>
      </c>
      <c r="L2916" s="12" t="inlineStr">
        <is>
          <t>12 pr</t>
        </is>
      </c>
      <c r="M2916" s="12" t="inlineStr">
        <is>
          <t>16</t>
        </is>
      </c>
      <c r="N2916" s="12" t="n">
        <v>1</v>
      </c>
      <c r="O2916" s="12" t="n">
        <v>1</v>
      </c>
      <c r="P2916" s="12" t="n"/>
      <c r="Q2916" s="12" t="n"/>
      <c r="R2916" s="12" t="n"/>
      <c r="S2916" s="12" t="inlineStr">
        <is>
          <t>Duct bank</t>
        </is>
      </c>
      <c r="T2916" s="16" t="n">
        <v>626</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F-I-0004</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EDG-2</t>
        </is>
      </c>
      <c r="H2917" s="12" t="inlineStr">
        <is>
          <t>EDG-2: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661</v>
      </c>
      <c r="U2917" s="16" t="n">
        <v>65</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F-I-0005</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EDG-2</t>
        </is>
      </c>
      <c r="H2918" s="12" t="inlineStr">
        <is>
          <t>EDG-2: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661</v>
      </c>
      <c r="U2918" s="16" t="n">
        <v>65</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F-I-0006</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661</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F-I-0007</t>
        </is>
      </c>
      <c r="B2920" s="12" t="inlineStr">
        <is>
          <t>F</t>
        </is>
      </c>
      <c r="C2920" s="12" t="inlineStr">
        <is>
          <t>Controls / service</t>
        </is>
      </c>
      <c r="D2920" s="12" t="inlineStr">
        <is>
          <t>Analog instrument to JB JB-LS-1-AI01: 2 x 1 pr (field cables)</t>
        </is>
      </c>
      <c r="E2920" s="12" t="inlineStr">
        <is>
          <t>LS-1</t>
        </is>
      </c>
      <c r="F2920" s="12" t="inlineStr">
        <is>
          <t>LS-1: sanitary lift station (packaged duplex)</t>
        </is>
      </c>
      <c r="G2920" s="12" t="inlineStr">
        <is>
          <t>JB-LS-1-AI01</t>
        </is>
      </c>
      <c r="H2920" s="12" t="inlineStr">
        <is>
          <t>LS-1: sanitary lift station (packaged duplex)</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2</v>
      </c>
      <c r="O2920" s="12" t="n">
        <v>1</v>
      </c>
      <c r="P2920" s="12" t="n"/>
      <c r="Q2920" s="12" t="n"/>
      <c r="R2920" s="12" t="n"/>
      <c r="S2920" s="12" t="inlineStr">
        <is>
          <t>Tray / conduit</t>
        </is>
      </c>
      <c r="T2920" s="16" t="n">
        <v>40</v>
      </c>
      <c r="U2920" s="16" t="n">
        <v>10</v>
      </c>
      <c r="V2920" s="16">
        <f>ROUNDUP((T2920+U2920+2*'Read Me'!$B$13)*(1+'Read Me'!$B$12),-1)</f>
        <v/>
      </c>
      <c r="W2920" s="16">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F-I-0008</t>
        </is>
      </c>
      <c r="B2921" s="12" t="inlineStr">
        <is>
          <t>F</t>
        </is>
      </c>
      <c r="C2921" s="12" t="inlineStr">
        <is>
          <t>Controls / service</t>
        </is>
      </c>
      <c r="D2921" s="12" t="inlineStr">
        <is>
          <t>Home run JB-LS-1-AI01 to the control / marshalling room</t>
        </is>
      </c>
      <c r="E2921" s="12" t="inlineStr">
        <is>
          <t>CR</t>
        </is>
      </c>
      <c r="F2921" s="12" t="inlineStr">
        <is>
          <t>Control / admin building (main control room)</t>
        </is>
      </c>
      <c r="G2921" s="12" t="inlineStr">
        <is>
          <t>JB-LS-1-AI01</t>
        </is>
      </c>
      <c r="H2921" s="12" t="inlineStr">
        <is>
          <t>LS-1: sanitary lift station (packaged duplex)</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6" t="n">
        <v>366</v>
      </c>
      <c r="U2921" s="16" t="n">
        <v>60</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F-I-0009</t>
        </is>
      </c>
      <c r="B2922" s="12" t="inlineStr">
        <is>
          <t>F</t>
        </is>
      </c>
      <c r="C2922" s="12" t="inlineStr">
        <is>
          <t>Controls / service</t>
        </is>
      </c>
      <c r="D2922" s="12" t="inlineStr">
        <is>
          <t>Discrete device to JB JB-LS-1-DI01: 4 x 1 pr (field cables)</t>
        </is>
      </c>
      <c r="E2922" s="12" t="inlineStr">
        <is>
          <t>LS-1</t>
        </is>
      </c>
      <c r="F2922" s="12" t="inlineStr">
        <is>
          <t>LS-1: sanitary lift station (packaged duplex)</t>
        </is>
      </c>
      <c r="G2922" s="12" t="inlineStr">
        <is>
          <t>JB-LS-1-DI01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4</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F-I-0010</t>
        </is>
      </c>
      <c r="B2923" s="12" t="inlineStr">
        <is>
          <t>F</t>
        </is>
      </c>
      <c r="C2923" s="12" t="inlineStr">
        <is>
          <t>Controls / service</t>
        </is>
      </c>
      <c r="D2923" s="12" t="inlineStr">
        <is>
          <t>Home run JB-LS-1-DI01 to the control / marshalling room</t>
        </is>
      </c>
      <c r="E2923" s="12" t="inlineStr">
        <is>
          <t>CR</t>
        </is>
      </c>
      <c r="F2923" s="12" t="inlineStr">
        <is>
          <t>Control / admin building (main control room)</t>
        </is>
      </c>
      <c r="G2923" s="12" t="inlineStr">
        <is>
          <t>JB-LS-1-DI01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366</v>
      </c>
      <c r="U2923" s="16" t="n">
        <v>60</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F-I-0011</t>
        </is>
      </c>
      <c r="B2924" s="12" t="inlineStr">
        <is>
          <t>F</t>
        </is>
      </c>
      <c r="C2924" s="12" t="inlineStr">
        <is>
          <t>Controls / service</t>
        </is>
      </c>
      <c r="D2924" s="12" t="inlineStr">
        <is>
          <t>Analog instrument to JB JB-Stormwater pump st-AI01: 4 x 1 pr (field cables)</t>
        </is>
      </c>
      <c r="E2924" s="12" t="inlineStr"/>
      <c r="F2924" s="12" t="inlineStr">
        <is>
          <t>Stormwater pump station (2 x 100% submersible pumps)</t>
        </is>
      </c>
      <c r="G2924" s="12" t="inlineStr">
        <is>
          <t>JB-Stormwater pump st-AI01</t>
        </is>
      </c>
      <c r="H2924" s="12" t="inlineStr">
        <is>
          <t>Stormwater pump station (2 x 100% submersible pumps)</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72</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F-I-0012</t>
        </is>
      </c>
      <c r="B2925" s="12" t="inlineStr">
        <is>
          <t>F</t>
        </is>
      </c>
      <c r="C2925" s="12" t="inlineStr">
        <is>
          <t>Controls / service</t>
        </is>
      </c>
      <c r="D2925" s="12" t="inlineStr">
        <is>
          <t>Home run JB-Stormwater pump st-AI01 to the control / marshalling room</t>
        </is>
      </c>
      <c r="E2925" s="12" t="inlineStr">
        <is>
          <t>CR</t>
        </is>
      </c>
      <c r="F2925" s="12" t="inlineStr">
        <is>
          <t>Control / admin building (main control room)</t>
        </is>
      </c>
      <c r="G2925" s="12" t="inlineStr">
        <is>
          <t>JB-Stormwater pump st-AI01</t>
        </is>
      </c>
      <c r="H2925" s="12" t="inlineStr">
        <is>
          <t>Stormwater pump station (2 x 100% submersible pumps)</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1454</v>
      </c>
      <c r="U2925" s="16" t="n">
        <v>32</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F-I-0013</t>
        </is>
      </c>
      <c r="B2926" s="12" t="inlineStr">
        <is>
          <t>F</t>
        </is>
      </c>
      <c r="C2926" s="12" t="inlineStr">
        <is>
          <t>Controls / service</t>
        </is>
      </c>
      <c r="D2926" s="12" t="inlineStr">
        <is>
          <t>Discrete device to JB JB-Stormwater pump st-DI01: 6 x 1 pr (field cables)</t>
        </is>
      </c>
      <c r="E2926" s="12" t="inlineStr"/>
      <c r="F2926" s="12" t="inlineStr">
        <is>
          <t>Stormwater pump station (2 x 100% submersible pumps)</t>
        </is>
      </c>
      <c r="G2926" s="12" t="inlineStr">
        <is>
          <t>JB-Stormwater pump st-DI01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6</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F-I-0014</t>
        </is>
      </c>
      <c r="B2927" s="12" t="inlineStr">
        <is>
          <t>F</t>
        </is>
      </c>
      <c r="C2927" s="12" t="inlineStr">
        <is>
          <t>Controls / service</t>
        </is>
      </c>
      <c r="D2927" s="12" t="inlineStr">
        <is>
          <t>Home run JB-Stormwater pump st-DI01 to the control / marshalling room</t>
        </is>
      </c>
      <c r="E2927" s="12" t="inlineStr">
        <is>
          <t>CR</t>
        </is>
      </c>
      <c r="F2927" s="12" t="inlineStr">
        <is>
          <t>Control / admin building (main control room)</t>
        </is>
      </c>
      <c r="G2927" s="12" t="inlineStr">
        <is>
          <t>JB-Stormwater pump st-DI01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1454</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F-P-0001</t>
        </is>
      </c>
      <c r="B2928" s="12" t="inlineStr">
        <is>
          <t>F</t>
        </is>
      </c>
      <c r="C2928" s="12" t="inlineStr">
        <is>
          <t>Controls / service</t>
        </is>
      </c>
      <c r="D2928" s="12" t="inlineStr">
        <is>
          <t>LV power feeder</t>
        </is>
      </c>
      <c r="E2928" s="12" t="inlineStr">
        <is>
          <t>MCC-C2</t>
        </is>
      </c>
      <c r="F2928" s="12" t="inlineStr">
        <is>
          <t>R1 MCC-C2</t>
        </is>
      </c>
      <c r="G2928" s="12" t="inlineStr">
        <is>
          <t>COMMS</t>
        </is>
      </c>
      <c r="H2928" s="12" t="inlineStr">
        <is>
          <t>Comms tower (lattice)</t>
        </is>
      </c>
      <c r="I2928" s="12" t="inlineStr">
        <is>
          <t>LV 600 V</t>
        </is>
      </c>
      <c r="J2928" s="12" t="inlineStr">
        <is>
          <t>Type TC-ER 600 V 3/C Cu XHHW-2 + ground, PVC jacket</t>
        </is>
      </c>
      <c r="K2928" s="12" t="inlineStr">
        <is>
          <t>LV|3/C+G|4</t>
        </is>
      </c>
      <c r="L2928" s="12" t="inlineStr">
        <is>
          <t>3/C+G</t>
        </is>
      </c>
      <c r="M2928" s="12" t="inlineStr">
        <is>
          <t>4</t>
        </is>
      </c>
      <c r="N2928" s="12" t="n">
        <v>1</v>
      </c>
      <c r="O2928" s="12" t="n">
        <v>1</v>
      </c>
      <c r="P2928" s="12" t="n">
        <v>480</v>
      </c>
      <c r="Q2928" s="12" t="n">
        <v>10</v>
      </c>
      <c r="R2928" s="12" t="n">
        <v>14.2</v>
      </c>
      <c r="S2928" s="12" t="inlineStr">
        <is>
          <t>Tray</t>
        </is>
      </c>
      <c r="T2928" s="16" t="n">
        <v>1024</v>
      </c>
      <c r="U2928" s="16" t="n">
        <v>194</v>
      </c>
      <c r="V2928" s="16">
        <f>ROUNDUP((T2928+U2928+2*'Read Me'!$B$13)*(1+'Read Me'!$B$12),-1)</f>
        <v/>
      </c>
      <c r="W2928" s="16">
        <f>V2928*N2928*O2928</f>
        <v/>
      </c>
      <c r="X2928" s="12">
        <f>IF(LEFT(I2928,2)="MV",2*N2928*IF(L2928="1/C",O2928,1),0)</f>
        <v/>
      </c>
      <c r="Y2928" s="12">
        <f>IF(OR(LEFT(K2928,4)="LVAX",LEFT(K2928,6)="MV15AX",LEFT(K2928,4)="CTAX",LEFT(K2928,2)="W|"),2*N2928*O2928,0)</f>
        <v/>
      </c>
      <c r="Z2928" s="12" t="inlineStr">
        <is>
          <t>VD 2.1 %</t>
        </is>
      </c>
      <c r="AA2928" s="12">
        <f>N2928*O2928</f>
        <v/>
      </c>
    </row>
    <row r="2929">
      <c r="A2929" s="12" t="inlineStr">
        <is>
          <t>F-P-0002</t>
        </is>
      </c>
      <c r="B2929" s="12" t="inlineStr">
        <is>
          <t>F</t>
        </is>
      </c>
      <c r="C2929" s="12" t="inlineStr">
        <is>
          <t>Controls / service</t>
        </is>
      </c>
      <c r="D2929" s="12" t="inlineStr">
        <is>
          <t>LV panel / distribution feeder</t>
        </is>
      </c>
      <c r="E2929" s="12" t="inlineStr">
        <is>
          <t>MCC-C2</t>
        </is>
      </c>
      <c r="F2929" s="12" t="inlineStr">
        <is>
          <t>R1 MCC-C2</t>
        </is>
      </c>
      <c r="G2929" s="12" t="inlineStr">
        <is>
          <t>CR</t>
        </is>
      </c>
      <c r="H2929" s="12" t="inlineStr">
        <is>
          <t>Control / admin building (main control room)</t>
        </is>
      </c>
      <c r="I2929" s="12" t="inlineStr">
        <is>
          <t>LV 600 V</t>
        </is>
      </c>
      <c r="J2929" s="12" t="inlineStr">
        <is>
          <t>Type TC-ER 600 V 3/C Cu XHHW-2 + ground, PVC jacket</t>
        </is>
      </c>
      <c r="K2929" s="12" t="inlineStr">
        <is>
          <t>LV|3/C+G|500</t>
        </is>
      </c>
      <c r="L2929" s="12" t="inlineStr">
        <is>
          <t>3/C+G</t>
        </is>
      </c>
      <c r="M2929" s="12" t="inlineStr">
        <is>
          <t>500 kcmil</t>
        </is>
      </c>
      <c r="N2929" s="12" t="n">
        <v>1</v>
      </c>
      <c r="O2929" s="12" t="n">
        <v>1</v>
      </c>
      <c r="P2929" s="12" t="n">
        <v>480</v>
      </c>
      <c r="Q2929" s="12" t="n">
        <v>145</v>
      </c>
      <c r="R2929" s="12" t="n">
        <v>205.2</v>
      </c>
      <c r="S2929" s="12" t="inlineStr">
        <is>
          <t>Tray</t>
        </is>
      </c>
      <c r="T2929" s="16" t="n">
        <v>1020</v>
      </c>
      <c r="U2929" s="16" t="n">
        <v>145</v>
      </c>
      <c r="V2929" s="16">
        <f>ROUNDUP((T2929+U2929+2*'Read Me'!$B$13)*(1+'Read Me'!$B$12),-1)</f>
        <v/>
      </c>
      <c r="W2929" s="16">
        <f>V2929*N2929*O2929</f>
        <v/>
      </c>
      <c r="X2929" s="12">
        <f>IF(LEFT(I2929,2)="MV",2*N2929*IF(L2929="1/C",O2929,1),0)</f>
        <v/>
      </c>
      <c r="Y2929" s="12">
        <f>IF(OR(LEFT(K2929,4)="LVAX",LEFT(K2929,6)="MV15AX",LEFT(K2929,4)="CTAX",LEFT(K2929,2)="W|"),2*N2929*O2929,0)</f>
        <v/>
      </c>
      <c r="Z2929" s="12" t="inlineStr">
        <is>
          <t>VD 2.4 %</t>
        </is>
      </c>
      <c r="AA2929" s="12">
        <f>N2929*O2929</f>
        <v/>
      </c>
    </row>
    <row r="2930">
      <c r="A2930" s="12" t="inlineStr">
        <is>
          <t>F-P-0003</t>
        </is>
      </c>
      <c r="B2930" s="12" t="inlineStr">
        <is>
          <t>F</t>
        </is>
      </c>
      <c r="C2930" s="12" t="inlineStr">
        <is>
          <t>Controls / service</t>
        </is>
      </c>
      <c r="D2930" s="12" t="inlineStr">
        <is>
          <t>LV power feeder</t>
        </is>
      </c>
      <c r="E2930" s="12" t="inlineStr">
        <is>
          <t>MCC-C2</t>
        </is>
      </c>
      <c r="F2930" s="12" t="inlineStr">
        <is>
          <t>R1 MCC-C2</t>
        </is>
      </c>
      <c r="G2930" s="12" t="inlineStr">
        <is>
          <t>EDG-1</t>
        </is>
      </c>
      <c r="H2930" s="12" t="inlineStr">
        <is>
          <t>EDG-1: 3 MW emergency diesel generator (480 V)</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15</v>
      </c>
      <c r="R2930" s="12" t="n">
        <v>21.2</v>
      </c>
      <c r="S2930" s="12" t="inlineStr">
        <is>
          <t>Tray</t>
        </is>
      </c>
      <c r="T2930" s="16" t="n">
        <v>875</v>
      </c>
      <c r="U2930" s="16" t="n">
        <v>219</v>
      </c>
      <c r="V2930" s="16">
        <f>ROUNDUP((T2930+U2930+2*'Read Me'!$B$13)*(1+'Read Me'!$B$12),-1)</f>
        <v/>
      </c>
      <c r="W2930" s="16">
        <f>V2930*N2930*O2930</f>
        <v/>
      </c>
      <c r="X2930" s="12">
        <f>IF(LEFT(I2930,2)="MV",2*N2930*IF(L2930="1/C",O2930,1),0)</f>
        <v/>
      </c>
      <c r="Y2930" s="12">
        <f>IF(OR(LEFT(K2930,4)="LVAX",LEFT(K2930,6)="MV15AX",LEFT(K2930,4)="CTAX",LEFT(K2930,2)="W|"),2*N2930*O2930,0)</f>
        <v/>
      </c>
      <c r="Z2930" s="12" t="inlineStr">
        <is>
          <t>VD 2.8 %</t>
        </is>
      </c>
      <c r="AA2930" s="12">
        <f>N2930*O2930</f>
        <v/>
      </c>
    </row>
    <row r="2931">
      <c r="A2931" s="12" t="inlineStr">
        <is>
          <t>F-P-0004</t>
        </is>
      </c>
      <c r="B2931" s="12" t="inlineStr">
        <is>
          <t>F</t>
        </is>
      </c>
      <c r="C2931" s="12" t="inlineStr">
        <is>
          <t>Controls / service</t>
        </is>
      </c>
      <c r="D2931" s="12" t="inlineStr">
        <is>
          <t>LV power feeder</t>
        </is>
      </c>
      <c r="E2931" s="12" t="inlineStr">
        <is>
          <t>MCC-C2</t>
        </is>
      </c>
      <c r="F2931" s="12" t="inlineStr">
        <is>
          <t>R1 MCC-C2</t>
        </is>
      </c>
      <c r="G2931" s="12" t="inlineStr">
        <is>
          <t>EDG-2</t>
        </is>
      </c>
      <c r="H2931" s="12" t="inlineStr">
        <is>
          <t>EDG-2: 3 MW emergency diesel generator (480 V)</t>
        </is>
      </c>
      <c r="I2931" s="12" t="inlineStr">
        <is>
          <t>LV 600 V</t>
        </is>
      </c>
      <c r="J2931" s="12" t="inlineStr">
        <is>
          <t>Type TC-ER 600 V 3/C Cu XHHW-2 + ground, PVC jacket</t>
        </is>
      </c>
      <c r="K2931" s="12" t="inlineStr">
        <is>
          <t>LV|3/C+G|2</t>
        </is>
      </c>
      <c r="L2931" s="12" t="inlineStr">
        <is>
          <t>3/C+G</t>
        </is>
      </c>
      <c r="M2931" s="12" t="inlineStr">
        <is>
          <t>2</t>
        </is>
      </c>
      <c r="N2931" s="12" t="n">
        <v>1</v>
      </c>
      <c r="O2931" s="12" t="n">
        <v>1</v>
      </c>
      <c r="P2931" s="12" t="n">
        <v>480</v>
      </c>
      <c r="Q2931" s="12" t="n">
        <v>15</v>
      </c>
      <c r="R2931" s="12" t="n">
        <v>21.2</v>
      </c>
      <c r="S2931" s="12" t="inlineStr">
        <is>
          <t>Tray</t>
        </is>
      </c>
      <c r="T2931" s="16" t="n">
        <v>981</v>
      </c>
      <c r="U2931" s="16" t="n">
        <v>193</v>
      </c>
      <c r="V2931" s="16">
        <f>ROUNDUP((T2931+U2931+2*'Read Me'!$B$13)*(1+'Read Me'!$B$12),-1)</f>
        <v/>
      </c>
      <c r="W2931" s="16">
        <f>V2931*N2931*O2931</f>
        <v/>
      </c>
      <c r="X2931" s="12">
        <f>IF(LEFT(I2931,2)="MV",2*N2931*IF(L2931="1/C",O2931,1),0)</f>
        <v/>
      </c>
      <c r="Y2931" s="12">
        <f>IF(OR(LEFT(K2931,4)="LVAX",LEFT(K2931,6)="MV15AX",LEFT(K2931,4)="CTAX",LEFT(K2931,2)="W|"),2*N2931*O2931,0)</f>
        <v/>
      </c>
      <c r="Z2931" s="12" t="inlineStr">
        <is>
          <t>VD 1.9 %</t>
        </is>
      </c>
      <c r="AA2931" s="12">
        <f>N2931*O2931</f>
        <v/>
      </c>
    </row>
    <row r="2932">
      <c r="A2932" s="12" t="inlineStr">
        <is>
          <t>F-P-0005</t>
        </is>
      </c>
      <c r="B2932" s="12" t="inlineStr">
        <is>
          <t>F</t>
        </is>
      </c>
      <c r="C2932" s="12" t="inlineStr">
        <is>
          <t>Controls / service</t>
        </is>
      </c>
      <c r="D2932" s="12" t="inlineStr">
        <is>
          <t>LV panel / distribution feeder</t>
        </is>
      </c>
      <c r="E2932" s="12" t="inlineStr">
        <is>
          <t>MCC-C2</t>
        </is>
      </c>
      <c r="F2932" s="12" t="inlineStr">
        <is>
          <t>R1 MCC-C2</t>
        </is>
      </c>
      <c r="G2932" s="12" t="inlineStr"/>
      <c r="H2932" s="12" t="inlineStr">
        <is>
          <t>Gatehouse</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30</v>
      </c>
      <c r="R2932" s="12" t="n">
        <v>42.5</v>
      </c>
      <c r="S2932" s="12" t="inlineStr">
        <is>
          <t>Tray</t>
        </is>
      </c>
      <c r="T2932" s="16" t="n">
        <v>1049</v>
      </c>
      <c r="U2932" s="16" t="n">
        <v>145</v>
      </c>
      <c r="V2932" s="16">
        <f>ROUNDUP((T2932+U2932+2*'Read Me'!$B$13)*(1+'Read Me'!$B$12),-1)</f>
        <v/>
      </c>
      <c r="W2932" s="16">
        <f>V2932*N2932*O2932</f>
        <v/>
      </c>
      <c r="X2932" s="12">
        <f>IF(LEFT(I2932,2)="MV",2*N2932*IF(L2932="1/C",O2932,1),0)</f>
        <v/>
      </c>
      <c r="Y2932" s="12">
        <f>IF(OR(LEFT(K2932,4)="LVAX",LEFT(K2932,6)="MV15AX",LEFT(K2932,4)="CTAX",LEFT(K2932,2)="W|"),2*N2932*O2932,0)</f>
        <v/>
      </c>
      <c r="Z2932" s="12" t="inlineStr">
        <is>
          <t>VD 2.5 %</t>
        </is>
      </c>
      <c r="AA2932" s="12">
        <f>N2932*O2932</f>
        <v/>
      </c>
    </row>
    <row r="2933">
      <c r="A2933" s="12" t="inlineStr">
        <is>
          <t>F-P-0006</t>
        </is>
      </c>
      <c r="B2933" s="12" t="inlineStr">
        <is>
          <t>F</t>
        </is>
      </c>
      <c r="C2933" s="12" t="inlineStr">
        <is>
          <t>Controls / service</t>
        </is>
      </c>
      <c r="D2933" s="12" t="inlineStr">
        <is>
          <t>Motor 1 of 2, 7 kW</t>
        </is>
      </c>
      <c r="E2933" s="12" t="inlineStr">
        <is>
          <t>MCC-C2</t>
        </is>
      </c>
      <c r="F2933" s="12" t="inlineStr">
        <is>
          <t>R1 MCC-C2</t>
        </is>
      </c>
      <c r="G2933" s="12" t="inlineStr">
        <is>
          <t>LS-1</t>
        </is>
      </c>
      <c r="H2933" s="12" t="inlineStr">
        <is>
          <t>LS-1: sanitary lift station (packaged duplex)</t>
        </is>
      </c>
      <c r="I2933" s="12" t="inlineStr">
        <is>
          <t>LV 600 V</t>
        </is>
      </c>
      <c r="J2933" s="12" t="inlineStr">
        <is>
          <t>Type TC-ER 600 V 3/C Cu XHHW-2 + ground, PVC jacket</t>
        </is>
      </c>
      <c r="K2933" s="12" t="inlineStr">
        <is>
          <t>LV|3/C+G|8</t>
        </is>
      </c>
      <c r="L2933" s="12" t="inlineStr">
        <is>
          <t>3/C+G</t>
        </is>
      </c>
      <c r="M2933" s="12" t="inlineStr">
        <is>
          <t>8</t>
        </is>
      </c>
      <c r="N2933" s="12" t="n">
        <v>1</v>
      </c>
      <c r="O2933" s="12" t="n">
        <v>1</v>
      </c>
      <c r="P2933" s="12" t="n">
        <v>480</v>
      </c>
      <c r="Q2933" s="12" t="n">
        <v>7</v>
      </c>
      <c r="R2933" s="12" t="n">
        <v>9.9</v>
      </c>
      <c r="S2933" s="12" t="inlineStr">
        <is>
          <t>Tray</t>
        </is>
      </c>
      <c r="T2933" s="16" t="n">
        <v>744</v>
      </c>
      <c r="U2933" s="16" t="n">
        <v>173</v>
      </c>
      <c r="V2933" s="16">
        <f>ROUNDUP((T2933+U2933+2*'Read Me'!$B$13)*(1+'Read Me'!$B$12),-1)</f>
        <v/>
      </c>
      <c r="W2933" s="16">
        <f>V2933*N2933*O2933</f>
        <v/>
      </c>
      <c r="X2933" s="12">
        <f>IF(LEFT(I2933,2)="MV",2*N2933*IF(L2933="1/C",O2933,1),0)</f>
        <v/>
      </c>
      <c r="Y2933" s="12">
        <f>IF(OR(LEFT(K2933,4)="LVAX",LEFT(K2933,6)="MV15AX",LEFT(K2933,4)="CTAX",LEFT(K2933,2)="W|"),2*N2933*O2933,0)</f>
        <v/>
      </c>
      <c r="Z2933" s="12" t="inlineStr">
        <is>
          <t>VD 2.8 %</t>
        </is>
      </c>
      <c r="AA2933" s="12">
        <f>N2933*O2933</f>
        <v/>
      </c>
    </row>
    <row r="2934">
      <c r="A2934" s="12" t="inlineStr">
        <is>
          <t>F-P-0007</t>
        </is>
      </c>
      <c r="B2934" s="12" t="inlineStr">
        <is>
          <t>F</t>
        </is>
      </c>
      <c r="C2934" s="12" t="inlineStr">
        <is>
          <t>Controls / service</t>
        </is>
      </c>
      <c r="D2934" s="12" t="inlineStr">
        <is>
          <t>Motor 2 of 2, 7 kW</t>
        </is>
      </c>
      <c r="E2934" s="12" t="inlineStr">
        <is>
          <t>MCC-C2</t>
        </is>
      </c>
      <c r="F2934" s="12" t="inlineStr">
        <is>
          <t>R1 MCC-C2</t>
        </is>
      </c>
      <c r="G2934" s="12" t="inlineStr">
        <is>
          <t>LS-1</t>
        </is>
      </c>
      <c r="H2934" s="12" t="inlineStr">
        <is>
          <t>LS-1: sanitary lift station (packaged duplex)</t>
        </is>
      </c>
      <c r="I2934" s="12" t="inlineStr">
        <is>
          <t>LV 600 V</t>
        </is>
      </c>
      <c r="J2934" s="12" t="inlineStr">
        <is>
          <t>Type TC-ER 600 V 3/C Cu XHHW-2 + ground, PVC jacket</t>
        </is>
      </c>
      <c r="K2934" s="12" t="inlineStr">
        <is>
          <t>LV|3/C+G|8</t>
        </is>
      </c>
      <c r="L2934" s="12" t="inlineStr">
        <is>
          <t>3/C+G</t>
        </is>
      </c>
      <c r="M2934" s="12" t="inlineStr">
        <is>
          <t>8</t>
        </is>
      </c>
      <c r="N2934" s="12" t="n">
        <v>1</v>
      </c>
      <c r="O2934" s="12" t="n">
        <v>1</v>
      </c>
      <c r="P2934" s="12" t="n">
        <v>480</v>
      </c>
      <c r="Q2934" s="12" t="n">
        <v>7</v>
      </c>
      <c r="R2934" s="12" t="n">
        <v>9.9</v>
      </c>
      <c r="S2934" s="12" t="inlineStr">
        <is>
          <t>Tray</t>
        </is>
      </c>
      <c r="T2934" s="16" t="n">
        <v>744</v>
      </c>
      <c r="U2934" s="16" t="n">
        <v>173</v>
      </c>
      <c r="V2934" s="16">
        <f>ROUNDUP((T2934+U2934+2*'Read Me'!$B$13)*(1+'Read Me'!$B$12),-1)</f>
        <v/>
      </c>
      <c r="W2934" s="16">
        <f>V2934*N2934*O2934</f>
        <v/>
      </c>
      <c r="X2934" s="12">
        <f>IF(LEFT(I2934,2)="MV",2*N2934*IF(L2934="1/C",O2934,1),0)</f>
        <v/>
      </c>
      <c r="Y2934" s="12">
        <f>IF(OR(LEFT(K2934,4)="LVAX",LEFT(K2934,6)="MV15AX",LEFT(K2934,4)="CTAX",LEFT(K2934,2)="W|"),2*N2934*O2934,0)</f>
        <v/>
      </c>
      <c r="Z2934" s="12" t="inlineStr">
        <is>
          <t>VD 2.8 %</t>
        </is>
      </c>
      <c r="AA2934" s="12">
        <f>N2934*O2934</f>
        <v/>
      </c>
    </row>
    <row r="2935">
      <c r="A2935" s="12" t="inlineStr">
        <is>
          <t>F-P-0008</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Maintenance building / workshop</t>
        </is>
      </c>
      <c r="I2935" s="12" t="inlineStr">
        <is>
          <t>LV 600 V</t>
        </is>
      </c>
      <c r="J2935" s="12" t="inlineStr">
        <is>
          <t>Type TC-ER 600 V 3/C Cu XHHW-2 + ground, PVC jacket</t>
        </is>
      </c>
      <c r="K2935" s="12" t="inlineStr">
        <is>
          <t>LV|3/C+G|2/0</t>
        </is>
      </c>
      <c r="L2935" s="12" t="inlineStr">
        <is>
          <t>3/C+G</t>
        </is>
      </c>
      <c r="M2935" s="12" t="inlineStr">
        <is>
          <t>2/0</t>
        </is>
      </c>
      <c r="N2935" s="12" t="n">
        <v>1</v>
      </c>
      <c r="O2935" s="12" t="n">
        <v>1</v>
      </c>
      <c r="P2935" s="12" t="n">
        <v>480</v>
      </c>
      <c r="Q2935" s="12" t="n">
        <v>60</v>
      </c>
      <c r="R2935" s="12" t="n">
        <v>84.90000000000001</v>
      </c>
      <c r="S2935" s="12" t="inlineStr">
        <is>
          <t>Tray</t>
        </is>
      </c>
      <c r="T2935" s="16" t="n">
        <v>734</v>
      </c>
      <c r="U2935" s="16" t="n">
        <v>145</v>
      </c>
      <c r="V2935" s="16">
        <f>ROUNDUP((T2935+U2935+2*'Read Me'!$B$13)*(1+'Read Me'!$B$12),-1)</f>
        <v/>
      </c>
      <c r="W2935" s="16">
        <f>V2935*N2935*O2935</f>
        <v/>
      </c>
      <c r="X2935" s="12">
        <f>IF(LEFT(I2935,2)="MV",2*N2935*IF(L2935="1/C",O2935,1),0)</f>
        <v/>
      </c>
      <c r="Y2935" s="12">
        <f>IF(OR(LEFT(K2935,4)="LVAX",LEFT(K2935,6)="MV15AX",LEFT(K2935,4)="CTAX",LEFT(K2935,2)="W|"),2*N2935*O2935,0)</f>
        <v/>
      </c>
      <c r="Z2935" s="12" t="inlineStr">
        <is>
          <t>VD 2.9 %</t>
        </is>
      </c>
      <c r="AA2935" s="12">
        <f>N2935*O2935</f>
        <v/>
      </c>
    </row>
    <row r="2936">
      <c r="A2936" s="12" t="inlineStr">
        <is>
          <t>F-P-0009</t>
        </is>
      </c>
      <c r="B2936" s="12" t="inlineStr">
        <is>
          <t>F</t>
        </is>
      </c>
      <c r="C2936" s="12" t="inlineStr">
        <is>
          <t>Controls / service</t>
        </is>
      </c>
      <c r="D2936" s="12" t="inlineStr">
        <is>
          <t>Site / road lighting: 120 poles, buried circuits pole to pole</t>
        </is>
      </c>
      <c r="E2936" s="12" t="inlineStr"/>
      <c r="F2936" s="12" t="inlineStr">
        <is>
          <t>Site lighting: pole handholes and photocells</t>
        </is>
      </c>
      <c r="G2936" s="12" t="inlineStr"/>
      <c r="H2936" s="12" t="inlineStr">
        <is>
          <t>Site lighting: pole handholes and photocells</t>
        </is>
      </c>
      <c r="I2936" s="12" t="inlineStr">
        <is>
          <t>LV 600 V</t>
        </is>
      </c>
      <c r="J2936" s="12" t="inlineStr">
        <is>
          <t>Type TC-ER 600 V 3/C Cu XHHW-2 + ground, PVC jacket</t>
        </is>
      </c>
      <c r="K2936" s="12" t="inlineStr">
        <is>
          <t>LV|3/C+G|8</t>
        </is>
      </c>
      <c r="L2936" s="12" t="inlineStr">
        <is>
          <t>3/C+G</t>
        </is>
      </c>
      <c r="M2936" s="12" t="inlineStr">
        <is>
          <t>8</t>
        </is>
      </c>
      <c r="N2936" s="12" t="n">
        <v>120</v>
      </c>
      <c r="O2936" s="12" t="n">
        <v>1</v>
      </c>
      <c r="P2936" s="12" t="n">
        <v>480</v>
      </c>
      <c r="Q2936" s="12" t="n"/>
      <c r="R2936" s="12" t="n"/>
      <c r="S2936" s="12" t="inlineStr">
        <is>
          <t>Buried</t>
        </is>
      </c>
      <c r="T2936" s="16" t="n">
        <v>120</v>
      </c>
      <c r="U2936" s="16" t="n">
        <v>30</v>
      </c>
      <c r="V2936" s="16">
        <f>ROUNDUP((T2936+U2936+2*'Read Me'!$B$13)*(1+'Read Me'!$B$12),-1)</f>
        <v/>
      </c>
      <c r="W2936" s="16">
        <f>V2936*N2936*O2936</f>
        <v/>
      </c>
      <c r="X2936" s="12">
        <f>IF(LEFT(I2936,2)="MV",2*N2936*IF(L2936="1/C",O2936,1),0)</f>
        <v/>
      </c>
      <c r="Y2936" s="12">
        <f>IF(OR(LEFT(K2936,4)="LVAX",LEFT(K2936,6)="MV15AX",LEFT(K2936,4)="CTAX",LEFT(K2936,2)="W|"),2*N2936*O2936,0)</f>
        <v/>
      </c>
      <c r="Z2936" s="12" t="inlineStr">
        <is>
          <t>~120 ft between poles + riser</t>
        </is>
      </c>
      <c r="AA2936" s="12">
        <f>N2936*O2936</f>
        <v/>
      </c>
    </row>
    <row r="2937">
      <c r="A2937" s="12" t="inlineStr">
        <is>
          <t>F-P-0010</t>
        </is>
      </c>
      <c r="B2937" s="12" t="inlineStr">
        <is>
          <t>F</t>
        </is>
      </c>
      <c r="C2937" s="12" t="inlineStr">
        <is>
          <t>Controls / service</t>
        </is>
      </c>
      <c r="D2937" s="12" t="inlineStr">
        <is>
          <t>Motor 1 of 2, 75 kW</t>
        </is>
      </c>
      <c r="E2937" s="12" t="inlineStr">
        <is>
          <t>MCC-C2</t>
        </is>
      </c>
      <c r="F2937" s="12" t="inlineStr">
        <is>
          <t>R1 MCC-C2</t>
        </is>
      </c>
      <c r="G2937" s="12" t="inlineStr"/>
      <c r="H2937" s="12" t="inlineStr">
        <is>
          <t>Stormwater pump station (2 x 100% submersible pumps)</t>
        </is>
      </c>
      <c r="I2937" s="12" t="inlineStr">
        <is>
          <t>LV 600 V</t>
        </is>
      </c>
      <c r="J2937" s="12" t="inlineStr">
        <is>
          <t>Type TC-ER 600 V 3/C Cu XHHW-2 + ground, PVC jacket</t>
        </is>
      </c>
      <c r="K2937" s="12" t="inlineStr">
        <is>
          <t>LV|3/C+G|500</t>
        </is>
      </c>
      <c r="L2937" s="12" t="inlineStr">
        <is>
          <t>3/C+G</t>
        </is>
      </c>
      <c r="M2937" s="12" t="inlineStr">
        <is>
          <t>500 kcmil</t>
        </is>
      </c>
      <c r="N2937" s="12" t="n">
        <v>1</v>
      </c>
      <c r="O2937" s="12" t="n">
        <v>1</v>
      </c>
      <c r="P2937" s="12" t="n">
        <v>480</v>
      </c>
      <c r="Q2937" s="12" t="n">
        <v>75</v>
      </c>
      <c r="R2937" s="12" t="n">
        <v>106.1</v>
      </c>
      <c r="S2937" s="12" t="inlineStr">
        <is>
          <t>Duct bank</t>
        </is>
      </c>
      <c r="T2937" s="16" t="n">
        <v>1832</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2.1 %</t>
        </is>
      </c>
      <c r="AA2937" s="12">
        <f>N2937*O2937</f>
        <v/>
      </c>
    </row>
    <row r="2938">
      <c r="A2938" s="12" t="inlineStr">
        <is>
          <t>F-P-0011</t>
        </is>
      </c>
      <c r="B2938" s="12" t="inlineStr">
        <is>
          <t>F</t>
        </is>
      </c>
      <c r="C2938" s="12" t="inlineStr">
        <is>
          <t>Controls / service</t>
        </is>
      </c>
      <c r="D2938" s="12" t="inlineStr">
        <is>
          <t>Motor 2 of 2, 75 kW</t>
        </is>
      </c>
      <c r="E2938" s="12" t="inlineStr">
        <is>
          <t>MCC-C2</t>
        </is>
      </c>
      <c r="F2938" s="12" t="inlineStr">
        <is>
          <t>R1 MCC-C2</t>
        </is>
      </c>
      <c r="G2938" s="12" t="inlineStr"/>
      <c r="H2938" s="12" t="inlineStr">
        <is>
          <t>Stormwater pump station (2 x 100% submersible pumps)</t>
        </is>
      </c>
      <c r="I2938" s="12" t="inlineStr">
        <is>
          <t>LV 600 V</t>
        </is>
      </c>
      <c r="J2938" s="12" t="inlineStr">
        <is>
          <t>Type TC-ER 600 V 3/C Cu XHHW-2 + ground, PVC jacket</t>
        </is>
      </c>
      <c r="K2938" s="12" t="inlineStr">
        <is>
          <t>LV|3/C+G|500</t>
        </is>
      </c>
      <c r="L2938" s="12" t="inlineStr">
        <is>
          <t>3/C+G</t>
        </is>
      </c>
      <c r="M2938" s="12" t="inlineStr">
        <is>
          <t>500 kcmil</t>
        </is>
      </c>
      <c r="N2938" s="12" t="n">
        <v>1</v>
      </c>
      <c r="O2938" s="12" t="n">
        <v>1</v>
      </c>
      <c r="P2938" s="12" t="n">
        <v>480</v>
      </c>
      <c r="Q2938" s="12" t="n">
        <v>75</v>
      </c>
      <c r="R2938" s="12" t="n">
        <v>106.1</v>
      </c>
      <c r="S2938" s="12" t="inlineStr">
        <is>
          <t>Duct bank</t>
        </is>
      </c>
      <c r="T2938" s="16" t="n">
        <v>1832</v>
      </c>
      <c r="U2938" s="16" t="n">
        <v>145</v>
      </c>
      <c r="V2938" s="16">
        <f>ROUNDUP((T2938+U2938+2*'Read Me'!$B$13)*(1+'Read Me'!$B$12),-1)</f>
        <v/>
      </c>
      <c r="W2938" s="16">
        <f>V2938*N2938*O2938</f>
        <v/>
      </c>
      <c r="X2938" s="12">
        <f>IF(LEFT(I2938,2)="MV",2*N2938*IF(L2938="1/C",O2938,1),0)</f>
        <v/>
      </c>
      <c r="Y2938" s="12">
        <f>IF(OR(LEFT(K2938,4)="LVAX",LEFT(K2938,6)="MV15AX",LEFT(K2938,4)="CTAX",LEFT(K2938,2)="W|"),2*N2938*O2938,0)</f>
        <v/>
      </c>
      <c r="Z2938" s="12" t="inlineStr">
        <is>
          <t>VD 2.1 %</t>
        </is>
      </c>
      <c r="AA2938" s="12">
        <f>N2938*O2938</f>
        <v/>
      </c>
    </row>
    <row r="2939">
      <c r="A2939" s="12" t="inlineStr">
        <is>
          <t>F-P-0012</t>
        </is>
      </c>
      <c r="B2939" s="12" t="inlineStr">
        <is>
          <t>F</t>
        </is>
      </c>
      <c r="C2939" s="12" t="inlineStr">
        <is>
          <t>Controls / service</t>
        </is>
      </c>
      <c r="D2939" s="12" t="inlineStr">
        <is>
          <t>LV panel / distribution feeder</t>
        </is>
      </c>
      <c r="E2939" s="12" t="inlineStr">
        <is>
          <t>MCC-C2</t>
        </is>
      </c>
      <c r="F2939" s="12" t="inlineStr">
        <is>
          <t>R1 MCC-C2</t>
        </is>
      </c>
      <c r="G2939" s="12" t="inlineStr"/>
      <c r="H2939" s="12" t="inlineStr">
        <is>
          <t>Warehouse</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204</v>
      </c>
      <c r="R2939" s="12" t="n">
        <v>288.7</v>
      </c>
      <c r="S2939" s="12" t="inlineStr">
        <is>
          <t>Tray</t>
        </is>
      </c>
      <c r="T2939" s="16" t="n">
        <v>734</v>
      </c>
      <c r="U2939" s="16" t="n">
        <v>204</v>
      </c>
      <c r="V2939" s="16">
        <f>ROUNDUP((T2939+U2939+2*'Read Me'!$B$13)*(1+'Read Me'!$B$12),-1)</f>
        <v/>
      </c>
      <c r="W2939" s="16">
        <f>V2939*N2939*O2939</f>
        <v/>
      </c>
      <c r="X2939" s="12">
        <f>IF(LEFT(I2939,2)="MV",2*N2939*IF(L2939="1/C",O2939,1),0)</f>
        <v/>
      </c>
      <c r="Y2939" s="12">
        <f>IF(OR(LEFT(K2939,4)="LVAX",LEFT(K2939,6)="MV15AX",LEFT(K2939,4)="CTAX",LEFT(K2939,2)="W|"),2*N2939*O2939,0)</f>
        <v/>
      </c>
      <c r="Z2939" s="12" t="inlineStr">
        <is>
          <t>VD 2.8 %</t>
        </is>
      </c>
      <c r="AA2939" s="12">
        <f>N2939*O2939</f>
        <v/>
      </c>
    </row>
    <row r="2940">
      <c r="A2940" s="12" t="inlineStr">
        <is>
          <t>G-L-0001</t>
        </is>
      </c>
      <c r="B2940" s="12" t="inlineStr">
        <is>
          <t>G</t>
        </is>
      </c>
      <c r="C2940" s="12" t="inlineStr">
        <is>
          <t>Carbon capture</t>
        </is>
      </c>
      <c r="D2940" s="12" t="inlineStr">
        <is>
          <t>Lighting, receptacles and small power branch circuits (allowance)</t>
        </is>
      </c>
      <c r="E2940" s="12" t="inlineStr"/>
      <c r="F2940" s="12" t="inlineStr">
        <is>
          <t>CCS F&amp;G / control</t>
        </is>
      </c>
      <c r="G2940" s="12" t="inlineStr"/>
      <c r="H2940" s="12" t="inlineStr">
        <is>
          <t>CCS F&amp;G / control</t>
        </is>
      </c>
      <c r="I2940" s="12" t="inlineStr">
        <is>
          <t>Building wire</t>
        </is>
      </c>
      <c r="J2940" s="12" t="inlineStr">
        <is>
          <t>SIMpull THHN/THWN-2 600 V 1/C Cu (lighting, receptacles, small power)</t>
        </is>
      </c>
      <c r="K2940" s="12" t="inlineStr">
        <is>
          <t>THHN|1/C|12</t>
        </is>
      </c>
      <c r="L2940" s="12" t="inlineStr">
        <is>
          <t>1/C</t>
        </is>
      </c>
      <c r="M2940" s="12" t="inlineStr">
        <is>
          <t>12</t>
        </is>
      </c>
      <c r="N2940" s="12" t="n">
        <v>1</v>
      </c>
      <c r="O2940" s="12" t="n">
        <v>1</v>
      </c>
      <c r="P2940" s="12" t="n">
        <v>277</v>
      </c>
      <c r="Q2940" s="12" t="n"/>
      <c r="R2940" s="12" t="n"/>
      <c r="S2940" s="12" t="inlineStr">
        <is>
          <t>Conduit</t>
        </is>
      </c>
      <c r="T2940" s="16" t="n">
        <v>5400</v>
      </c>
      <c r="U2940" s="16" t="n">
        <v>0</v>
      </c>
      <c r="V2940" s="16">
        <f>ROUNDUP((T2940+U2940+2*'Read Me'!$B$13)*(1+'Read Me'!$B$12),-1)</f>
        <v/>
      </c>
      <c r="W2940" s="16">
        <f>V2940*N2940*O2940</f>
        <v/>
      </c>
      <c r="X2940" s="12">
        <f>IF(LEFT(I2940,2)="MV",2*N2940*IF(L2940="1/C",O2940,1),0)</f>
        <v/>
      </c>
      <c r="Y2940" s="12">
        <f>IF(OR(LEFT(K2940,4)="LVAX",LEFT(K2940,6)="MV15AX",LEFT(K2940,4)="CTAX",LEFT(K2940,2)="W|"),2*N2940*O2940,0)</f>
        <v/>
      </c>
      <c r="Z2940" s="12" t="inlineStr">
        <is>
          <t>allowance: 1.6 ft of conductor per ft2 of floor</t>
        </is>
      </c>
      <c r="AA2940" s="12">
        <f>N2940*O2940</f>
        <v/>
      </c>
    </row>
    <row r="2941">
      <c r="A2941" s="12" t="inlineStr">
        <is>
          <t>G-L-0002</t>
        </is>
      </c>
      <c r="B2941" s="12" t="inlineStr">
        <is>
          <t>G</t>
        </is>
      </c>
      <c r="C2941" s="12" t="inlineStr">
        <is>
          <t>Carbon capture</t>
        </is>
      </c>
      <c r="D2941" s="12" t="inlineStr">
        <is>
          <t>Lighting, receptacles and small power branch circuits (allowance)</t>
        </is>
      </c>
      <c r="E2941" s="12" t="inlineStr"/>
      <c r="F2941" s="12" t="inlineStr">
        <is>
          <t>CCS MV switchgear building (VFDs)</t>
        </is>
      </c>
      <c r="G2941" s="12" t="inlineStr"/>
      <c r="H2941" s="12" t="inlineStr">
        <is>
          <t>CCS MV switchgear building (VFDs)</t>
        </is>
      </c>
      <c r="I2941" s="12" t="inlineStr">
        <is>
          <t>Building wire</t>
        </is>
      </c>
      <c r="J2941" s="12" t="inlineStr">
        <is>
          <t>SIMpull THHN/THWN-2 600 V 1/C Cu (lighting, receptacles, small power)</t>
        </is>
      </c>
      <c r="K2941" s="12" t="inlineStr">
        <is>
          <t>THHN|1/C|12</t>
        </is>
      </c>
      <c r="L2941" s="12" t="inlineStr">
        <is>
          <t>1/C</t>
        </is>
      </c>
      <c r="M2941" s="12" t="inlineStr">
        <is>
          <t>12</t>
        </is>
      </c>
      <c r="N2941" s="12" t="n">
        <v>1</v>
      </c>
      <c r="O2941" s="12" t="n">
        <v>1</v>
      </c>
      <c r="P2941" s="12" t="n">
        <v>277</v>
      </c>
      <c r="Q2941" s="12" t="n"/>
      <c r="R2941" s="12" t="n"/>
      <c r="S2941" s="12" t="inlineStr">
        <is>
          <t>Conduit</t>
        </is>
      </c>
      <c r="T2941" s="16" t="n">
        <v>14560</v>
      </c>
      <c r="U2941" s="16" t="n">
        <v>0</v>
      </c>
      <c r="V2941" s="16">
        <f>ROUNDUP((T2941+U2941+2*'Read Me'!$B$13)*(1+'Read Me'!$B$12),-1)</f>
        <v/>
      </c>
      <c r="W2941" s="16">
        <f>V2941*N2941*O2941</f>
        <v/>
      </c>
      <c r="X2941" s="12">
        <f>IF(LEFT(I2941,2)="MV",2*N2941*IF(L2941="1/C",O2941,1),0)</f>
        <v/>
      </c>
      <c r="Y2941" s="12">
        <f>IF(OR(LEFT(K2941,4)="LVAX",LEFT(K2941,6)="MV15AX",LEFT(K2941,4)="CTAX",LEFT(K2941,2)="W|"),2*N2941*O2941,0)</f>
        <v/>
      </c>
      <c r="Z2941" s="12" t="inlineStr">
        <is>
          <t>allowance: 1.6 ft of conductor per ft2 of floor</t>
        </is>
      </c>
      <c r="AA2941" s="12">
        <f>N2941*O2941</f>
        <v/>
      </c>
    </row>
    <row r="2942">
      <c r="A2942" s="12" t="inlineStr">
        <is>
          <t>G-L-0003</t>
        </is>
      </c>
      <c r="B2942" s="12" t="inlineStr">
        <is>
          <t>G</t>
        </is>
      </c>
      <c r="C2942" s="12" t="inlineStr">
        <is>
          <t>Carbon capture</t>
        </is>
      </c>
      <c r="D2942" s="12" t="inlineStr">
        <is>
          <t>Lighting, receptacles and small power branch circuits (allowance)</t>
        </is>
      </c>
      <c r="E2942" s="12" t="inlineStr"/>
      <c r="F2942" s="12" t="inlineStr">
        <is>
          <t>CT MCC / VFD e-house</t>
        </is>
      </c>
      <c r="G2942" s="12" t="inlineStr"/>
      <c r="H2942" s="12" t="inlineStr">
        <is>
          <t>CT MCC / VFD e-house</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7920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G-C-0001</t>
        </is>
      </c>
      <c r="B2943" s="12" t="inlineStr">
        <is>
          <t>G</t>
        </is>
      </c>
      <c r="C2943" s="12" t="inlineStr">
        <is>
          <t>Carbon capture</t>
        </is>
      </c>
      <c r="D2943" s="12" t="inlineStr">
        <is>
          <t>MOV 1: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6" t="n">
        <v>570</v>
      </c>
      <c r="U2943" s="16" t="n">
        <v>80</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G-C-0002</t>
        </is>
      </c>
      <c r="B2944" s="12" t="inlineStr">
        <is>
          <t>G</t>
        </is>
      </c>
      <c r="C2944" s="12" t="inlineStr">
        <is>
          <t>Carbon capture</t>
        </is>
      </c>
      <c r="D2944" s="12" t="inlineStr">
        <is>
          <t>MOV 2: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6" t="n">
        <v>570</v>
      </c>
      <c r="U2944" s="16" t="n">
        <v>80</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G-C-0003</t>
        </is>
      </c>
      <c r="B2945" s="12" t="inlineStr">
        <is>
          <t>G</t>
        </is>
      </c>
      <c r="C2945" s="12" t="inlineStr">
        <is>
          <t>Carbon capture</t>
        </is>
      </c>
      <c r="D2945" s="12" t="inlineStr">
        <is>
          <t>MOV 3: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G-C-0004</t>
        </is>
      </c>
      <c r="B2946" s="12" t="inlineStr">
        <is>
          <t>G</t>
        </is>
      </c>
      <c r="C2946" s="12" t="inlineStr">
        <is>
          <t>Carbon capture</t>
        </is>
      </c>
      <c r="D2946" s="12" t="inlineStr">
        <is>
          <t>MOV 4: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G-C-0005</t>
        </is>
      </c>
      <c r="B2947" s="12" t="inlineStr">
        <is>
          <t>G</t>
        </is>
      </c>
      <c r="C2947" s="12" t="inlineStr">
        <is>
          <t>Carbon capture</t>
        </is>
      </c>
      <c r="D2947" s="12" t="inlineStr">
        <is>
          <t>MOV 5: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G-C-0006</t>
        </is>
      </c>
      <c r="B2948" s="12" t="inlineStr">
        <is>
          <t>G</t>
        </is>
      </c>
      <c r="C2948" s="12" t="inlineStr">
        <is>
          <t>Carbon capture</t>
        </is>
      </c>
      <c r="D2948" s="12" t="inlineStr">
        <is>
          <t>MOV 6: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G-C-0007</t>
        </is>
      </c>
      <c r="B2949" s="12" t="inlineStr">
        <is>
          <t>G</t>
        </is>
      </c>
      <c r="C2949" s="12" t="inlineStr">
        <is>
          <t>Carbon capture</t>
        </is>
      </c>
      <c r="D2949" s="12" t="inlineStr">
        <is>
          <t>MOV 7: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G-C-0008</t>
        </is>
      </c>
      <c r="B2950" s="12" t="inlineStr">
        <is>
          <t>G</t>
        </is>
      </c>
      <c r="C2950" s="12" t="inlineStr">
        <is>
          <t>Carbon capture</t>
        </is>
      </c>
      <c r="D2950" s="12" t="inlineStr">
        <is>
          <t>MOV 8: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G-C-0009</t>
        </is>
      </c>
      <c r="B2951" s="12" t="inlineStr">
        <is>
          <t>G</t>
        </is>
      </c>
      <c r="C2951" s="12" t="inlineStr">
        <is>
          <t>Carbon capture</t>
        </is>
      </c>
      <c r="D2951" s="12" t="inlineStr">
        <is>
          <t>MOV 9: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G-C-0010</t>
        </is>
      </c>
      <c r="B2952" s="12" t="inlineStr">
        <is>
          <t>G</t>
        </is>
      </c>
      <c r="C2952" s="12" t="inlineStr">
        <is>
          <t>Carbon capture</t>
        </is>
      </c>
      <c r="D2952" s="12" t="inlineStr">
        <is>
          <t>MOV 10: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G-C-0011</t>
        </is>
      </c>
      <c r="B2953" s="12" t="inlineStr">
        <is>
          <t>G</t>
        </is>
      </c>
      <c r="C2953" s="12" t="inlineStr">
        <is>
          <t>Carbon capture</t>
        </is>
      </c>
      <c r="D2953" s="12" t="inlineStr">
        <is>
          <t>Motor 1 of 2: control / local station</t>
        </is>
      </c>
      <c r="E2953" s="12" t="inlineStr"/>
      <c r="F2953" s="12" t="inlineStr">
        <is>
          <t>CCS MV switchgear building (VFDs)</t>
        </is>
      </c>
      <c r="G2953" s="12" t="inlineStr"/>
      <c r="H2953" s="12" t="inlineStr">
        <is>
          <t>Absorber A intercooler (pumps + plate exchanger)</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552</v>
      </c>
      <c r="U2953" s="16" t="n">
        <v>81</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G-C-0012</t>
        </is>
      </c>
      <c r="B2954" s="12" t="inlineStr">
        <is>
          <t>G</t>
        </is>
      </c>
      <c r="C2954" s="12" t="inlineStr">
        <is>
          <t>Carbon capture</t>
        </is>
      </c>
      <c r="D2954" s="12" t="inlineStr">
        <is>
          <t>Motor 2 of 2: control / local station</t>
        </is>
      </c>
      <c r="E2954" s="12" t="inlineStr"/>
      <c r="F2954" s="12" t="inlineStr">
        <is>
          <t>CCS MV switchgear building (VFDs)</t>
        </is>
      </c>
      <c r="G2954" s="12" t="inlineStr"/>
      <c r="H2954" s="12" t="inlineStr">
        <is>
          <t>Absorber A intercooler (pumps + plate exchanger)</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Tray</t>
        </is>
      </c>
      <c r="T2954" s="16" t="n">
        <v>552</v>
      </c>
      <c r="U2954" s="16" t="n">
        <v>81</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G-C-0013</t>
        </is>
      </c>
      <c r="B2955" s="12" t="inlineStr">
        <is>
          <t>G</t>
        </is>
      </c>
      <c r="C2955" s="12" t="inlineStr">
        <is>
          <t>Carbon capture</t>
        </is>
      </c>
      <c r="D2955" s="12" t="inlineStr">
        <is>
          <t>MOV 1: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6" t="n">
        <v>410</v>
      </c>
      <c r="U2955" s="16" t="n">
        <v>80</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G-C-0014</t>
        </is>
      </c>
      <c r="B2956" s="12" t="inlineStr">
        <is>
          <t>G</t>
        </is>
      </c>
      <c r="C2956" s="12" t="inlineStr">
        <is>
          <t>Carbon capture</t>
        </is>
      </c>
      <c r="D2956" s="12" t="inlineStr">
        <is>
          <t>MOV 2: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6" t="n">
        <v>410</v>
      </c>
      <c r="U2956" s="16" t="n">
        <v>80</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G-C-0015</t>
        </is>
      </c>
      <c r="B2957" s="12" t="inlineStr">
        <is>
          <t>G</t>
        </is>
      </c>
      <c r="C2957" s="12" t="inlineStr">
        <is>
          <t>Carbon capture</t>
        </is>
      </c>
      <c r="D2957" s="12" t="inlineStr">
        <is>
          <t>MOV 3: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G-C-0016</t>
        </is>
      </c>
      <c r="B2958" s="12" t="inlineStr">
        <is>
          <t>G</t>
        </is>
      </c>
      <c r="C2958" s="12" t="inlineStr">
        <is>
          <t>Carbon capture</t>
        </is>
      </c>
      <c r="D2958" s="12" t="inlineStr">
        <is>
          <t>MOV 4: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G-C-0017</t>
        </is>
      </c>
      <c r="B2959" s="12" t="inlineStr">
        <is>
          <t>G</t>
        </is>
      </c>
      <c r="C2959" s="12" t="inlineStr">
        <is>
          <t>Carbon capture</t>
        </is>
      </c>
      <c r="D2959" s="12" t="inlineStr">
        <is>
          <t>MOV 5: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G-C-0018</t>
        </is>
      </c>
      <c r="B2960" s="12" t="inlineStr">
        <is>
          <t>G</t>
        </is>
      </c>
      <c r="C2960" s="12" t="inlineStr">
        <is>
          <t>Carbon capture</t>
        </is>
      </c>
      <c r="D2960" s="12" t="inlineStr">
        <is>
          <t>MOV 6: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G-C-0019</t>
        </is>
      </c>
      <c r="B2961" s="12" t="inlineStr">
        <is>
          <t>G</t>
        </is>
      </c>
      <c r="C2961" s="12" t="inlineStr">
        <is>
          <t>Carbon capture</t>
        </is>
      </c>
      <c r="D2961" s="12" t="inlineStr">
        <is>
          <t>MOV 7: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G-C-0020</t>
        </is>
      </c>
      <c r="B2962" s="12" t="inlineStr">
        <is>
          <t>G</t>
        </is>
      </c>
      <c r="C2962" s="12" t="inlineStr">
        <is>
          <t>Carbon capture</t>
        </is>
      </c>
      <c r="D2962" s="12" t="inlineStr">
        <is>
          <t>MOV 8: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G-C-0021</t>
        </is>
      </c>
      <c r="B2963" s="12" t="inlineStr">
        <is>
          <t>G</t>
        </is>
      </c>
      <c r="C2963" s="12" t="inlineStr">
        <is>
          <t>Carbon capture</t>
        </is>
      </c>
      <c r="D2963" s="12" t="inlineStr">
        <is>
          <t>MOV 9: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G-C-0022</t>
        </is>
      </c>
      <c r="B2964" s="12" t="inlineStr">
        <is>
          <t>G</t>
        </is>
      </c>
      <c r="C2964" s="12" t="inlineStr">
        <is>
          <t>Carbon capture</t>
        </is>
      </c>
      <c r="D2964" s="12" t="inlineStr">
        <is>
          <t>MOV 10: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G-C-0023</t>
        </is>
      </c>
      <c r="B2965" s="12" t="inlineStr">
        <is>
          <t>G</t>
        </is>
      </c>
      <c r="C2965" s="12" t="inlineStr">
        <is>
          <t>Carbon capture</t>
        </is>
      </c>
      <c r="D2965" s="12" t="inlineStr">
        <is>
          <t>Motor 1 of 2: control / local station</t>
        </is>
      </c>
      <c r="E2965" s="12" t="inlineStr"/>
      <c r="F2965" s="12" t="inlineStr">
        <is>
          <t>CCS MV switchgear building (VFDs)</t>
        </is>
      </c>
      <c r="G2965" s="12" t="inlineStr"/>
      <c r="H2965" s="12" t="inlineStr">
        <is>
          <t>Absorber B intercooler (pumps + plate exchanger)</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392</v>
      </c>
      <c r="U2965" s="16" t="n">
        <v>81</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G-C-0024</t>
        </is>
      </c>
      <c r="B2966" s="12" t="inlineStr">
        <is>
          <t>G</t>
        </is>
      </c>
      <c r="C2966" s="12" t="inlineStr">
        <is>
          <t>Carbon capture</t>
        </is>
      </c>
      <c r="D2966" s="12" t="inlineStr">
        <is>
          <t>Motor 2 of 2: control / local station</t>
        </is>
      </c>
      <c r="E2966" s="12" t="inlineStr"/>
      <c r="F2966" s="12" t="inlineStr">
        <is>
          <t>CCS MV switchgear building (VFDs)</t>
        </is>
      </c>
      <c r="G2966" s="12" t="inlineStr"/>
      <c r="H2966" s="12" t="inlineStr">
        <is>
          <t>Absorber B intercooler (pumps + plate exchanger)</t>
        </is>
      </c>
      <c r="I2966" s="12" t="inlineStr">
        <is>
          <t>Control</t>
        </is>
      </c>
      <c r="J2966" s="12" t="inlineStr">
        <is>
          <t>Control cable 600 V Type TC-ER, Cu #14 AWG, PVC jacket</t>
        </is>
      </c>
      <c r="K2966" s="12" t="inlineStr">
        <is>
          <t>CT|7/C|14</t>
        </is>
      </c>
      <c r="L2966" s="12" t="inlineStr">
        <is>
          <t>7/C</t>
        </is>
      </c>
      <c r="M2966" s="12" t="inlineStr">
        <is>
          <t>14</t>
        </is>
      </c>
      <c r="N2966" s="12" t="n">
        <v>1</v>
      </c>
      <c r="O2966" s="12" t="n">
        <v>1</v>
      </c>
      <c r="P2966" s="12" t="n"/>
      <c r="Q2966" s="12" t="n"/>
      <c r="R2966" s="12" t="n"/>
      <c r="S2966" s="12" t="inlineStr">
        <is>
          <t>Tray</t>
        </is>
      </c>
      <c r="T2966" s="16" t="n">
        <v>392</v>
      </c>
      <c r="U2966" s="16" t="n">
        <v>81</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G-C-0025</t>
        </is>
      </c>
      <c r="B2967" s="12" t="inlineStr">
        <is>
          <t>G</t>
        </is>
      </c>
      <c r="C2967" s="12" t="inlineStr">
        <is>
          <t>Carbon capture</t>
        </is>
      </c>
      <c r="D2967" s="12" t="inlineStr">
        <is>
          <t>MOV 1: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6" t="n">
        <v>250</v>
      </c>
      <c r="U2967" s="16" t="n">
        <v>80</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G-C-0026</t>
        </is>
      </c>
      <c r="B2968" s="12" t="inlineStr">
        <is>
          <t>G</t>
        </is>
      </c>
      <c r="C2968" s="12" t="inlineStr">
        <is>
          <t>Carbon capture</t>
        </is>
      </c>
      <c r="D2968" s="12" t="inlineStr">
        <is>
          <t>MOV 2: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6" t="n">
        <v>250</v>
      </c>
      <c r="U2968" s="16" t="n">
        <v>80</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G-C-0027</t>
        </is>
      </c>
      <c r="B2969" s="12" t="inlineStr">
        <is>
          <t>G</t>
        </is>
      </c>
      <c r="C2969" s="12" t="inlineStr">
        <is>
          <t>Carbon capture</t>
        </is>
      </c>
      <c r="D2969" s="12" t="inlineStr">
        <is>
          <t>MOV 3: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G-C-0028</t>
        </is>
      </c>
      <c r="B2970" s="12" t="inlineStr">
        <is>
          <t>G</t>
        </is>
      </c>
      <c r="C2970" s="12" t="inlineStr">
        <is>
          <t>Carbon capture</t>
        </is>
      </c>
      <c r="D2970" s="12" t="inlineStr">
        <is>
          <t>MOV 4: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G-C-0029</t>
        </is>
      </c>
      <c r="B2971" s="12" t="inlineStr">
        <is>
          <t>G</t>
        </is>
      </c>
      <c r="C2971" s="12" t="inlineStr">
        <is>
          <t>Carbon capture</t>
        </is>
      </c>
      <c r="D2971" s="12" t="inlineStr">
        <is>
          <t>MOV 5: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G-C-0030</t>
        </is>
      </c>
      <c r="B2972" s="12" t="inlineStr">
        <is>
          <t>G</t>
        </is>
      </c>
      <c r="C2972" s="12" t="inlineStr">
        <is>
          <t>Carbon capture</t>
        </is>
      </c>
      <c r="D2972" s="12" t="inlineStr">
        <is>
          <t>MOV 6: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G-C-0031</t>
        </is>
      </c>
      <c r="B2973" s="12" t="inlineStr">
        <is>
          <t>G</t>
        </is>
      </c>
      <c r="C2973" s="12" t="inlineStr">
        <is>
          <t>Carbon capture</t>
        </is>
      </c>
      <c r="D2973" s="12" t="inlineStr">
        <is>
          <t>MOV 7: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G-C-0032</t>
        </is>
      </c>
      <c r="B2974" s="12" t="inlineStr">
        <is>
          <t>G</t>
        </is>
      </c>
      <c r="C2974" s="12" t="inlineStr">
        <is>
          <t>Carbon capture</t>
        </is>
      </c>
      <c r="D2974" s="12" t="inlineStr">
        <is>
          <t>MOV 8: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G-C-0033</t>
        </is>
      </c>
      <c r="B2975" s="12" t="inlineStr">
        <is>
          <t>G</t>
        </is>
      </c>
      <c r="C2975" s="12" t="inlineStr">
        <is>
          <t>Carbon capture</t>
        </is>
      </c>
      <c r="D2975" s="12" t="inlineStr">
        <is>
          <t>MOV 9: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G-C-0034</t>
        </is>
      </c>
      <c r="B2976" s="12" t="inlineStr">
        <is>
          <t>G</t>
        </is>
      </c>
      <c r="C2976" s="12" t="inlineStr">
        <is>
          <t>Carbon capture</t>
        </is>
      </c>
      <c r="D2976" s="12" t="inlineStr">
        <is>
          <t>MOV 10: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G-C-0035</t>
        </is>
      </c>
      <c r="B2977" s="12" t="inlineStr">
        <is>
          <t>G</t>
        </is>
      </c>
      <c r="C2977" s="12" t="inlineStr">
        <is>
          <t>Carbon capture</t>
        </is>
      </c>
      <c r="D2977" s="12" t="inlineStr">
        <is>
          <t>Motor 1 of 2: control / local station</t>
        </is>
      </c>
      <c r="E2977" s="12" t="inlineStr"/>
      <c r="F2977" s="12" t="inlineStr">
        <is>
          <t>CCS MV switchgear building (VFDs)</t>
        </is>
      </c>
      <c r="G2977" s="12" t="inlineStr"/>
      <c r="H2977" s="12" t="inlineStr">
        <is>
          <t>Absorber C intercooler (pumps + plate exchanger)</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Tray</t>
        </is>
      </c>
      <c r="T2977" s="16" t="n">
        <v>232</v>
      </c>
      <c r="U2977" s="16" t="n">
        <v>81</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G-C-0036</t>
        </is>
      </c>
      <c r="B2978" s="12" t="inlineStr">
        <is>
          <t>G</t>
        </is>
      </c>
      <c r="C2978" s="12" t="inlineStr">
        <is>
          <t>Carbon capture</t>
        </is>
      </c>
      <c r="D2978" s="12" t="inlineStr">
        <is>
          <t>Motor 2 of 2: control / local station</t>
        </is>
      </c>
      <c r="E2978" s="12" t="inlineStr"/>
      <c r="F2978" s="12" t="inlineStr">
        <is>
          <t>CCS MV switchgear building (VFDs)</t>
        </is>
      </c>
      <c r="G2978" s="12" t="inlineStr"/>
      <c r="H2978" s="12" t="inlineStr">
        <is>
          <t>Absorber C intercooler (pumps + plate exchanger)</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Tray</t>
        </is>
      </c>
      <c r="T2978" s="16" t="n">
        <v>232</v>
      </c>
      <c r="U2978" s="16" t="n">
        <v>81</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G-C-0037</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BF-A</t>
        </is>
      </c>
      <c r="H2979" s="12" t="inlineStr">
        <is>
          <t>BF-A: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6" t="n">
        <v>460</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G-C-0038</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BF-A</t>
        </is>
      </c>
      <c r="H2980" s="12" t="inlineStr">
        <is>
          <t>BF-A: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6" t="n">
        <v>460</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G-C-0039</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G-C-0040</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G-C-0041</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BF-B</t>
        </is>
      </c>
      <c r="H2983" s="12" t="inlineStr">
        <is>
          <t>BF-B: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300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G-C-0042</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BF-B</t>
        </is>
      </c>
      <c r="H2984" s="12" t="inlineStr">
        <is>
          <t>BF-B: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300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G-C-0043</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G-C-0044</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G-C-0045</t>
        </is>
      </c>
      <c r="B2987" s="12" t="inlineStr">
        <is>
          <t>G</t>
        </is>
      </c>
      <c r="C2987" s="12" t="inlineStr">
        <is>
          <t>Carbon capture</t>
        </is>
      </c>
      <c r="D2987" s="12" t="inlineStr">
        <is>
          <t>Motor 1 of 4: control / local station</t>
        </is>
      </c>
      <c r="E2987" s="12" t="inlineStr"/>
      <c r="F2987" s="12" t="inlineStr">
        <is>
          <t>CCS MV switchgear building (VFDs)</t>
        </is>
      </c>
      <c r="G2987" s="12" t="inlineStr">
        <is>
          <t>BF-C</t>
        </is>
      </c>
      <c r="H2987" s="12" t="inlineStr">
        <is>
          <t>BF-C: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Tray</t>
        </is>
      </c>
      <c r="T2987" s="16" t="n">
        <v>16</v>
      </c>
      <c r="U2987" s="16" t="n">
        <v>150</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G-C-0046</t>
        </is>
      </c>
      <c r="B2988" s="12" t="inlineStr">
        <is>
          <t>G</t>
        </is>
      </c>
      <c r="C2988" s="12" t="inlineStr">
        <is>
          <t>Carbon capture</t>
        </is>
      </c>
      <c r="D2988" s="12" t="inlineStr">
        <is>
          <t>Motor 2 of 4: control / local station</t>
        </is>
      </c>
      <c r="E2988" s="12" t="inlineStr"/>
      <c r="F2988" s="12" t="inlineStr">
        <is>
          <t>CCS MV switchgear building (VFDs)</t>
        </is>
      </c>
      <c r="G2988" s="12" t="inlineStr">
        <is>
          <t>BF-C</t>
        </is>
      </c>
      <c r="H2988" s="12" t="inlineStr">
        <is>
          <t>BF-C: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Tray</t>
        </is>
      </c>
      <c r="T2988" s="16" t="n">
        <v>16</v>
      </c>
      <c r="U2988" s="16" t="n">
        <v>150</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G-C-0047</t>
        </is>
      </c>
      <c r="B2989" s="12" t="inlineStr">
        <is>
          <t>G</t>
        </is>
      </c>
      <c r="C2989" s="12" t="inlineStr">
        <is>
          <t>Carbon capture</t>
        </is>
      </c>
      <c r="D2989" s="12" t="inlineStr">
        <is>
          <t>Motor 3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G-C-0048</t>
        </is>
      </c>
      <c r="B2990" s="12" t="inlineStr">
        <is>
          <t>G</t>
        </is>
      </c>
      <c r="C2990" s="12" t="inlineStr">
        <is>
          <t>Carbon capture</t>
        </is>
      </c>
      <c r="D2990" s="12" t="inlineStr">
        <is>
          <t>Motor 4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G-C-0049</t>
        </is>
      </c>
      <c r="B2991" s="12" t="inlineStr">
        <is>
          <t>G</t>
        </is>
      </c>
      <c r="C2991" s="12" t="inlineStr">
        <is>
          <t>Carbon capture</t>
        </is>
      </c>
      <c r="D2991" s="12" t="inlineStr">
        <is>
          <t>Control</t>
        </is>
      </c>
      <c r="E2991" s="12" t="inlineStr"/>
      <c r="F2991" s="12" t="inlineStr">
        <is>
          <t>CCS F&amp;G / control</t>
        </is>
      </c>
      <c r="G2991" s="12" t="inlineStr"/>
      <c r="H2991" s="12" t="inlineStr">
        <is>
          <t>CCS F&amp;G / control</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0</v>
      </c>
      <c r="U2991" s="16" t="n">
        <v>170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G-C-0050</t>
        </is>
      </c>
      <c r="B2992" s="12" t="inlineStr">
        <is>
          <t>G</t>
        </is>
      </c>
      <c r="C2992" s="12" t="inlineStr">
        <is>
          <t>Carbon capture</t>
        </is>
      </c>
      <c r="D2992" s="12" t="inlineStr">
        <is>
          <t>Control</t>
        </is>
      </c>
      <c r="E2992" s="12" t="inlineStr"/>
      <c r="F2992" s="12" t="inlineStr">
        <is>
          <t>CCS F&amp;G / control</t>
        </is>
      </c>
      <c r="G2992" s="12" t="inlineStr"/>
      <c r="H2992" s="12" t="inlineStr">
        <is>
          <t>CCS MV switchgear building (VFDs)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206</v>
      </c>
      <c r="U2992" s="16" t="n">
        <v>101</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G-C-0051</t>
        </is>
      </c>
      <c r="B2993" s="12" t="inlineStr">
        <is>
          <t>G</t>
        </is>
      </c>
      <c r="C2993" s="12" t="inlineStr">
        <is>
          <t>Carbon capture</t>
        </is>
      </c>
      <c r="D2993" s="12" t="inlineStr">
        <is>
          <t>Motor 1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361</v>
      </c>
      <c r="U2993" s="16" t="n">
        <v>32</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G-C-0052</t>
        </is>
      </c>
      <c r="B2994" s="12" t="inlineStr">
        <is>
          <t>G</t>
        </is>
      </c>
      <c r="C2994" s="12" t="inlineStr">
        <is>
          <t>Carbon capture</t>
        </is>
      </c>
      <c r="D2994" s="12" t="inlineStr">
        <is>
          <t>Motor 2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361</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G-C-0053</t>
        </is>
      </c>
      <c r="B2995" s="12" t="inlineStr">
        <is>
          <t>G</t>
        </is>
      </c>
      <c r="C2995" s="12" t="inlineStr">
        <is>
          <t>Carbon capture</t>
        </is>
      </c>
      <c r="D2995" s="12" t="inlineStr">
        <is>
          <t>Motor 3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G-C-0054</t>
        </is>
      </c>
      <c r="B2996" s="12" t="inlineStr">
        <is>
          <t>G</t>
        </is>
      </c>
      <c r="C2996" s="12" t="inlineStr">
        <is>
          <t>Carbon capture</t>
        </is>
      </c>
      <c r="D2996" s="12" t="inlineStr">
        <is>
          <t>Motor 4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G-C-0055</t>
        </is>
      </c>
      <c r="B2997" s="12" t="inlineStr">
        <is>
          <t>G</t>
        </is>
      </c>
      <c r="C2997" s="12" t="inlineStr">
        <is>
          <t>Carbon capture</t>
        </is>
      </c>
      <c r="D2997" s="12" t="inlineStr">
        <is>
          <t>Motor 5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G-C-0056</t>
        </is>
      </c>
      <c r="B2998" s="12" t="inlineStr">
        <is>
          <t>G</t>
        </is>
      </c>
      <c r="C2998" s="12" t="inlineStr">
        <is>
          <t>Carbon capture</t>
        </is>
      </c>
      <c r="D2998" s="12" t="inlineStr">
        <is>
          <t>Motor 6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G-C-0057</t>
        </is>
      </c>
      <c r="B2999" s="12" t="inlineStr">
        <is>
          <t>G</t>
        </is>
      </c>
      <c r="C2999" s="12" t="inlineStr">
        <is>
          <t>Carbon capture</t>
        </is>
      </c>
      <c r="D2999" s="12" t="inlineStr">
        <is>
          <t>Motor 1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409</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G-C-0058</t>
        </is>
      </c>
      <c r="B3000" s="12" t="inlineStr">
        <is>
          <t>G</t>
        </is>
      </c>
      <c r="C3000" s="12" t="inlineStr">
        <is>
          <t>Carbon capture</t>
        </is>
      </c>
      <c r="D3000" s="12" t="inlineStr">
        <is>
          <t>Motor 2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409</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G-C-0059</t>
        </is>
      </c>
      <c r="B3001" s="12" t="inlineStr">
        <is>
          <t>G</t>
        </is>
      </c>
      <c r="C3001" s="12" t="inlineStr">
        <is>
          <t>Carbon capture</t>
        </is>
      </c>
      <c r="D3001" s="12" t="inlineStr">
        <is>
          <t>Motor 3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G-C-0060</t>
        </is>
      </c>
      <c r="B3002" s="12" t="inlineStr">
        <is>
          <t>G</t>
        </is>
      </c>
      <c r="C3002" s="12" t="inlineStr">
        <is>
          <t>Carbon capture</t>
        </is>
      </c>
      <c r="D3002" s="12" t="inlineStr">
        <is>
          <t>Motor 4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G-C-0061</t>
        </is>
      </c>
      <c r="B3003" s="12" t="inlineStr">
        <is>
          <t>G</t>
        </is>
      </c>
      <c r="C3003" s="12" t="inlineStr">
        <is>
          <t>Carbon capture</t>
        </is>
      </c>
      <c r="D3003" s="12" t="inlineStr">
        <is>
          <t>Motor 5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G-C-0062</t>
        </is>
      </c>
      <c r="B3004" s="12" t="inlineStr">
        <is>
          <t>G</t>
        </is>
      </c>
      <c r="C3004" s="12" t="inlineStr">
        <is>
          <t>Carbon capture</t>
        </is>
      </c>
      <c r="D3004" s="12" t="inlineStr">
        <is>
          <t>Motor 6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G-C-0063</t>
        </is>
      </c>
      <c r="B3005" s="12" t="inlineStr">
        <is>
          <t>G</t>
        </is>
      </c>
      <c r="C3005" s="12" t="inlineStr">
        <is>
          <t>Carbon capture</t>
        </is>
      </c>
      <c r="D3005" s="12" t="inlineStr">
        <is>
          <t>Motor 1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6" t="n">
        <v>0</v>
      </c>
      <c r="U3005" s="16" t="n">
        <v>42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G-C-0064</t>
        </is>
      </c>
      <c r="B3006" s="12" t="inlineStr">
        <is>
          <t>G</t>
        </is>
      </c>
      <c r="C3006" s="12" t="inlineStr">
        <is>
          <t>Carbon capture</t>
        </is>
      </c>
      <c r="D3006" s="12" t="inlineStr">
        <is>
          <t>Motor 2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6" t="n">
        <v>0</v>
      </c>
      <c r="U3006" s="16" t="n">
        <v>42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G-C-0065</t>
        </is>
      </c>
      <c r="B3007" s="12" t="inlineStr">
        <is>
          <t>G</t>
        </is>
      </c>
      <c r="C3007" s="12" t="inlineStr">
        <is>
          <t>Carbon capture</t>
        </is>
      </c>
      <c r="D3007" s="12" t="inlineStr">
        <is>
          <t>Motor 3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G-C-0066</t>
        </is>
      </c>
      <c r="B3008" s="12" t="inlineStr">
        <is>
          <t>G</t>
        </is>
      </c>
      <c r="C3008" s="12" t="inlineStr">
        <is>
          <t>Carbon capture</t>
        </is>
      </c>
      <c r="D3008" s="12" t="inlineStr">
        <is>
          <t>Motor 4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G-C-0067</t>
        </is>
      </c>
      <c r="B3009" s="12" t="inlineStr">
        <is>
          <t>G</t>
        </is>
      </c>
      <c r="C3009" s="12" t="inlineStr">
        <is>
          <t>Carbon capture</t>
        </is>
      </c>
      <c r="D3009" s="12" t="inlineStr">
        <is>
          <t>Motor 5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G-C-0068</t>
        </is>
      </c>
      <c r="B3010" s="12" t="inlineStr">
        <is>
          <t>G</t>
        </is>
      </c>
      <c r="C3010" s="12" t="inlineStr">
        <is>
          <t>Carbon capture</t>
        </is>
      </c>
      <c r="D3010" s="12" t="inlineStr">
        <is>
          <t>Motor 6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G-C-0069</t>
        </is>
      </c>
      <c r="B3011" s="12" t="inlineStr">
        <is>
          <t>G</t>
        </is>
      </c>
      <c r="C3011" s="12" t="inlineStr">
        <is>
          <t>Carbon capture</t>
        </is>
      </c>
      <c r="D3011" s="12" t="inlineStr">
        <is>
          <t>Motor 7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G-C-0070</t>
        </is>
      </c>
      <c r="B3012" s="12" t="inlineStr">
        <is>
          <t>G</t>
        </is>
      </c>
      <c r="C3012" s="12" t="inlineStr">
        <is>
          <t>Carbon capture</t>
        </is>
      </c>
      <c r="D3012" s="12" t="inlineStr">
        <is>
          <t>Motor 8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G-C-0071</t>
        </is>
      </c>
      <c r="B3013" s="12" t="inlineStr">
        <is>
          <t>G</t>
        </is>
      </c>
      <c r="C3013" s="12" t="inlineStr">
        <is>
          <t>Carbon capture</t>
        </is>
      </c>
      <c r="D3013" s="12" t="inlineStr">
        <is>
          <t>Motor 9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G-C-0072</t>
        </is>
      </c>
      <c r="B3014" s="12" t="inlineStr">
        <is>
          <t>G</t>
        </is>
      </c>
      <c r="C3014" s="12" t="inlineStr">
        <is>
          <t>Carbon capture</t>
        </is>
      </c>
      <c r="D3014" s="12" t="inlineStr">
        <is>
          <t>Motor 10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G-C-0073</t>
        </is>
      </c>
      <c r="B3015" s="12" t="inlineStr">
        <is>
          <t>G</t>
        </is>
      </c>
      <c r="C3015" s="12" t="inlineStr">
        <is>
          <t>Carbon capture</t>
        </is>
      </c>
      <c r="D3015" s="12" t="inlineStr">
        <is>
          <t>Motor 11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G-C-0074</t>
        </is>
      </c>
      <c r="B3016" s="12" t="inlineStr">
        <is>
          <t>G</t>
        </is>
      </c>
      <c r="C3016" s="12" t="inlineStr">
        <is>
          <t>Carbon capture</t>
        </is>
      </c>
      <c r="D3016" s="12" t="inlineStr">
        <is>
          <t>Motor 12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G-C-0075</t>
        </is>
      </c>
      <c r="B3017" s="12" t="inlineStr">
        <is>
          <t>G</t>
        </is>
      </c>
      <c r="C3017" s="12" t="inlineStr">
        <is>
          <t>Carbon capture</t>
        </is>
      </c>
      <c r="D3017" s="12" t="inlineStr">
        <is>
          <t>Motor 13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G-C-0076</t>
        </is>
      </c>
      <c r="B3018" s="12" t="inlineStr">
        <is>
          <t>G</t>
        </is>
      </c>
      <c r="C3018" s="12" t="inlineStr">
        <is>
          <t>Carbon capture</t>
        </is>
      </c>
      <c r="D3018" s="12" t="inlineStr">
        <is>
          <t>Motor 14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G-C-0077</t>
        </is>
      </c>
      <c r="B3019" s="12" t="inlineStr">
        <is>
          <t>G</t>
        </is>
      </c>
      <c r="C3019" s="12" t="inlineStr">
        <is>
          <t>Carbon capture</t>
        </is>
      </c>
      <c r="D3019" s="12" t="inlineStr">
        <is>
          <t>Motor 15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G-C-0078</t>
        </is>
      </c>
      <c r="B3020" s="12" t="inlineStr">
        <is>
          <t>G</t>
        </is>
      </c>
      <c r="C3020" s="12" t="inlineStr">
        <is>
          <t>Carbon capture</t>
        </is>
      </c>
      <c r="D3020" s="12" t="inlineStr">
        <is>
          <t>Motor 16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G-C-0079</t>
        </is>
      </c>
      <c r="B3021" s="12" t="inlineStr">
        <is>
          <t>G</t>
        </is>
      </c>
      <c r="C3021" s="12" t="inlineStr">
        <is>
          <t>Carbon capture</t>
        </is>
      </c>
      <c r="D3021" s="12" t="inlineStr">
        <is>
          <t>Motor 17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G-C-0080</t>
        </is>
      </c>
      <c r="B3022" s="12" t="inlineStr">
        <is>
          <t>G</t>
        </is>
      </c>
      <c r="C3022" s="12" t="inlineStr">
        <is>
          <t>Carbon capture</t>
        </is>
      </c>
      <c r="D3022" s="12" t="inlineStr">
        <is>
          <t>Motor 18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G-C-0081</t>
        </is>
      </c>
      <c r="B3023" s="12" t="inlineStr">
        <is>
          <t>G</t>
        </is>
      </c>
      <c r="C3023" s="12" t="inlineStr">
        <is>
          <t>Carbon capture</t>
        </is>
      </c>
      <c r="D3023" s="12" t="inlineStr">
        <is>
          <t>Motor 19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G-C-0082</t>
        </is>
      </c>
      <c r="B3024" s="12" t="inlineStr">
        <is>
          <t>G</t>
        </is>
      </c>
      <c r="C3024" s="12" t="inlineStr">
        <is>
          <t>Carbon capture</t>
        </is>
      </c>
      <c r="D3024" s="12" t="inlineStr">
        <is>
          <t>Motor 20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G-C-0083</t>
        </is>
      </c>
      <c r="B3025" s="12" t="inlineStr">
        <is>
          <t>G</t>
        </is>
      </c>
      <c r="C3025" s="12" t="inlineStr">
        <is>
          <t>Carbon capture</t>
        </is>
      </c>
      <c r="D3025" s="12" t="inlineStr">
        <is>
          <t>Motor 21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G-C-0084</t>
        </is>
      </c>
      <c r="B3026" s="12" t="inlineStr">
        <is>
          <t>G</t>
        </is>
      </c>
      <c r="C3026" s="12" t="inlineStr">
        <is>
          <t>Carbon capture</t>
        </is>
      </c>
      <c r="D3026" s="12" t="inlineStr">
        <is>
          <t>Motor 22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G-C-0085</t>
        </is>
      </c>
      <c r="B3027" s="12" t="inlineStr">
        <is>
          <t>G</t>
        </is>
      </c>
      <c r="C3027" s="12" t="inlineStr">
        <is>
          <t>Carbon capture</t>
        </is>
      </c>
      <c r="D3027" s="12" t="inlineStr">
        <is>
          <t>Motor 23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G-C-0086</t>
        </is>
      </c>
      <c r="B3028" s="12" t="inlineStr">
        <is>
          <t>G</t>
        </is>
      </c>
      <c r="C3028" s="12" t="inlineStr">
        <is>
          <t>Carbon capture</t>
        </is>
      </c>
      <c r="D3028" s="12" t="inlineStr">
        <is>
          <t>Motor 24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G-C-0087</t>
        </is>
      </c>
      <c r="B3029" s="12" t="inlineStr">
        <is>
          <t>G</t>
        </is>
      </c>
      <c r="C3029" s="12" t="inlineStr">
        <is>
          <t>Carbon capture</t>
        </is>
      </c>
      <c r="D3029" s="12" t="inlineStr">
        <is>
          <t>Motor 25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G-C-0088</t>
        </is>
      </c>
      <c r="B3030" s="12" t="inlineStr">
        <is>
          <t>G</t>
        </is>
      </c>
      <c r="C3030" s="12" t="inlineStr">
        <is>
          <t>Carbon capture</t>
        </is>
      </c>
      <c r="D3030" s="12" t="inlineStr">
        <is>
          <t>Motor 26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G-C-0089</t>
        </is>
      </c>
      <c r="B3031" s="12" t="inlineStr">
        <is>
          <t>G</t>
        </is>
      </c>
      <c r="C3031" s="12" t="inlineStr">
        <is>
          <t>Carbon capture</t>
        </is>
      </c>
      <c r="D3031" s="12" t="inlineStr">
        <is>
          <t>Motor 27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G-C-0090</t>
        </is>
      </c>
      <c r="B3032" s="12" t="inlineStr">
        <is>
          <t>G</t>
        </is>
      </c>
      <c r="C3032" s="12" t="inlineStr">
        <is>
          <t>Carbon capture</t>
        </is>
      </c>
      <c r="D3032" s="12" t="inlineStr">
        <is>
          <t>Motor 28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G-C-0091</t>
        </is>
      </c>
      <c r="B3033" s="12" t="inlineStr">
        <is>
          <t>G</t>
        </is>
      </c>
      <c r="C3033" s="12" t="inlineStr">
        <is>
          <t>Carbon capture</t>
        </is>
      </c>
      <c r="D3033" s="12" t="inlineStr">
        <is>
          <t>Motor 29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G-C-0092</t>
        </is>
      </c>
      <c r="B3034" s="12" t="inlineStr">
        <is>
          <t>G</t>
        </is>
      </c>
      <c r="C3034" s="12" t="inlineStr">
        <is>
          <t>Carbon capture</t>
        </is>
      </c>
      <c r="D3034" s="12" t="inlineStr">
        <is>
          <t>Motor 30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G-C-0093</t>
        </is>
      </c>
      <c r="B3035" s="12" t="inlineStr">
        <is>
          <t>G</t>
        </is>
      </c>
      <c r="C3035" s="12" t="inlineStr">
        <is>
          <t>Carbon capture</t>
        </is>
      </c>
      <c r="D3035" s="12" t="inlineStr">
        <is>
          <t>Motor 1 of 2: control / local station</t>
        </is>
      </c>
      <c r="E3035" s="12" t="inlineStr"/>
      <c r="F3035" s="12" t="inlineStr">
        <is>
          <t>CCS MV switchgear building (VFDs)</t>
        </is>
      </c>
      <c r="G3035" s="12" t="inlineStr"/>
      <c r="H3035" s="12" t="inlineStr">
        <is>
          <t>CCS instrument air</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6" t="n">
        <v>206</v>
      </c>
      <c r="U3035" s="16" t="n">
        <v>51</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G-C-0094</t>
        </is>
      </c>
      <c r="B3036" s="12" t="inlineStr">
        <is>
          <t>G</t>
        </is>
      </c>
      <c r="C3036" s="12" t="inlineStr">
        <is>
          <t>Carbon capture</t>
        </is>
      </c>
      <c r="D3036" s="12" t="inlineStr">
        <is>
          <t>Motor 2 of 2: control / local station</t>
        </is>
      </c>
      <c r="E3036" s="12" t="inlineStr"/>
      <c r="F3036" s="12" t="inlineStr">
        <is>
          <t>CCS MV switchgear building (VFDs)</t>
        </is>
      </c>
      <c r="G3036" s="12" t="inlineStr"/>
      <c r="H3036" s="12" t="inlineStr">
        <is>
          <t>CCS instrument air</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6" t="n">
        <v>206</v>
      </c>
      <c r="U3036" s="16" t="n">
        <v>51</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G-C-0095</t>
        </is>
      </c>
      <c r="B3037" s="12" t="inlineStr">
        <is>
          <t>G</t>
        </is>
      </c>
      <c r="C3037" s="12" t="inlineStr">
        <is>
          <t>Carbon capture</t>
        </is>
      </c>
      <c r="D3037" s="12" t="inlineStr">
        <is>
          <t>Motor 1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5</v>
      </c>
      <c r="U3037" s="16" t="n">
        <v>87</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G-C-0096</t>
        </is>
      </c>
      <c r="B3038" s="12" t="inlineStr">
        <is>
          <t>G</t>
        </is>
      </c>
      <c r="C3038" s="12" t="inlineStr">
        <is>
          <t>Carbon capture</t>
        </is>
      </c>
      <c r="D3038" s="12" t="inlineStr">
        <is>
          <t>Motor 2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5</v>
      </c>
      <c r="U3038" s="16" t="n">
        <v>87</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G-C-0097</t>
        </is>
      </c>
      <c r="B3039" s="12" t="inlineStr">
        <is>
          <t>G</t>
        </is>
      </c>
      <c r="C3039" s="12" t="inlineStr">
        <is>
          <t>Carbon capture</t>
        </is>
      </c>
      <c r="D3039" s="12" t="inlineStr">
        <is>
          <t>Motor 3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G-C-0098</t>
        </is>
      </c>
      <c r="B3040" s="12" t="inlineStr">
        <is>
          <t>G</t>
        </is>
      </c>
      <c r="C3040" s="12" t="inlineStr">
        <is>
          <t>Carbon capture</t>
        </is>
      </c>
      <c r="D3040" s="12" t="inlineStr">
        <is>
          <t>Motor 4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G-C-0099</t>
        </is>
      </c>
      <c r="B3041" s="12" t="inlineStr">
        <is>
          <t>G</t>
        </is>
      </c>
      <c r="C3041" s="12" t="inlineStr">
        <is>
          <t>Carbon capture</t>
        </is>
      </c>
      <c r="D3041" s="12" t="inlineStr">
        <is>
          <t>Motor 5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G-C-0100</t>
        </is>
      </c>
      <c r="B3042" s="12" t="inlineStr">
        <is>
          <t>G</t>
        </is>
      </c>
      <c r="C3042" s="12" t="inlineStr">
        <is>
          <t>Carbon capture</t>
        </is>
      </c>
      <c r="D3042" s="12" t="inlineStr">
        <is>
          <t>Motor 6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G-C-0101</t>
        </is>
      </c>
      <c r="B3043" s="12" t="inlineStr">
        <is>
          <t>G</t>
        </is>
      </c>
      <c r="C3043" s="12" t="inlineStr">
        <is>
          <t>Carbon capture</t>
        </is>
      </c>
      <c r="D3043" s="12" t="inlineStr">
        <is>
          <t>Motor 1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291</v>
      </c>
      <c r="U3043" s="16" t="n">
        <v>36</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G-C-0102</t>
        </is>
      </c>
      <c r="B3044" s="12" t="inlineStr">
        <is>
          <t>G</t>
        </is>
      </c>
      <c r="C3044" s="12" t="inlineStr">
        <is>
          <t>Carbon capture</t>
        </is>
      </c>
      <c r="D3044" s="12" t="inlineStr">
        <is>
          <t>Motor 2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291</v>
      </c>
      <c r="U3044" s="16" t="n">
        <v>36</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G-C-0103</t>
        </is>
      </c>
      <c r="B3045" s="12" t="inlineStr">
        <is>
          <t>G</t>
        </is>
      </c>
      <c r="C3045" s="12" t="inlineStr">
        <is>
          <t>Carbon capture</t>
        </is>
      </c>
      <c r="D3045" s="12" t="inlineStr">
        <is>
          <t>Motor 3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G-C-0104</t>
        </is>
      </c>
      <c r="B3046" s="12" t="inlineStr">
        <is>
          <t>G</t>
        </is>
      </c>
      <c r="C3046" s="12" t="inlineStr">
        <is>
          <t>Carbon capture</t>
        </is>
      </c>
      <c r="D3046" s="12" t="inlineStr">
        <is>
          <t>Motor 4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G-C-0105</t>
        </is>
      </c>
      <c r="B3047" s="12" t="inlineStr">
        <is>
          <t>G</t>
        </is>
      </c>
      <c r="C3047" s="12" t="inlineStr">
        <is>
          <t>Carbon capture</t>
        </is>
      </c>
      <c r="D3047" s="12" t="inlineStr">
        <is>
          <t>Motor 5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G-C-0106</t>
        </is>
      </c>
      <c r="B3048" s="12" t="inlineStr">
        <is>
          <t>G</t>
        </is>
      </c>
      <c r="C3048" s="12" t="inlineStr">
        <is>
          <t>Carbon capture</t>
        </is>
      </c>
      <c r="D3048" s="12" t="inlineStr">
        <is>
          <t>Motor 6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G-C-0107</t>
        </is>
      </c>
      <c r="B3049" s="12" t="inlineStr">
        <is>
          <t>G</t>
        </is>
      </c>
      <c r="C3049" s="12" t="inlineStr">
        <is>
          <t>Carbon capture</t>
        </is>
      </c>
      <c r="D3049" s="12" t="inlineStr">
        <is>
          <t>Motor 7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G-C-0108</t>
        </is>
      </c>
      <c r="B3050" s="12" t="inlineStr">
        <is>
          <t>G</t>
        </is>
      </c>
      <c r="C3050" s="12" t="inlineStr">
        <is>
          <t>Carbon capture</t>
        </is>
      </c>
      <c r="D3050" s="12" t="inlineStr">
        <is>
          <t>Motor 8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G-C-0109</t>
        </is>
      </c>
      <c r="B3051" s="12" t="inlineStr">
        <is>
          <t>G</t>
        </is>
      </c>
      <c r="C3051" s="12" t="inlineStr">
        <is>
          <t>Carbon capture</t>
        </is>
      </c>
      <c r="D3051" s="12" t="inlineStr">
        <is>
          <t>Motor 9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G-C-0110</t>
        </is>
      </c>
      <c r="B3052" s="12" t="inlineStr">
        <is>
          <t>G</t>
        </is>
      </c>
      <c r="C3052" s="12" t="inlineStr">
        <is>
          <t>Carbon capture</t>
        </is>
      </c>
      <c r="D3052" s="12" t="inlineStr">
        <is>
          <t>Motor 10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G-C-0111</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305</v>
      </c>
      <c r="U3053" s="16" t="n">
        <v>160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G-C-0112</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305</v>
      </c>
      <c r="U3054" s="16" t="n">
        <v>160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G-C-0113</t>
        </is>
      </c>
      <c r="B3055" s="12" t="inlineStr">
        <is>
          <t>G</t>
        </is>
      </c>
      <c r="C3055" s="12" t="inlineStr">
        <is>
          <t>Carbon capture</t>
        </is>
      </c>
      <c r="D3055" s="12" t="inlineStr">
        <is>
          <t>Motor 1 of 1: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G-C-0114</t>
        </is>
      </c>
      <c r="B3056" s="12" t="inlineStr">
        <is>
          <t>G</t>
        </is>
      </c>
      <c r="C3056" s="12" t="inlineStr">
        <is>
          <t>Carbon capture</t>
        </is>
      </c>
      <c r="D3056" s="12" t="inlineStr">
        <is>
          <t>MOV 1: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G-C-0115</t>
        </is>
      </c>
      <c r="B3057" s="12" t="inlineStr">
        <is>
          <t>G</t>
        </is>
      </c>
      <c r="C3057" s="12" t="inlineStr">
        <is>
          <t>Carbon capture</t>
        </is>
      </c>
      <c r="D3057" s="12" t="inlineStr">
        <is>
          <t>MOV 2: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G-C-0116</t>
        </is>
      </c>
      <c r="B3058" s="12" t="inlineStr">
        <is>
          <t>G</t>
        </is>
      </c>
      <c r="C3058" s="12" t="inlineStr">
        <is>
          <t>Carbon capture</t>
        </is>
      </c>
      <c r="D3058" s="12" t="inlineStr">
        <is>
          <t>MOV 3: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G-C-0117</t>
        </is>
      </c>
      <c r="B3059" s="12" t="inlineStr">
        <is>
          <t>G</t>
        </is>
      </c>
      <c r="C3059" s="12" t="inlineStr">
        <is>
          <t>Carbon capture</t>
        </is>
      </c>
      <c r="D3059" s="12" t="inlineStr">
        <is>
          <t>MOV 4: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G-C-0118</t>
        </is>
      </c>
      <c r="B3060" s="12" t="inlineStr">
        <is>
          <t>G</t>
        </is>
      </c>
      <c r="C3060" s="12" t="inlineStr">
        <is>
          <t>Carbon capture</t>
        </is>
      </c>
      <c r="D3060" s="12" t="inlineStr">
        <is>
          <t>MOV 5: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G-C-0119</t>
        </is>
      </c>
      <c r="B3061" s="12" t="inlineStr">
        <is>
          <t>G</t>
        </is>
      </c>
      <c r="C3061" s="12" t="inlineStr">
        <is>
          <t>Carbon capture</t>
        </is>
      </c>
      <c r="D3061" s="12" t="inlineStr">
        <is>
          <t>MOV 6: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G-C-0120</t>
        </is>
      </c>
      <c r="B3062" s="12" t="inlineStr">
        <is>
          <t>G</t>
        </is>
      </c>
      <c r="C3062" s="12" t="inlineStr">
        <is>
          <t>Carbon capture</t>
        </is>
      </c>
      <c r="D3062" s="12" t="inlineStr">
        <is>
          <t>MOV 7: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G-C-0121</t>
        </is>
      </c>
      <c r="B3063" s="12" t="inlineStr">
        <is>
          <t>G</t>
        </is>
      </c>
      <c r="C3063" s="12" t="inlineStr">
        <is>
          <t>Carbon capture</t>
        </is>
      </c>
      <c r="D3063" s="12" t="inlineStr">
        <is>
          <t>MOV 8: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G-C-0122</t>
        </is>
      </c>
      <c r="B3064" s="12" t="inlineStr">
        <is>
          <t>G</t>
        </is>
      </c>
      <c r="C3064" s="12" t="inlineStr">
        <is>
          <t>Carbon capture</t>
        </is>
      </c>
      <c r="D3064" s="12" t="inlineStr">
        <is>
          <t>MOV 9: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G-C-0123</t>
        </is>
      </c>
      <c r="B3065" s="12" t="inlineStr">
        <is>
          <t>G</t>
        </is>
      </c>
      <c r="C3065" s="12" t="inlineStr">
        <is>
          <t>Carbon capture</t>
        </is>
      </c>
      <c r="D3065" s="12" t="inlineStr">
        <is>
          <t>MOV 10: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G-C-0124</t>
        </is>
      </c>
      <c r="B3066" s="12" t="inlineStr">
        <is>
          <t>G</t>
        </is>
      </c>
      <c r="C3066" s="12" t="inlineStr">
        <is>
          <t>Carbon capture</t>
        </is>
      </c>
      <c r="D3066" s="12" t="inlineStr">
        <is>
          <t>MOV 11: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G-C-0125</t>
        </is>
      </c>
      <c r="B3067" s="12" t="inlineStr">
        <is>
          <t>G</t>
        </is>
      </c>
      <c r="C3067" s="12" t="inlineStr">
        <is>
          <t>Carbon capture</t>
        </is>
      </c>
      <c r="D3067" s="12" t="inlineStr">
        <is>
          <t>MOV 12: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G-C-0126</t>
        </is>
      </c>
      <c r="B3068" s="12" t="inlineStr">
        <is>
          <t>G</t>
        </is>
      </c>
      <c r="C3068" s="12" t="inlineStr">
        <is>
          <t>Carbon capture</t>
        </is>
      </c>
      <c r="D3068" s="12" t="inlineStr">
        <is>
          <t>Motor 1 of 4: control / local station</t>
        </is>
      </c>
      <c r="E3068" s="12" t="inlineStr"/>
      <c r="F3068" s="12" t="inlineStr">
        <is>
          <t>CCS MV switchgear building (VFDs)</t>
        </is>
      </c>
      <c r="G3068" s="12" t="inlineStr"/>
      <c r="H3068" s="12" t="inlineStr">
        <is>
          <t>CONDITIONAL: HP export compressor + metering</t>
        </is>
      </c>
      <c r="I3068" s="12" t="inlineStr">
        <is>
          <t>Control</t>
        </is>
      </c>
      <c r="J3068" s="12" t="inlineStr">
        <is>
          <t>ARMOR-X MC-HL 600 V control, Cu #14 AWG (Class I Div 2)</t>
        </is>
      </c>
      <c r="K3068" s="12" t="inlineStr">
        <is>
          <t>CTAX|7/C|14</t>
        </is>
      </c>
      <c r="L3068" s="12" t="inlineStr">
        <is>
          <t>7/C</t>
        </is>
      </c>
      <c r="M3068" s="12" t="inlineStr">
        <is>
          <t>14</t>
        </is>
      </c>
      <c r="N3068" s="12" t="n">
        <v>1</v>
      </c>
      <c r="O3068" s="12" t="n">
        <v>1</v>
      </c>
      <c r="P3068" s="12" t="n"/>
      <c r="Q3068" s="12" t="n"/>
      <c r="R3068" s="12" t="n"/>
      <c r="S3068" s="12" t="inlineStr">
        <is>
          <t>Duct bank</t>
        </is>
      </c>
      <c r="T3068" s="16" t="n">
        <v>303</v>
      </c>
      <c r="U3068" s="16" t="n">
        <v>34</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G-C-0127</t>
        </is>
      </c>
      <c r="B3069" s="12" t="inlineStr">
        <is>
          <t>G</t>
        </is>
      </c>
      <c r="C3069" s="12" t="inlineStr">
        <is>
          <t>Carbon capture</t>
        </is>
      </c>
      <c r="D3069" s="12" t="inlineStr">
        <is>
          <t>Motor 2 of 4: control / local station</t>
        </is>
      </c>
      <c r="E3069" s="12" t="inlineStr"/>
      <c r="F3069" s="12" t="inlineStr">
        <is>
          <t>CCS MV switchgear building (VFDs)</t>
        </is>
      </c>
      <c r="G3069" s="12" t="inlineStr"/>
      <c r="H3069" s="12" t="inlineStr">
        <is>
          <t>CONDITIONAL: HP export compressor + metering</t>
        </is>
      </c>
      <c r="I3069" s="12" t="inlineStr">
        <is>
          <t>Control</t>
        </is>
      </c>
      <c r="J3069" s="12" t="inlineStr">
        <is>
          <t>ARMOR-X MC-HL 600 V control, Cu #14 AWG (Class I Div 2)</t>
        </is>
      </c>
      <c r="K3069" s="12" t="inlineStr">
        <is>
          <t>CTAX|7/C|14</t>
        </is>
      </c>
      <c r="L3069" s="12" t="inlineStr">
        <is>
          <t>7/C</t>
        </is>
      </c>
      <c r="M3069" s="12" t="inlineStr">
        <is>
          <t>14</t>
        </is>
      </c>
      <c r="N3069" s="12" t="n">
        <v>1</v>
      </c>
      <c r="O3069" s="12" t="n">
        <v>1</v>
      </c>
      <c r="P3069" s="12" t="n"/>
      <c r="Q3069" s="12" t="n"/>
      <c r="R3069" s="12" t="n"/>
      <c r="S3069" s="12" t="inlineStr">
        <is>
          <t>Duct bank</t>
        </is>
      </c>
      <c r="T3069" s="16" t="n">
        <v>303</v>
      </c>
      <c r="U3069" s="16" t="n">
        <v>34</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G-C-0128</t>
        </is>
      </c>
      <c r="B3070" s="12" t="inlineStr">
        <is>
          <t>G</t>
        </is>
      </c>
      <c r="C3070" s="12" t="inlineStr">
        <is>
          <t>Carbon capture</t>
        </is>
      </c>
      <c r="D3070" s="12" t="inlineStr">
        <is>
          <t>Motor 3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G-C-0129</t>
        </is>
      </c>
      <c r="B3071" s="12" t="inlineStr">
        <is>
          <t>G</t>
        </is>
      </c>
      <c r="C3071" s="12" t="inlineStr">
        <is>
          <t>Carbon capture</t>
        </is>
      </c>
      <c r="D3071" s="12" t="inlineStr">
        <is>
          <t>Motor 4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G-C-0130</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DCC-A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515</v>
      </c>
      <c r="U3072" s="16" t="n">
        <v>164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G-C-0131</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DCC-A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515</v>
      </c>
      <c r="U3073" s="16" t="n">
        <v>164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G-C-0132</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DCC-B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415</v>
      </c>
      <c r="U3074" s="16" t="n">
        <v>122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G-C-0133</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DCC-B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415</v>
      </c>
      <c r="U3075" s="16" t="n">
        <v>122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G-C-0134</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DCC-C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195</v>
      </c>
      <c r="U3076" s="16" t="n">
        <v>164</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G-C-0135</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DCC-C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195</v>
      </c>
      <c r="U3077" s="16" t="n">
        <v>164</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G-C-0136</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DMP-A</t>
        </is>
      </c>
      <c r="H3078" s="12" t="inlineStr">
        <is>
          <t>DMP-A: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Duct bank</t>
        </is>
      </c>
      <c r="T3078" s="16" t="n">
        <v>1436</v>
      </c>
      <c r="U3078" s="16" t="n">
        <v>124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G-C-0137</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DMP-A</t>
        </is>
      </c>
      <c r="H3079" s="12" t="inlineStr">
        <is>
          <t>DMP-A: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Duct bank</t>
        </is>
      </c>
      <c r="T3079" s="16" t="n">
        <v>1436</v>
      </c>
      <c r="U3079" s="16" t="n">
        <v>124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G-C-0138</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DMP-B</t>
        </is>
      </c>
      <c r="H3080" s="12" t="inlineStr">
        <is>
          <t>DMP-B: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1280</v>
      </c>
      <c r="U3080" s="16" t="n">
        <v>120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G-C-0139</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DMP-B</t>
        </is>
      </c>
      <c r="H3081" s="12" t="inlineStr">
        <is>
          <t>DMP-B: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1280</v>
      </c>
      <c r="U3081" s="16" t="n">
        <v>120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G-C-0140</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DMP-C</t>
        </is>
      </c>
      <c r="H3082" s="12" t="inlineStr">
        <is>
          <t>DMP-C: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1116</v>
      </c>
      <c r="U3082" s="16" t="n">
        <v>124</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G-C-0141</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DMP-C</t>
        </is>
      </c>
      <c r="H3083" s="12" t="inlineStr">
        <is>
          <t>DMP-C: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1116</v>
      </c>
      <c r="U3083" s="16" t="n">
        <v>124</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G-C-0142</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RB-A: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6" t="n">
        <v>50</v>
      </c>
      <c r="U3084" s="16" t="n">
        <v>37</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G-C-0143</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RB-A: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6" t="n">
        <v>50</v>
      </c>
      <c r="U3085" s="16" t="n">
        <v>37</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G-C-0144</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G-C-0145</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G-C-0146</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RB-B: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83</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G-C-0147</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RB-B: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83</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G-C-0148</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G-C-0149</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G-C-0150</t>
        </is>
      </c>
      <c r="B3092" s="12" t="inlineStr">
        <is>
          <t>G</t>
        </is>
      </c>
      <c r="C3092" s="12" t="inlineStr">
        <is>
          <t>Carbon capture</t>
        </is>
      </c>
      <c r="D3092" s="12" t="inlineStr">
        <is>
          <t>MOV 1: control</t>
        </is>
      </c>
      <c r="E3092" s="12" t="inlineStr"/>
      <c r="F3092" s="12" t="inlineStr">
        <is>
          <t>CCS MV switchgear building (VFDs)</t>
        </is>
      </c>
      <c r="G3092" s="12" t="inlineStr"/>
      <c r="H3092" s="12" t="inlineStr">
        <is>
          <t>RB-C: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45</v>
      </c>
      <c r="U3092" s="16" t="n">
        <v>47</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G-C-0151</t>
        </is>
      </c>
      <c r="B3093" s="12" t="inlineStr">
        <is>
          <t>G</t>
        </is>
      </c>
      <c r="C3093" s="12" t="inlineStr">
        <is>
          <t>Carbon capture</t>
        </is>
      </c>
      <c r="D3093" s="12" t="inlineStr">
        <is>
          <t>MOV 2: control</t>
        </is>
      </c>
      <c r="E3093" s="12" t="inlineStr"/>
      <c r="F3093" s="12" t="inlineStr">
        <is>
          <t>CCS MV switchgear building (VFDs)</t>
        </is>
      </c>
      <c r="G3093" s="12" t="inlineStr"/>
      <c r="H3093" s="12" t="inlineStr">
        <is>
          <t>RB-C: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45</v>
      </c>
      <c r="U3093" s="16" t="n">
        <v>47</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G-C-0152</t>
        </is>
      </c>
      <c r="B3094" s="12" t="inlineStr">
        <is>
          <t>G</t>
        </is>
      </c>
      <c r="C3094" s="12" t="inlineStr">
        <is>
          <t>Carbon capture</t>
        </is>
      </c>
      <c r="D3094" s="12" t="inlineStr">
        <is>
          <t>MOV 3: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G-C-0153</t>
        </is>
      </c>
      <c r="B3095" s="12" t="inlineStr">
        <is>
          <t>G</t>
        </is>
      </c>
      <c r="C3095" s="12" t="inlineStr">
        <is>
          <t>Carbon capture</t>
        </is>
      </c>
      <c r="D3095" s="12" t="inlineStr">
        <is>
          <t>MOV 4: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G-C-0154</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Reclaimer (thermal, intermittent)</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45</v>
      </c>
      <c r="U3096" s="16" t="n">
        <v>57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G-C-0155</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Reclaimer (thermal, intermittent)</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45</v>
      </c>
      <c r="U3097" s="16" t="n">
        <v>57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G-C-0156</t>
        </is>
      </c>
      <c r="B3098" s="12" t="inlineStr">
        <is>
          <t>G</t>
        </is>
      </c>
      <c r="C3098" s="12" t="inlineStr">
        <is>
          <t>Carbon capture</t>
        </is>
      </c>
      <c r="D3098" s="12" t="inlineStr">
        <is>
          <t>MOV 1: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6" t="n">
        <v>146</v>
      </c>
      <c r="U3098" s="16" t="n">
        <v>36</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G-C-0157</t>
        </is>
      </c>
      <c r="B3099" s="12" t="inlineStr">
        <is>
          <t>G</t>
        </is>
      </c>
      <c r="C3099" s="12" t="inlineStr">
        <is>
          <t>Carbon capture</t>
        </is>
      </c>
      <c r="D3099" s="12" t="inlineStr">
        <is>
          <t>MOV 2: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6" t="n">
        <v>146</v>
      </c>
      <c r="U3099" s="16" t="n">
        <v>36</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G-C-0158</t>
        </is>
      </c>
      <c r="B3100" s="12" t="inlineStr">
        <is>
          <t>G</t>
        </is>
      </c>
      <c r="C3100" s="12" t="inlineStr">
        <is>
          <t>Carbon capture</t>
        </is>
      </c>
      <c r="D3100" s="12" t="inlineStr">
        <is>
          <t>MOV 3: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G-C-0159</t>
        </is>
      </c>
      <c r="B3101" s="12" t="inlineStr">
        <is>
          <t>G</t>
        </is>
      </c>
      <c r="C3101" s="12" t="inlineStr">
        <is>
          <t>Carbon capture</t>
        </is>
      </c>
      <c r="D3101" s="12" t="inlineStr">
        <is>
          <t>MOV 4: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G-C-0160</t>
        </is>
      </c>
      <c r="B3102" s="12" t="inlineStr">
        <is>
          <t>G</t>
        </is>
      </c>
      <c r="C3102" s="12" t="inlineStr">
        <is>
          <t>Carbon capture</t>
        </is>
      </c>
      <c r="D3102" s="12" t="inlineStr">
        <is>
          <t>MOV 5: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G-C-0161</t>
        </is>
      </c>
      <c r="B3103" s="12" t="inlineStr">
        <is>
          <t>G</t>
        </is>
      </c>
      <c r="C3103" s="12" t="inlineStr">
        <is>
          <t>Carbon capture</t>
        </is>
      </c>
      <c r="D3103" s="12" t="inlineStr">
        <is>
          <t>MOV 6: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G-C-0162</t>
        </is>
      </c>
      <c r="B3104" s="12" t="inlineStr">
        <is>
          <t>G</t>
        </is>
      </c>
      <c r="C3104" s="12" t="inlineStr">
        <is>
          <t>Carbon capture</t>
        </is>
      </c>
      <c r="D3104" s="12" t="inlineStr">
        <is>
          <t>MOV 1: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G-C-0163</t>
        </is>
      </c>
      <c r="B3105" s="12" t="inlineStr">
        <is>
          <t>G</t>
        </is>
      </c>
      <c r="C3105" s="12" t="inlineStr">
        <is>
          <t>Carbon capture</t>
        </is>
      </c>
      <c r="D3105" s="12" t="inlineStr">
        <is>
          <t>MOV 2: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G-C-0164</t>
        </is>
      </c>
      <c r="B3106" s="12" t="inlineStr">
        <is>
          <t>G</t>
        </is>
      </c>
      <c r="C3106" s="12" t="inlineStr">
        <is>
          <t>Carbon capture</t>
        </is>
      </c>
      <c r="D3106" s="12" t="inlineStr">
        <is>
          <t>MOV 3: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G-C-0165</t>
        </is>
      </c>
      <c r="B3107" s="12" t="inlineStr">
        <is>
          <t>G</t>
        </is>
      </c>
      <c r="C3107" s="12" t="inlineStr">
        <is>
          <t>Carbon capture</t>
        </is>
      </c>
      <c r="D3107" s="12" t="inlineStr">
        <is>
          <t>MOV 4: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G-C-0166</t>
        </is>
      </c>
      <c r="B3108" s="12" t="inlineStr">
        <is>
          <t>G</t>
        </is>
      </c>
      <c r="C3108" s="12" t="inlineStr">
        <is>
          <t>Carbon capture</t>
        </is>
      </c>
      <c r="D3108" s="12" t="inlineStr">
        <is>
          <t>MOV 5: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G-C-0167</t>
        </is>
      </c>
      <c r="B3109" s="12" t="inlineStr">
        <is>
          <t>G</t>
        </is>
      </c>
      <c r="C3109" s="12" t="inlineStr">
        <is>
          <t>Carbon capture</t>
        </is>
      </c>
      <c r="D3109" s="12" t="inlineStr">
        <is>
          <t>MOV 6: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G-C-0168</t>
        </is>
      </c>
      <c r="B3110" s="12" t="inlineStr">
        <is>
          <t>G</t>
        </is>
      </c>
      <c r="C3110" s="12" t="inlineStr">
        <is>
          <t>Carbon capture</t>
        </is>
      </c>
      <c r="D3110" s="12" t="inlineStr">
        <is>
          <t>MOV 1: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196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G-C-0169</t>
        </is>
      </c>
      <c r="B3111" s="12" t="inlineStr">
        <is>
          <t>G</t>
        </is>
      </c>
      <c r="C3111" s="12" t="inlineStr">
        <is>
          <t>Carbon capture</t>
        </is>
      </c>
      <c r="D3111" s="12" t="inlineStr">
        <is>
          <t>MOV 2: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196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G-C-0170</t>
        </is>
      </c>
      <c r="B3112" s="12" t="inlineStr">
        <is>
          <t>G</t>
        </is>
      </c>
      <c r="C3112" s="12" t="inlineStr">
        <is>
          <t>Carbon capture</t>
        </is>
      </c>
      <c r="D3112" s="12" t="inlineStr">
        <is>
          <t>MOV 3: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G-C-0171</t>
        </is>
      </c>
      <c r="B3113" s="12" t="inlineStr">
        <is>
          <t>G</t>
        </is>
      </c>
      <c r="C3113" s="12" t="inlineStr">
        <is>
          <t>Carbon capture</t>
        </is>
      </c>
      <c r="D3113" s="12" t="inlineStr">
        <is>
          <t>MOV 4: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G-C-0172</t>
        </is>
      </c>
      <c r="B3114" s="12" t="inlineStr">
        <is>
          <t>G</t>
        </is>
      </c>
      <c r="C3114" s="12" t="inlineStr">
        <is>
          <t>Carbon capture</t>
        </is>
      </c>
      <c r="D3114" s="12" t="inlineStr">
        <is>
          <t>MOV 5: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G-C-0173</t>
        </is>
      </c>
      <c r="B3115" s="12" t="inlineStr">
        <is>
          <t>G</t>
        </is>
      </c>
      <c r="C3115" s="12" t="inlineStr">
        <is>
          <t>Carbon capture</t>
        </is>
      </c>
      <c r="D3115" s="12" t="inlineStr">
        <is>
          <t>MOV 6: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G-C-0174</t>
        </is>
      </c>
      <c r="B3116" s="12" t="inlineStr">
        <is>
          <t>G</t>
        </is>
      </c>
      <c r="C3116" s="12" t="inlineStr">
        <is>
          <t>Carbon capture</t>
        </is>
      </c>
      <c r="D3116" s="12" t="inlineStr">
        <is>
          <t>Motor 1 of 4: control / local station</t>
        </is>
      </c>
      <c r="E3116" s="12" t="inlineStr"/>
      <c r="F3116" s="12" t="inlineStr">
        <is>
          <t>CCS MV switchgear building (VFDs)</t>
        </is>
      </c>
      <c r="G3116" s="12" t="inlineStr"/>
      <c r="H3116" s="12" t="inlineStr">
        <is>
          <t>Solvent + NaOH storage</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250</v>
      </c>
      <c r="U3116" s="16" t="n">
        <v>37</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G-C-0175</t>
        </is>
      </c>
      <c r="B3117" s="12" t="inlineStr">
        <is>
          <t>G</t>
        </is>
      </c>
      <c r="C3117" s="12" t="inlineStr">
        <is>
          <t>Carbon capture</t>
        </is>
      </c>
      <c r="D3117" s="12" t="inlineStr">
        <is>
          <t>Motor 2 of 4: control / local station</t>
        </is>
      </c>
      <c r="E3117" s="12" t="inlineStr"/>
      <c r="F3117" s="12" t="inlineStr">
        <is>
          <t>CCS MV switchgear building (VFDs)</t>
        </is>
      </c>
      <c r="G3117" s="12" t="inlineStr"/>
      <c r="H3117" s="12" t="inlineStr">
        <is>
          <t>Solvent + NaOH storage</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250</v>
      </c>
      <c r="U3117" s="16" t="n">
        <v>37</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G-C-0176</t>
        </is>
      </c>
      <c r="B3118" s="12" t="inlineStr">
        <is>
          <t>G</t>
        </is>
      </c>
      <c r="C3118" s="12" t="inlineStr">
        <is>
          <t>Carbon capture</t>
        </is>
      </c>
      <c r="D3118" s="12" t="inlineStr">
        <is>
          <t>Motor 3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G-C-0177</t>
        </is>
      </c>
      <c r="B3119" s="12" t="inlineStr">
        <is>
          <t>G</t>
        </is>
      </c>
      <c r="C3119" s="12" t="inlineStr">
        <is>
          <t>Carbon capture</t>
        </is>
      </c>
      <c r="D3119" s="12" t="inlineStr">
        <is>
          <t>Motor 4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G-C-0178</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A</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465</v>
      </c>
      <c r="U3120" s="16" t="n">
        <v>96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G-C-0179</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A</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465</v>
      </c>
      <c r="U3121" s="16" t="n">
        <v>96</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G-C-0180</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B</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305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G-C-0181</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B</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305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G-C-0182</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C</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145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G-C-0183</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C</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145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G-F-0001</t>
        </is>
      </c>
      <c r="B3126" s="12" t="inlineStr">
        <is>
          <t>G</t>
        </is>
      </c>
      <c r="C3126" s="12" t="inlineStr">
        <is>
          <t>Carbon capture</t>
        </is>
      </c>
      <c r="D3126" s="12" t="inlineStr">
        <is>
          <t>Plant network / DCS fibre</t>
        </is>
      </c>
      <c r="E3126" s="12" t="inlineStr">
        <is>
          <t>CR</t>
        </is>
      </c>
      <c r="F3126" s="12" t="inlineStr">
        <is>
          <t>Control / admin building (main control room)</t>
        </is>
      </c>
      <c r="G3126" s="12" t="inlineStr"/>
      <c r="H3126" s="12" t="inlineStr">
        <is>
          <t>CCS F&amp;G / control</t>
        </is>
      </c>
      <c r="I3126" s="12" t="inlineStr">
        <is>
          <t>Fibre / data</t>
        </is>
      </c>
      <c r="J3126" s="12" t="inlineStr">
        <is>
          <t>Fibre optic, single-mode, 12-fibre, armored, orange jacket</t>
        </is>
      </c>
      <c r="K3126" s="12" t="inlineStr">
        <is>
          <t>FO|12 SM|-</t>
        </is>
      </c>
      <c r="L3126" s="12" t="inlineStr">
        <is>
          <t>12 SM</t>
        </is>
      </c>
      <c r="M3126" s="12" t="inlineStr">
        <is>
          <t>-</t>
        </is>
      </c>
      <c r="N3126" s="12" t="n">
        <v>1</v>
      </c>
      <c r="O3126" s="12" t="n">
        <v>1</v>
      </c>
      <c r="P3126" s="12" t="n"/>
      <c r="Q3126" s="12" t="n"/>
      <c r="R3126" s="12" t="n"/>
      <c r="S3126" s="12" t="inlineStr">
        <is>
          <t>Tray</t>
        </is>
      </c>
      <c r="T3126" s="16" t="n">
        <v>2379</v>
      </c>
      <c r="U3126" s="16" t="n">
        <v>333</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G-F-0002</t>
        </is>
      </c>
      <c r="B3127" s="12" t="inlineStr">
        <is>
          <t>G</t>
        </is>
      </c>
      <c r="C3127" s="12" t="inlineStr">
        <is>
          <t>Carbon capture</t>
        </is>
      </c>
      <c r="D3127" s="12" t="inlineStr">
        <is>
          <t>Plant network / DCS fibre</t>
        </is>
      </c>
      <c r="E3127" s="12" t="inlineStr">
        <is>
          <t>CR</t>
        </is>
      </c>
      <c r="F3127" s="12" t="inlineStr">
        <is>
          <t>Control / admin building (main control room)</t>
        </is>
      </c>
      <c r="G3127" s="12" t="inlineStr"/>
      <c r="H3127" s="12" t="inlineStr">
        <is>
          <t>CCS MV switchgear building (VFDs)</t>
        </is>
      </c>
      <c r="I3127" s="12" t="inlineStr">
        <is>
          <t>Fibre / data</t>
        </is>
      </c>
      <c r="J3127" s="12" t="inlineStr">
        <is>
          <t>Fibre optic, single-mode, 12-fibre, armored, orange jacket</t>
        </is>
      </c>
      <c r="K3127" s="12" t="inlineStr">
        <is>
          <t>FO|12 SM|-</t>
        </is>
      </c>
      <c r="L3127" s="12" t="inlineStr">
        <is>
          <t>12 SM</t>
        </is>
      </c>
      <c r="M3127" s="12" t="inlineStr">
        <is>
          <t>-</t>
        </is>
      </c>
      <c r="N3127" s="12" t="n">
        <v>1</v>
      </c>
      <c r="O3127" s="12" t="n">
        <v>1</v>
      </c>
      <c r="P3127" s="12" t="n"/>
      <c r="Q3127" s="12" t="n"/>
      <c r="R3127" s="12" t="n"/>
      <c r="S3127" s="12" t="inlineStr">
        <is>
          <t>Duct bank</t>
        </is>
      </c>
      <c r="T3127" s="16" t="n">
        <v>2585</v>
      </c>
      <c r="U3127" s="16" t="n">
        <v>264</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G-F-0003</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CT MCC / VFD e-house</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Duct bank</t>
        </is>
      </c>
      <c r="T3128" s="16" t="n">
        <v>3200</v>
      </c>
      <c r="U3128" s="16" t="n">
        <v>264</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G-FA-0001</t>
        </is>
      </c>
      <c r="B3129" s="12" t="inlineStr">
        <is>
          <t>G</t>
        </is>
      </c>
      <c r="C3129" s="12" t="inlineStr">
        <is>
          <t>Carbon capture</t>
        </is>
      </c>
      <c r="D3129" s="12" t="inlineStr">
        <is>
          <t>Fire alarm / F&amp;G loop (to the local FACP / F&amp;G node)</t>
        </is>
      </c>
      <c r="E3129" s="12" t="inlineStr"/>
      <c r="F3129" s="12" t="inlineStr">
        <is>
          <t>CCS F&amp;G / control</t>
        </is>
      </c>
      <c r="G3129" s="12" t="inlineStr"/>
      <c r="H3129" s="12" t="inlineStr">
        <is>
          <t>CCS F&amp;G / control</t>
        </is>
      </c>
      <c r="I3129" s="12" t="inlineStr">
        <is>
          <t>Fire alarm</t>
        </is>
      </c>
      <c r="J3129" s="12" t="inlineStr">
        <is>
          <t>Fire alarm FPLR 2/C #14 shielded, red jacket (NEC 760)</t>
        </is>
      </c>
      <c r="K3129" s="12" t="inlineStr">
        <is>
          <t>FA|2/C|14</t>
        </is>
      </c>
      <c r="L3129" s="12" t="inlineStr">
        <is>
          <t>2/C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G-FA-0002</t>
        </is>
      </c>
      <c r="B3130" s="12" t="inlineStr">
        <is>
          <t>G</t>
        </is>
      </c>
      <c r="C3130" s="12" t="inlineStr">
        <is>
          <t>Carbon capture</t>
        </is>
      </c>
      <c r="D3130" s="12" t="inlineStr">
        <is>
          <t>Fire alarm / F&amp;G loop (to the local FACP / F&amp;G node)</t>
        </is>
      </c>
      <c r="E3130" s="12" t="inlineStr"/>
      <c r="F3130" s="12" t="inlineStr">
        <is>
          <t>CCS F&amp;G / control</t>
        </is>
      </c>
      <c r="G3130" s="12" t="inlineStr"/>
      <c r="H3130" s="12" t="inlineStr">
        <is>
          <t>CCS MV switchgear building (VFDs)</t>
        </is>
      </c>
      <c r="I3130" s="12" t="inlineStr">
        <is>
          <t>Fire alarm</t>
        </is>
      </c>
      <c r="J3130" s="12" t="inlineStr">
        <is>
          <t>Fire alarm FPLR 2/C #14 shielded, red jacket (NEC 760)</t>
        </is>
      </c>
      <c r="K3130" s="12" t="inlineStr">
        <is>
          <t>FA|2/C|14</t>
        </is>
      </c>
      <c r="L3130" s="12" t="inlineStr">
        <is>
          <t>2/C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G-FA-0003</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CT MCC / VFD e-house</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Duct bank</t>
        </is>
      </c>
      <c r="T3131" s="16" t="n">
        <v>821</v>
      </c>
      <c r="U3131" s="16" t="n">
        <v>101</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G-I-0001</t>
        </is>
      </c>
      <c r="B3132" s="12" t="inlineStr">
        <is>
          <t>G</t>
        </is>
      </c>
      <c r="C3132" s="12" t="inlineStr">
        <is>
          <t>Carbon capture</t>
        </is>
      </c>
      <c r="D3132" s="12" t="inlineStr">
        <is>
          <t>Analog instrument to JB JB-ABS-A-AI01: 20 x 1 pr (field cables)</t>
        </is>
      </c>
      <c r="E3132" s="12" t="inlineStr">
        <is>
          <t>ABS-A</t>
        </is>
      </c>
      <c r="F3132" s="12" t="inlineStr">
        <is>
          <t>Absorber A (62 ft dia x 262 ft, stack to 313 ft)</t>
        </is>
      </c>
      <c r="G3132" s="12" t="inlineStr">
        <is>
          <t>JB-ABS-A-AI01</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6" t="n">
        <v>212</v>
      </c>
      <c r="U3132" s="16" t="n">
        <v>10</v>
      </c>
      <c r="V3132" s="16">
        <f>ROUNDUP((T3132+U3132+2*'Read Me'!$B$13)*(1+'Read Me'!$B$12),-1)</f>
        <v/>
      </c>
      <c r="W3132" s="16">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G-I-0002</t>
        </is>
      </c>
      <c r="B3133" s="12" t="inlineStr">
        <is>
          <t>G</t>
        </is>
      </c>
      <c r="C3133" s="12" t="inlineStr">
        <is>
          <t>Carbon capture</t>
        </is>
      </c>
      <c r="D3133" s="12" t="inlineStr">
        <is>
          <t>Home run JB-ABS-A-AI01 to the control / marshalling room</t>
        </is>
      </c>
      <c r="E3133" s="12" t="inlineStr"/>
      <c r="F3133" s="12" t="inlineStr">
        <is>
          <t>CCS F&amp;G / control</t>
        </is>
      </c>
      <c r="G3133" s="12" t="inlineStr">
        <is>
          <t>JB-ABS-A-AI01</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6" t="n">
        <v>939</v>
      </c>
      <c r="U3133" s="16" t="n">
        <v>149</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G-I-0003</t>
        </is>
      </c>
      <c r="B3134" s="12" t="inlineStr">
        <is>
          <t>G</t>
        </is>
      </c>
      <c r="C3134" s="12" t="inlineStr">
        <is>
          <t>Carbon capture</t>
        </is>
      </c>
      <c r="D3134" s="12" t="inlineStr">
        <is>
          <t>Analog instrument to JB JB-ABS-A-AI02: 20 x 1 pr (field cables)</t>
        </is>
      </c>
      <c r="E3134" s="12" t="inlineStr">
        <is>
          <t>ABS-A</t>
        </is>
      </c>
      <c r="F3134" s="12" t="inlineStr">
        <is>
          <t>Absorber A (62 ft dia x 262 ft, stack to 313 ft)</t>
        </is>
      </c>
      <c r="G3134" s="12" t="inlineStr">
        <is>
          <t>JB-ABS-A-AI02</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G-I-0004</t>
        </is>
      </c>
      <c r="B3135" s="12" t="inlineStr">
        <is>
          <t>G</t>
        </is>
      </c>
      <c r="C3135" s="12" t="inlineStr">
        <is>
          <t>Carbon capture</t>
        </is>
      </c>
      <c r="D3135" s="12" t="inlineStr">
        <is>
          <t>Home run JB-ABS-A-AI02 to the control / marshalling room</t>
        </is>
      </c>
      <c r="E3135" s="12" t="inlineStr"/>
      <c r="F3135" s="12" t="inlineStr">
        <is>
          <t>CCS F&amp;G / control</t>
        </is>
      </c>
      <c r="G3135" s="12" t="inlineStr">
        <is>
          <t>JB-ABS-A-AI02</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G-I-0005</t>
        </is>
      </c>
      <c r="B3136" s="12" t="inlineStr">
        <is>
          <t>G</t>
        </is>
      </c>
      <c r="C3136" s="12" t="inlineStr">
        <is>
          <t>Carbon capture</t>
        </is>
      </c>
      <c r="D3136" s="12" t="inlineStr">
        <is>
          <t>Analog instrument to JB JB-ABS-A-AI03: 20 x 1 pr (field cables)</t>
        </is>
      </c>
      <c r="E3136" s="12" t="inlineStr">
        <is>
          <t>ABS-A</t>
        </is>
      </c>
      <c r="F3136" s="12" t="inlineStr">
        <is>
          <t>Absorber A (62 ft dia x 262 ft, stack to 313 ft)</t>
        </is>
      </c>
      <c r="G3136" s="12" t="inlineStr">
        <is>
          <t>JB-ABS-A-AI03</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G-I-0006</t>
        </is>
      </c>
      <c r="B3137" s="12" t="inlineStr">
        <is>
          <t>G</t>
        </is>
      </c>
      <c r="C3137" s="12" t="inlineStr">
        <is>
          <t>Carbon capture</t>
        </is>
      </c>
      <c r="D3137" s="12" t="inlineStr">
        <is>
          <t>Home run JB-ABS-A-AI03 to the control / marshalling room</t>
        </is>
      </c>
      <c r="E3137" s="12" t="inlineStr"/>
      <c r="F3137" s="12" t="inlineStr">
        <is>
          <t>CCS F&amp;G / control</t>
        </is>
      </c>
      <c r="G3137" s="12" t="inlineStr">
        <is>
          <t>JB-ABS-A-AI03</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G-I-0007</t>
        </is>
      </c>
      <c r="B3138" s="12" t="inlineStr">
        <is>
          <t>G</t>
        </is>
      </c>
      <c r="C3138" s="12" t="inlineStr">
        <is>
          <t>Carbon capture</t>
        </is>
      </c>
      <c r="D3138" s="12" t="inlineStr">
        <is>
          <t>Discrete device to JB JB-ABS-A-DI01: 20 x 1 pr (field cables)</t>
        </is>
      </c>
      <c r="E3138" s="12" t="inlineStr">
        <is>
          <t>ABS-A</t>
        </is>
      </c>
      <c r="F3138" s="12" t="inlineStr">
        <is>
          <t>Absorber A (62 ft dia x 262 ft, stack to 313 ft)</t>
        </is>
      </c>
      <c r="G3138" s="12" t="inlineStr">
        <is>
          <t>JB-ABS-A-DI01</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G-I-0008</t>
        </is>
      </c>
      <c r="B3139" s="12" t="inlineStr">
        <is>
          <t>G</t>
        </is>
      </c>
      <c r="C3139" s="12" t="inlineStr">
        <is>
          <t>Carbon capture</t>
        </is>
      </c>
      <c r="D3139" s="12" t="inlineStr">
        <is>
          <t>Home run JB-ABS-A-DI01 to the control / marshalling room</t>
        </is>
      </c>
      <c r="E3139" s="12" t="inlineStr"/>
      <c r="F3139" s="12" t="inlineStr">
        <is>
          <t>CCS F&amp;G / control</t>
        </is>
      </c>
      <c r="G3139" s="12" t="inlineStr">
        <is>
          <t>JB-ABS-A-DI01</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G-I-0009</t>
        </is>
      </c>
      <c r="B3140" s="12" t="inlineStr">
        <is>
          <t>G</t>
        </is>
      </c>
      <c r="C3140" s="12" t="inlineStr">
        <is>
          <t>Carbon capture</t>
        </is>
      </c>
      <c r="D3140" s="12" t="inlineStr">
        <is>
          <t>Discrete device to JB JB-ABS-A-DI02: 20 x 1 pr (field cables)</t>
        </is>
      </c>
      <c r="E3140" s="12" t="inlineStr">
        <is>
          <t>ABS-A</t>
        </is>
      </c>
      <c r="F3140" s="12" t="inlineStr">
        <is>
          <t>Absorber A (62 ft dia x 262 ft, stack to 313 ft)</t>
        </is>
      </c>
      <c r="G3140" s="12" t="inlineStr">
        <is>
          <t>JB-ABS-A-DI02</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G-I-0010</t>
        </is>
      </c>
      <c r="B3141" s="12" t="inlineStr">
        <is>
          <t>G</t>
        </is>
      </c>
      <c r="C3141" s="12" t="inlineStr">
        <is>
          <t>Carbon capture</t>
        </is>
      </c>
      <c r="D3141" s="12" t="inlineStr">
        <is>
          <t>Home run JB-ABS-A-DI02 to the control / marshalling room</t>
        </is>
      </c>
      <c r="E3141" s="12" t="inlineStr"/>
      <c r="F3141" s="12" t="inlineStr">
        <is>
          <t>CCS F&amp;G / control</t>
        </is>
      </c>
      <c r="G3141" s="12" t="inlineStr">
        <is>
          <t>JB-ABS-A-DI02</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G-I-0011</t>
        </is>
      </c>
      <c r="B3142" s="12" t="inlineStr">
        <is>
          <t>G</t>
        </is>
      </c>
      <c r="C3142" s="12" t="inlineStr">
        <is>
          <t>Carbon capture</t>
        </is>
      </c>
      <c r="D3142" s="12" t="inlineStr">
        <is>
          <t>Analog instrument to JB JB-Absorber A interco-AI01: 15 x 1 pr (field cables)</t>
        </is>
      </c>
      <c r="E3142" s="12" t="inlineStr"/>
      <c r="F3142" s="12" t="inlineStr">
        <is>
          <t>Absorber A intercooler (pumps + plate exchanger)</t>
        </is>
      </c>
      <c r="G3142" s="12" t="inlineStr">
        <is>
          <t>JB-Absorber A interco-AI01</t>
        </is>
      </c>
      <c r="H3142" s="12" t="inlineStr">
        <is>
          <t>Absorber A intercooler (pumps + plate exchanger)</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15</v>
      </c>
      <c r="O3142" s="12" t="n">
        <v>1</v>
      </c>
      <c r="P3142" s="12" t="n"/>
      <c r="Q3142" s="12" t="n"/>
      <c r="R3142" s="12" t="n"/>
      <c r="S3142" s="12" t="inlineStr">
        <is>
          <t>Tray / conduit</t>
        </is>
      </c>
      <c r="T3142" s="16" t="n">
        <v>55</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G-I-0012</t>
        </is>
      </c>
      <c r="B3143" s="12" t="inlineStr">
        <is>
          <t>G</t>
        </is>
      </c>
      <c r="C3143" s="12" t="inlineStr">
        <is>
          <t>Carbon capture</t>
        </is>
      </c>
      <c r="D3143" s="12" t="inlineStr">
        <is>
          <t>Home run JB-Absorber A interco-AI01 to the control / marshalling room</t>
        </is>
      </c>
      <c r="E3143" s="12" t="inlineStr"/>
      <c r="F3143" s="12" t="inlineStr">
        <is>
          <t>CCS F&amp;G / control</t>
        </is>
      </c>
      <c r="G3143" s="12" t="inlineStr">
        <is>
          <t>JB-Absorber A interco-AI01</t>
        </is>
      </c>
      <c r="H3143" s="12" t="inlineStr">
        <is>
          <t>Absorber A intercooler (pumps + plate exchanger)</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921</v>
      </c>
      <c r="U3143" s="16" t="n">
        <v>150</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G-I-0013</t>
        </is>
      </c>
      <c r="B3144" s="12" t="inlineStr">
        <is>
          <t>G</t>
        </is>
      </c>
      <c r="C3144" s="12" t="inlineStr">
        <is>
          <t>Carbon capture</t>
        </is>
      </c>
      <c r="D3144" s="12" t="inlineStr">
        <is>
          <t>Discrete device to JB JB-Absorber A interco-DI01: 15 x 1 pr (field cables)</t>
        </is>
      </c>
      <c r="E3144" s="12" t="inlineStr"/>
      <c r="F3144" s="12" t="inlineStr">
        <is>
          <t>Absorber A intercooler (pumps + plate exchanger)</t>
        </is>
      </c>
      <c r="G3144" s="12" t="inlineStr">
        <is>
          <t>JB-Absorber A interco-DI01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G-I-0014</t>
        </is>
      </c>
      <c r="B3145" s="12" t="inlineStr">
        <is>
          <t>G</t>
        </is>
      </c>
      <c r="C3145" s="12" t="inlineStr">
        <is>
          <t>Carbon capture</t>
        </is>
      </c>
      <c r="D3145" s="12" t="inlineStr">
        <is>
          <t>Home run JB-Absorber A interco-DI01 to the control / marshalling room</t>
        </is>
      </c>
      <c r="E3145" s="12" t="inlineStr"/>
      <c r="F3145" s="12" t="inlineStr">
        <is>
          <t>CCS F&amp;G / control</t>
        </is>
      </c>
      <c r="G3145" s="12" t="inlineStr">
        <is>
          <t>JB-Absorber A interco-DI01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G-I-0015</t>
        </is>
      </c>
      <c r="B3146" s="12" t="inlineStr">
        <is>
          <t>G</t>
        </is>
      </c>
      <c r="C3146" s="12" t="inlineStr">
        <is>
          <t>Carbon capture</t>
        </is>
      </c>
      <c r="D3146" s="12" t="inlineStr">
        <is>
          <t>Analog instrument to JB JB-ABS-B-AI01: 20 x 1 pr (field cables)</t>
        </is>
      </c>
      <c r="E3146" s="12" t="inlineStr">
        <is>
          <t>ABS-B</t>
        </is>
      </c>
      <c r="F3146" s="12" t="inlineStr">
        <is>
          <t>Absorber B (62 ft dia x 262 ft, stack to 313 ft)</t>
        </is>
      </c>
      <c r="G3146" s="12" t="inlineStr">
        <is>
          <t>JB-ABS-B-AI01</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6" t="n">
        <v>212</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G-I-0016</t>
        </is>
      </c>
      <c r="B3147" s="12" t="inlineStr">
        <is>
          <t>G</t>
        </is>
      </c>
      <c r="C3147" s="12" t="inlineStr">
        <is>
          <t>Carbon capture</t>
        </is>
      </c>
      <c r="D3147" s="12" t="inlineStr">
        <is>
          <t>Home run JB-ABS-B-AI01 to the control / marshalling room</t>
        </is>
      </c>
      <c r="E3147" s="12" t="inlineStr"/>
      <c r="F3147" s="12" t="inlineStr">
        <is>
          <t>CCS F&amp;G / control</t>
        </is>
      </c>
      <c r="G3147" s="12" t="inlineStr">
        <is>
          <t>JB-ABS-B-AI01</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779</v>
      </c>
      <c r="U3147" s="16" t="n">
        <v>149</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G-I-0017</t>
        </is>
      </c>
      <c r="B3148" s="12" t="inlineStr">
        <is>
          <t>G</t>
        </is>
      </c>
      <c r="C3148" s="12" t="inlineStr">
        <is>
          <t>Carbon capture</t>
        </is>
      </c>
      <c r="D3148" s="12" t="inlineStr">
        <is>
          <t>Analog instrument to JB JB-ABS-B-AI02: 20 x 1 pr (field cables)</t>
        </is>
      </c>
      <c r="E3148" s="12" t="inlineStr">
        <is>
          <t>ABS-B</t>
        </is>
      </c>
      <c r="F3148" s="12" t="inlineStr">
        <is>
          <t>Absorber B (62 ft dia x 262 ft, stack to 313 ft)</t>
        </is>
      </c>
      <c r="G3148" s="12" t="inlineStr">
        <is>
          <t>JB-ABS-B-AI02</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G-I-0018</t>
        </is>
      </c>
      <c r="B3149" s="12" t="inlineStr">
        <is>
          <t>G</t>
        </is>
      </c>
      <c r="C3149" s="12" t="inlineStr">
        <is>
          <t>Carbon capture</t>
        </is>
      </c>
      <c r="D3149" s="12" t="inlineStr">
        <is>
          <t>Home run JB-ABS-B-AI02 to the control / marshalling room</t>
        </is>
      </c>
      <c r="E3149" s="12" t="inlineStr"/>
      <c r="F3149" s="12" t="inlineStr">
        <is>
          <t>CCS F&amp;G / control</t>
        </is>
      </c>
      <c r="G3149" s="12" t="inlineStr">
        <is>
          <t>JB-ABS-B-AI02</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G-I-0019</t>
        </is>
      </c>
      <c r="B3150" s="12" t="inlineStr">
        <is>
          <t>G</t>
        </is>
      </c>
      <c r="C3150" s="12" t="inlineStr">
        <is>
          <t>Carbon capture</t>
        </is>
      </c>
      <c r="D3150" s="12" t="inlineStr">
        <is>
          <t>Analog instrument to JB JB-ABS-B-AI03: 20 x 1 pr (field cables)</t>
        </is>
      </c>
      <c r="E3150" s="12" t="inlineStr">
        <is>
          <t>ABS-B</t>
        </is>
      </c>
      <c r="F3150" s="12" t="inlineStr">
        <is>
          <t>Absorber B (62 ft dia x 262 ft, stack to 313 ft)</t>
        </is>
      </c>
      <c r="G3150" s="12" t="inlineStr">
        <is>
          <t>JB-ABS-B-AI03</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G-I-0020</t>
        </is>
      </c>
      <c r="B3151" s="12" t="inlineStr">
        <is>
          <t>G</t>
        </is>
      </c>
      <c r="C3151" s="12" t="inlineStr">
        <is>
          <t>Carbon capture</t>
        </is>
      </c>
      <c r="D3151" s="12" t="inlineStr">
        <is>
          <t>Home run JB-ABS-B-AI03 to the control / marshalling room</t>
        </is>
      </c>
      <c r="E3151" s="12" t="inlineStr"/>
      <c r="F3151" s="12" t="inlineStr">
        <is>
          <t>CCS F&amp;G / control</t>
        </is>
      </c>
      <c r="G3151" s="12" t="inlineStr">
        <is>
          <t>JB-ABS-B-AI03</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G-I-0021</t>
        </is>
      </c>
      <c r="B3152" s="12" t="inlineStr">
        <is>
          <t>G</t>
        </is>
      </c>
      <c r="C3152" s="12" t="inlineStr">
        <is>
          <t>Carbon capture</t>
        </is>
      </c>
      <c r="D3152" s="12" t="inlineStr">
        <is>
          <t>Discrete device to JB JB-ABS-B-DI01: 20 x 1 pr (field cables)</t>
        </is>
      </c>
      <c r="E3152" s="12" t="inlineStr">
        <is>
          <t>ABS-B</t>
        </is>
      </c>
      <c r="F3152" s="12" t="inlineStr">
        <is>
          <t>Absorber B (62 ft dia x 262 ft, stack to 313 ft)</t>
        </is>
      </c>
      <c r="G3152" s="12" t="inlineStr">
        <is>
          <t>JB-ABS-B-DI01</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G-I-0022</t>
        </is>
      </c>
      <c r="B3153" s="12" t="inlineStr">
        <is>
          <t>G</t>
        </is>
      </c>
      <c r="C3153" s="12" t="inlineStr">
        <is>
          <t>Carbon capture</t>
        </is>
      </c>
      <c r="D3153" s="12" t="inlineStr">
        <is>
          <t>Home run JB-ABS-B-DI01 to the control / marshalling room</t>
        </is>
      </c>
      <c r="E3153" s="12" t="inlineStr"/>
      <c r="F3153" s="12" t="inlineStr">
        <is>
          <t>CCS F&amp;G / control</t>
        </is>
      </c>
      <c r="G3153" s="12" t="inlineStr">
        <is>
          <t>JB-ABS-B-DI01</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G-I-0023</t>
        </is>
      </c>
      <c r="B3154" s="12" t="inlineStr">
        <is>
          <t>G</t>
        </is>
      </c>
      <c r="C3154" s="12" t="inlineStr">
        <is>
          <t>Carbon capture</t>
        </is>
      </c>
      <c r="D3154" s="12" t="inlineStr">
        <is>
          <t>Discrete device to JB JB-ABS-B-DI02: 20 x 1 pr (field cables)</t>
        </is>
      </c>
      <c r="E3154" s="12" t="inlineStr">
        <is>
          <t>ABS-B</t>
        </is>
      </c>
      <c r="F3154" s="12" t="inlineStr">
        <is>
          <t>Absorber B (62 ft dia x 262 ft, stack to 313 ft)</t>
        </is>
      </c>
      <c r="G3154" s="12" t="inlineStr">
        <is>
          <t>JB-ABS-B-DI02</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G-I-0024</t>
        </is>
      </c>
      <c r="B3155" s="12" t="inlineStr">
        <is>
          <t>G</t>
        </is>
      </c>
      <c r="C3155" s="12" t="inlineStr">
        <is>
          <t>Carbon capture</t>
        </is>
      </c>
      <c r="D3155" s="12" t="inlineStr">
        <is>
          <t>Home run JB-ABS-B-DI02 to the control / marshalling room</t>
        </is>
      </c>
      <c r="E3155" s="12" t="inlineStr"/>
      <c r="F3155" s="12" t="inlineStr">
        <is>
          <t>CCS F&amp;G / control</t>
        </is>
      </c>
      <c r="G3155" s="12" t="inlineStr">
        <is>
          <t>JB-ABS-B-DI02</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G-I-0025</t>
        </is>
      </c>
      <c r="B3156" s="12" t="inlineStr">
        <is>
          <t>G</t>
        </is>
      </c>
      <c r="C3156" s="12" t="inlineStr">
        <is>
          <t>Carbon capture</t>
        </is>
      </c>
      <c r="D3156" s="12" t="inlineStr">
        <is>
          <t>Analog instrument to JB JB-Absorber B interco-AI01: 15 x 1 pr (field cables)</t>
        </is>
      </c>
      <c r="E3156" s="12" t="inlineStr"/>
      <c r="F3156" s="12" t="inlineStr">
        <is>
          <t>Absorber B intercooler (pumps + plate exchanger)</t>
        </is>
      </c>
      <c r="G3156" s="12" t="inlineStr">
        <is>
          <t>JB-Absorber B interco-AI01</t>
        </is>
      </c>
      <c r="H3156" s="12" t="inlineStr">
        <is>
          <t>Absorber B intercooler (pumps + plate exchanger)</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15</v>
      </c>
      <c r="O3156" s="12" t="n">
        <v>1</v>
      </c>
      <c r="P3156" s="12" t="n"/>
      <c r="Q3156" s="12" t="n"/>
      <c r="R3156" s="12" t="n"/>
      <c r="S3156" s="12" t="inlineStr">
        <is>
          <t>Tray / conduit</t>
        </is>
      </c>
      <c r="T3156" s="16" t="n">
        <v>55</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G-I-0026</t>
        </is>
      </c>
      <c r="B3157" s="12" t="inlineStr">
        <is>
          <t>G</t>
        </is>
      </c>
      <c r="C3157" s="12" t="inlineStr">
        <is>
          <t>Carbon capture</t>
        </is>
      </c>
      <c r="D3157" s="12" t="inlineStr">
        <is>
          <t>Home run JB-Absorber B interco-AI01 to the control / marshalling room</t>
        </is>
      </c>
      <c r="E3157" s="12" t="inlineStr"/>
      <c r="F3157" s="12" t="inlineStr">
        <is>
          <t>CCS F&amp;G / control</t>
        </is>
      </c>
      <c r="G3157" s="12" t="inlineStr">
        <is>
          <t>JB-Absorber B interco-AI01</t>
        </is>
      </c>
      <c r="H3157" s="12" t="inlineStr">
        <is>
          <t>Absorber B intercooler (pumps + plate exchanger)</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761</v>
      </c>
      <c r="U3157" s="16" t="n">
        <v>150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G-I-0027</t>
        </is>
      </c>
      <c r="B3158" s="12" t="inlineStr">
        <is>
          <t>G</t>
        </is>
      </c>
      <c r="C3158" s="12" t="inlineStr">
        <is>
          <t>Carbon capture</t>
        </is>
      </c>
      <c r="D3158" s="12" t="inlineStr">
        <is>
          <t>Discrete device to JB JB-Absorber B interco-DI01: 15 x 1 pr (field cables)</t>
        </is>
      </c>
      <c r="E3158" s="12" t="inlineStr"/>
      <c r="F3158" s="12" t="inlineStr">
        <is>
          <t>Absorber B intercooler (pumps + plate exchanger)</t>
        </is>
      </c>
      <c r="G3158" s="12" t="inlineStr">
        <is>
          <t>JB-Absorber B interco-DI01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G-I-0028</t>
        </is>
      </c>
      <c r="B3159" s="12" t="inlineStr">
        <is>
          <t>G</t>
        </is>
      </c>
      <c r="C3159" s="12" t="inlineStr">
        <is>
          <t>Carbon capture</t>
        </is>
      </c>
      <c r="D3159" s="12" t="inlineStr">
        <is>
          <t>Home run JB-Absorber B interco-DI01 to the control / marshalling room</t>
        </is>
      </c>
      <c r="E3159" s="12" t="inlineStr"/>
      <c r="F3159" s="12" t="inlineStr">
        <is>
          <t>CCS F&amp;G / control</t>
        </is>
      </c>
      <c r="G3159" s="12" t="inlineStr">
        <is>
          <t>JB-Absorber B interco-DI01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G-I-0029</t>
        </is>
      </c>
      <c r="B3160" s="12" t="inlineStr">
        <is>
          <t>G</t>
        </is>
      </c>
      <c r="C3160" s="12" t="inlineStr">
        <is>
          <t>Carbon capture</t>
        </is>
      </c>
      <c r="D3160" s="12" t="inlineStr">
        <is>
          <t>Analog instrument to JB JB-ABS-C-AI01: 20 x 1 pr (field cables)</t>
        </is>
      </c>
      <c r="E3160" s="12" t="inlineStr">
        <is>
          <t>ABS-C</t>
        </is>
      </c>
      <c r="F3160" s="12" t="inlineStr">
        <is>
          <t>Absorber C (62 ft dia x 262 ft, stack to 313 ft)</t>
        </is>
      </c>
      <c r="G3160" s="12" t="inlineStr">
        <is>
          <t>JB-ABS-C-AI01</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6" t="n">
        <v>212</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G-I-0030</t>
        </is>
      </c>
      <c r="B3161" s="12" t="inlineStr">
        <is>
          <t>G</t>
        </is>
      </c>
      <c r="C3161" s="12" t="inlineStr">
        <is>
          <t>Carbon capture</t>
        </is>
      </c>
      <c r="D3161" s="12" t="inlineStr">
        <is>
          <t>Home run JB-ABS-C-AI01 to the control / marshalling room</t>
        </is>
      </c>
      <c r="E3161" s="12" t="inlineStr"/>
      <c r="F3161" s="12" t="inlineStr">
        <is>
          <t>CCS F&amp;G / control</t>
        </is>
      </c>
      <c r="G3161" s="12" t="inlineStr">
        <is>
          <t>JB-ABS-C-AI01</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6" t="n">
        <v>619</v>
      </c>
      <c r="U3161" s="16" t="n">
        <v>149</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G-I-0031</t>
        </is>
      </c>
      <c r="B3162" s="12" t="inlineStr">
        <is>
          <t>G</t>
        </is>
      </c>
      <c r="C3162" s="12" t="inlineStr">
        <is>
          <t>Carbon capture</t>
        </is>
      </c>
      <c r="D3162" s="12" t="inlineStr">
        <is>
          <t>Analog instrument to JB JB-ABS-C-AI02: 20 x 1 pr (field cables)</t>
        </is>
      </c>
      <c r="E3162" s="12" t="inlineStr">
        <is>
          <t>ABS-C</t>
        </is>
      </c>
      <c r="F3162" s="12" t="inlineStr">
        <is>
          <t>Absorber C (62 ft dia x 262 ft, stack to 313 ft)</t>
        </is>
      </c>
      <c r="G3162" s="12" t="inlineStr">
        <is>
          <t>JB-ABS-C-AI02</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G-I-0032</t>
        </is>
      </c>
      <c r="B3163" s="12" t="inlineStr">
        <is>
          <t>G</t>
        </is>
      </c>
      <c r="C3163" s="12" t="inlineStr">
        <is>
          <t>Carbon capture</t>
        </is>
      </c>
      <c r="D3163" s="12" t="inlineStr">
        <is>
          <t>Home run JB-ABS-C-AI02 to the control / marshalling room</t>
        </is>
      </c>
      <c r="E3163" s="12" t="inlineStr"/>
      <c r="F3163" s="12" t="inlineStr">
        <is>
          <t>CCS F&amp;G / control</t>
        </is>
      </c>
      <c r="G3163" s="12" t="inlineStr">
        <is>
          <t>JB-ABS-C-AI02</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G-I-0033</t>
        </is>
      </c>
      <c r="B3164" s="12" t="inlineStr">
        <is>
          <t>G</t>
        </is>
      </c>
      <c r="C3164" s="12" t="inlineStr">
        <is>
          <t>Carbon capture</t>
        </is>
      </c>
      <c r="D3164" s="12" t="inlineStr">
        <is>
          <t>Analog instrument to JB JB-ABS-C-AI03: 20 x 1 pr (field cables)</t>
        </is>
      </c>
      <c r="E3164" s="12" t="inlineStr">
        <is>
          <t>ABS-C</t>
        </is>
      </c>
      <c r="F3164" s="12" t="inlineStr">
        <is>
          <t>Absorber C (62 ft dia x 262 ft, stack to 313 ft)</t>
        </is>
      </c>
      <c r="G3164" s="12" t="inlineStr">
        <is>
          <t>JB-ABS-C-AI03</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G-I-0034</t>
        </is>
      </c>
      <c r="B3165" s="12" t="inlineStr">
        <is>
          <t>G</t>
        </is>
      </c>
      <c r="C3165" s="12" t="inlineStr">
        <is>
          <t>Carbon capture</t>
        </is>
      </c>
      <c r="D3165" s="12" t="inlineStr">
        <is>
          <t>Home run JB-ABS-C-AI03 to the control / marshalling room</t>
        </is>
      </c>
      <c r="E3165" s="12" t="inlineStr"/>
      <c r="F3165" s="12" t="inlineStr">
        <is>
          <t>CCS F&amp;G / control</t>
        </is>
      </c>
      <c r="G3165" s="12" t="inlineStr">
        <is>
          <t>JB-ABS-C-AI03</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G-I-0035</t>
        </is>
      </c>
      <c r="B3166" s="12" t="inlineStr">
        <is>
          <t>G</t>
        </is>
      </c>
      <c r="C3166" s="12" t="inlineStr">
        <is>
          <t>Carbon capture</t>
        </is>
      </c>
      <c r="D3166" s="12" t="inlineStr">
        <is>
          <t>Discrete device to JB JB-ABS-C-DI01: 20 x 1 pr (field cables)</t>
        </is>
      </c>
      <c r="E3166" s="12" t="inlineStr">
        <is>
          <t>ABS-C</t>
        </is>
      </c>
      <c r="F3166" s="12" t="inlineStr">
        <is>
          <t>Absorber C (62 ft dia x 262 ft, stack to 313 ft)</t>
        </is>
      </c>
      <c r="G3166" s="12" t="inlineStr">
        <is>
          <t>JB-ABS-C-DI01</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G-I-0036</t>
        </is>
      </c>
      <c r="B3167" s="12" t="inlineStr">
        <is>
          <t>G</t>
        </is>
      </c>
      <c r="C3167" s="12" t="inlineStr">
        <is>
          <t>Carbon capture</t>
        </is>
      </c>
      <c r="D3167" s="12" t="inlineStr">
        <is>
          <t>Home run JB-ABS-C-DI01 to the control / marshalling room</t>
        </is>
      </c>
      <c r="E3167" s="12" t="inlineStr"/>
      <c r="F3167" s="12" t="inlineStr">
        <is>
          <t>CCS F&amp;G / control</t>
        </is>
      </c>
      <c r="G3167" s="12" t="inlineStr">
        <is>
          <t>JB-ABS-C-DI01</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G-I-0037</t>
        </is>
      </c>
      <c r="B3168" s="12" t="inlineStr">
        <is>
          <t>G</t>
        </is>
      </c>
      <c r="C3168" s="12" t="inlineStr">
        <is>
          <t>Carbon capture</t>
        </is>
      </c>
      <c r="D3168" s="12" t="inlineStr">
        <is>
          <t>Discrete device to JB JB-ABS-C-DI02: 20 x 1 pr (field cables)</t>
        </is>
      </c>
      <c r="E3168" s="12" t="inlineStr">
        <is>
          <t>ABS-C</t>
        </is>
      </c>
      <c r="F3168" s="12" t="inlineStr">
        <is>
          <t>Absorber C (62 ft dia x 262 ft, stack to 313 ft)</t>
        </is>
      </c>
      <c r="G3168" s="12" t="inlineStr">
        <is>
          <t>JB-ABS-C-DI02</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G-I-0038</t>
        </is>
      </c>
      <c r="B3169" s="12" t="inlineStr">
        <is>
          <t>G</t>
        </is>
      </c>
      <c r="C3169" s="12" t="inlineStr">
        <is>
          <t>Carbon capture</t>
        </is>
      </c>
      <c r="D3169" s="12" t="inlineStr">
        <is>
          <t>Home run JB-ABS-C-DI02 to the control / marshalling room</t>
        </is>
      </c>
      <c r="E3169" s="12" t="inlineStr"/>
      <c r="F3169" s="12" t="inlineStr">
        <is>
          <t>CCS F&amp;G / control</t>
        </is>
      </c>
      <c r="G3169" s="12" t="inlineStr">
        <is>
          <t>JB-ABS-C-DI02</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G-I-0039</t>
        </is>
      </c>
      <c r="B3170" s="12" t="inlineStr">
        <is>
          <t>G</t>
        </is>
      </c>
      <c r="C3170" s="12" t="inlineStr">
        <is>
          <t>Carbon capture</t>
        </is>
      </c>
      <c r="D3170" s="12" t="inlineStr">
        <is>
          <t>Analog instrument to JB JB-Absorber C interco-AI01: 15 x 1 pr (field cables)</t>
        </is>
      </c>
      <c r="E3170" s="12" t="inlineStr"/>
      <c r="F3170" s="12" t="inlineStr">
        <is>
          <t>Absorber C intercooler (pumps + plate exchanger)</t>
        </is>
      </c>
      <c r="G3170" s="12" t="inlineStr">
        <is>
          <t>JB-Absorber C interco-AI01</t>
        </is>
      </c>
      <c r="H3170" s="12" t="inlineStr">
        <is>
          <t>Absorber C intercooler (pumps + plate exchanger)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15</v>
      </c>
      <c r="O3170" s="12" t="n">
        <v>1</v>
      </c>
      <c r="P3170" s="12" t="n"/>
      <c r="Q3170" s="12" t="n"/>
      <c r="R3170" s="12" t="n"/>
      <c r="S3170" s="12" t="inlineStr">
        <is>
          <t>Tray / conduit</t>
        </is>
      </c>
      <c r="T3170" s="16" t="n">
        <v>55</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G-I-0040</t>
        </is>
      </c>
      <c r="B3171" s="12" t="inlineStr">
        <is>
          <t>G</t>
        </is>
      </c>
      <c r="C3171" s="12" t="inlineStr">
        <is>
          <t>Carbon capture</t>
        </is>
      </c>
      <c r="D3171" s="12" t="inlineStr">
        <is>
          <t>Home run JB-Absorber C interco-AI01 to the control / marshalling room</t>
        </is>
      </c>
      <c r="E3171" s="12" t="inlineStr"/>
      <c r="F3171" s="12" t="inlineStr">
        <is>
          <t>CCS F&amp;G / control</t>
        </is>
      </c>
      <c r="G3171" s="12" t="inlineStr">
        <is>
          <t>JB-Absorber C interco-AI01</t>
        </is>
      </c>
      <c r="H3171" s="12" t="inlineStr">
        <is>
          <t>Absorber C intercooler (pumps + plate exchanger)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601</v>
      </c>
      <c r="U3171" s="16" t="n">
        <v>150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G-I-0041</t>
        </is>
      </c>
      <c r="B3172" s="12" t="inlineStr">
        <is>
          <t>G</t>
        </is>
      </c>
      <c r="C3172" s="12" t="inlineStr">
        <is>
          <t>Carbon capture</t>
        </is>
      </c>
      <c r="D3172" s="12" t="inlineStr">
        <is>
          <t>Discrete device to JB JB-Absorber C interco-DI01: 15 x 1 pr (field cables)</t>
        </is>
      </c>
      <c r="E3172" s="12" t="inlineStr"/>
      <c r="F3172" s="12" t="inlineStr">
        <is>
          <t>Absorber C intercooler (pumps + plate exchanger)</t>
        </is>
      </c>
      <c r="G3172" s="12" t="inlineStr">
        <is>
          <t>JB-Absorber C interco-DI01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G-I-0042</t>
        </is>
      </c>
      <c r="B3173" s="12" t="inlineStr">
        <is>
          <t>G</t>
        </is>
      </c>
      <c r="C3173" s="12" t="inlineStr">
        <is>
          <t>Carbon capture</t>
        </is>
      </c>
      <c r="D3173" s="12" t="inlineStr">
        <is>
          <t>Home run JB-Absorber C interco-DI01 to the control / marshalling room</t>
        </is>
      </c>
      <c r="E3173" s="12" t="inlineStr"/>
      <c r="F3173" s="12" t="inlineStr">
        <is>
          <t>CCS F&amp;G / control</t>
        </is>
      </c>
      <c r="G3173" s="12" t="inlineStr">
        <is>
          <t>JB-Absorber C interco-DI01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G-I-0043</t>
        </is>
      </c>
      <c r="B3174" s="12" t="inlineStr">
        <is>
          <t>G</t>
        </is>
      </c>
      <c r="C3174" s="12" t="inlineStr">
        <is>
          <t>Carbon capture</t>
        </is>
      </c>
      <c r="D3174" s="12" t="inlineStr">
        <is>
          <t>Analog instrument to JB JB-Activated-carbon f-AI01: 6 x 1 pr (field cables)</t>
        </is>
      </c>
      <c r="E3174" s="12" t="inlineStr"/>
      <c r="F3174" s="12" t="inlineStr">
        <is>
          <t>Activated-carbon filter</t>
        </is>
      </c>
      <c r="G3174" s="12" t="inlineStr">
        <is>
          <t>JB-Activated-carbon f-AI01</t>
        </is>
      </c>
      <c r="H3174" s="12" t="inlineStr">
        <is>
          <t>Activated-carbon filter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6</v>
      </c>
      <c r="O3174" s="12" t="n">
        <v>1</v>
      </c>
      <c r="P3174" s="12" t="n"/>
      <c r="Q3174" s="12" t="n"/>
      <c r="R3174" s="12" t="n"/>
      <c r="S3174" s="12" t="inlineStr">
        <is>
          <t>Tray / conduit</t>
        </is>
      </c>
      <c r="T3174" s="16" t="n">
        <v>91</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G-I-0044</t>
        </is>
      </c>
      <c r="B3175" s="12" t="inlineStr">
        <is>
          <t>G</t>
        </is>
      </c>
      <c r="C3175" s="12" t="inlineStr">
        <is>
          <t>Carbon capture</t>
        </is>
      </c>
      <c r="D3175" s="12" t="inlineStr">
        <is>
          <t>Home run JB-Activated-carbon f-AI01 to the control / marshalling room</t>
        </is>
      </c>
      <c r="E3175" s="12" t="inlineStr"/>
      <c r="F3175" s="12" t="inlineStr">
        <is>
          <t>CCS F&amp;G / control</t>
        </is>
      </c>
      <c r="G3175" s="12" t="inlineStr">
        <is>
          <t>JB-Activated-carbon f-AI01</t>
        </is>
      </c>
      <c r="H3175" s="12" t="inlineStr">
        <is>
          <t>Activated-carbon filter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185</v>
      </c>
      <c r="U3175" s="16" t="n">
        <v>112</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G-I-0045</t>
        </is>
      </c>
      <c r="B3176" s="12" t="inlineStr">
        <is>
          <t>G</t>
        </is>
      </c>
      <c r="C3176" s="12" t="inlineStr">
        <is>
          <t>Carbon capture</t>
        </is>
      </c>
      <c r="D3176" s="12" t="inlineStr">
        <is>
          <t>Discrete device to JB JB-Activated-carbon f-DI01: 6 x 1 pr (field cables)</t>
        </is>
      </c>
      <c r="E3176" s="12" t="inlineStr"/>
      <c r="F3176" s="12" t="inlineStr">
        <is>
          <t>Activated-carbon filter</t>
        </is>
      </c>
      <c r="G3176" s="12" t="inlineStr">
        <is>
          <t>JB-Activated-carbon f-DI01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G-I-0046</t>
        </is>
      </c>
      <c r="B3177" s="12" t="inlineStr">
        <is>
          <t>G</t>
        </is>
      </c>
      <c r="C3177" s="12" t="inlineStr">
        <is>
          <t>Carbon capture</t>
        </is>
      </c>
      <c r="D3177" s="12" t="inlineStr">
        <is>
          <t>Home run JB-Activated-carbon f-DI01 to the control / marshalling room</t>
        </is>
      </c>
      <c r="E3177" s="12" t="inlineStr"/>
      <c r="F3177" s="12" t="inlineStr">
        <is>
          <t>CCS F&amp;G / control</t>
        </is>
      </c>
      <c r="G3177" s="12" t="inlineStr">
        <is>
          <t>JB-Activated-carbon f-DI01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G-I-0047</t>
        </is>
      </c>
      <c r="B3178" s="12" t="inlineStr">
        <is>
          <t>G</t>
        </is>
      </c>
      <c r="C3178" s="12" t="inlineStr">
        <is>
          <t>Carbon capture</t>
        </is>
      </c>
      <c r="D3178" s="12" t="inlineStr">
        <is>
          <t>Analog instrument to JB JB-BF-A-AI01: 20 x 1 pr (field cables)</t>
        </is>
      </c>
      <c r="E3178" s="12" t="inlineStr">
        <is>
          <t>BF-A</t>
        </is>
      </c>
      <c r="F3178" s="12" t="inlineStr">
        <is>
          <t>BF-A: booster fan (~16 MW)</t>
        </is>
      </c>
      <c r="G3178" s="12" t="inlineStr">
        <is>
          <t>JB-BF-A-AI01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6" t="n">
        <v>82</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G-I-0048</t>
        </is>
      </c>
      <c r="B3179" s="12" t="inlineStr">
        <is>
          <t>G</t>
        </is>
      </c>
      <c r="C3179" s="12" t="inlineStr">
        <is>
          <t>Carbon capture</t>
        </is>
      </c>
      <c r="D3179" s="12" t="inlineStr">
        <is>
          <t>Home run JB-BF-A-AI01 to the control / marshalling room</t>
        </is>
      </c>
      <c r="E3179" s="12" t="inlineStr"/>
      <c r="F3179" s="12" t="inlineStr">
        <is>
          <t>CCS F&amp;G / control</t>
        </is>
      </c>
      <c r="G3179" s="12" t="inlineStr">
        <is>
          <t>JB-BF-A-AI01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861</v>
      </c>
      <c r="U3179" s="16" t="n">
        <v>101</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G-I-0049</t>
        </is>
      </c>
      <c r="B3180" s="12" t="inlineStr">
        <is>
          <t>G</t>
        </is>
      </c>
      <c r="C3180" s="12" t="inlineStr">
        <is>
          <t>Carbon capture</t>
        </is>
      </c>
      <c r="D3180" s="12" t="inlineStr">
        <is>
          <t>Analog instrument to JB JB-BF-A-AI02: 10 x 1 pr (field cables)</t>
        </is>
      </c>
      <c r="E3180" s="12" t="inlineStr">
        <is>
          <t>BF-A</t>
        </is>
      </c>
      <c r="F3180" s="12" t="inlineStr">
        <is>
          <t>BF-A: booster fan (~16 MW)</t>
        </is>
      </c>
      <c r="G3180" s="12" t="inlineStr">
        <is>
          <t>JB-BF-A-AI02</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10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G-I-0050</t>
        </is>
      </c>
      <c r="B3181" s="12" t="inlineStr">
        <is>
          <t>G</t>
        </is>
      </c>
      <c r="C3181" s="12" t="inlineStr">
        <is>
          <t>Carbon capture</t>
        </is>
      </c>
      <c r="D3181" s="12" t="inlineStr">
        <is>
          <t>Home run JB-BF-A-AI02 to the control / marshalling room</t>
        </is>
      </c>
      <c r="E3181" s="12" t="inlineStr"/>
      <c r="F3181" s="12" t="inlineStr">
        <is>
          <t>CCS F&amp;G / control</t>
        </is>
      </c>
      <c r="G3181" s="12" t="inlineStr">
        <is>
          <t>JB-BF-A-AI02</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G-I-0051</t>
        </is>
      </c>
      <c r="B3182" s="12" t="inlineStr">
        <is>
          <t>G</t>
        </is>
      </c>
      <c r="C3182" s="12" t="inlineStr">
        <is>
          <t>Carbon capture</t>
        </is>
      </c>
      <c r="D3182" s="12" t="inlineStr">
        <is>
          <t>Discrete device to JB JB-BF-A-DI01: 20 x 1 pr (field cables)</t>
        </is>
      </c>
      <c r="E3182" s="12" t="inlineStr">
        <is>
          <t>BF-A</t>
        </is>
      </c>
      <c r="F3182" s="12" t="inlineStr">
        <is>
          <t>BF-A: booster fan (~16 MW)</t>
        </is>
      </c>
      <c r="G3182" s="12" t="inlineStr">
        <is>
          <t>JB-BF-A-DI01</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G-I-0052</t>
        </is>
      </c>
      <c r="B3183" s="12" t="inlineStr">
        <is>
          <t>G</t>
        </is>
      </c>
      <c r="C3183" s="12" t="inlineStr">
        <is>
          <t>Carbon capture</t>
        </is>
      </c>
      <c r="D3183" s="12" t="inlineStr">
        <is>
          <t>Home run JB-BF-A-DI01 to the control / marshalling room</t>
        </is>
      </c>
      <c r="E3183" s="12" t="inlineStr"/>
      <c r="F3183" s="12" t="inlineStr">
        <is>
          <t>CCS F&amp;G / control</t>
        </is>
      </c>
      <c r="G3183" s="12" t="inlineStr">
        <is>
          <t>JB-BF-A-DI01</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G-I-0053</t>
        </is>
      </c>
      <c r="B3184" s="12" t="inlineStr">
        <is>
          <t>G</t>
        </is>
      </c>
      <c r="C3184" s="12" t="inlineStr">
        <is>
          <t>Carbon capture</t>
        </is>
      </c>
      <c r="D3184" s="12" t="inlineStr">
        <is>
          <t>RTD to JB JB-BF-A-RTD01: 10 x 1 tri (field cables)</t>
        </is>
      </c>
      <c r="E3184" s="12" t="inlineStr">
        <is>
          <t>BF-A</t>
        </is>
      </c>
      <c r="F3184" s="12" t="inlineStr">
        <is>
          <t>BF-A: booster fan (~16 MW)</t>
        </is>
      </c>
      <c r="G3184" s="12" t="inlineStr">
        <is>
          <t>JB-BF-A-RTD01</t>
        </is>
      </c>
      <c r="H3184" s="12" t="inlineStr">
        <is>
          <t>BF-A: booster fan (~16 MW)</t>
        </is>
      </c>
      <c r="I3184" s="12" t="inlineStr">
        <is>
          <t>Instrumentation</t>
        </is>
      </c>
      <c r="J3184" s="12" t="inlineStr">
        <is>
          <t>RTD cable, #18 shielded triads, PLTC</t>
        </is>
      </c>
      <c r="K3184" s="12" t="inlineStr">
        <is>
          <t>RTD|1 tri|18</t>
        </is>
      </c>
      <c r="L3184" s="12" t="inlineStr">
        <is>
          <t>1 tri</t>
        </is>
      </c>
      <c r="M3184" s="12" t="inlineStr">
        <is>
          <t>18</t>
        </is>
      </c>
      <c r="N3184" s="12" t="n">
        <v>10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G-I-0054</t>
        </is>
      </c>
      <c r="B3185" s="12" t="inlineStr">
        <is>
          <t>G</t>
        </is>
      </c>
      <c r="C3185" s="12" t="inlineStr">
        <is>
          <t>Carbon capture</t>
        </is>
      </c>
      <c r="D3185" s="12" t="inlineStr">
        <is>
          <t>Home run JB-BF-A-RTD01 to the control / marshalling room</t>
        </is>
      </c>
      <c r="E3185" s="12" t="inlineStr"/>
      <c r="F3185" s="12" t="inlineStr">
        <is>
          <t>CCS F&amp;G / control</t>
        </is>
      </c>
      <c r="G3185" s="12" t="inlineStr">
        <is>
          <t>JB-BF-A-RTD01</t>
        </is>
      </c>
      <c r="H3185" s="12" t="inlineStr">
        <is>
          <t>BF-A: booster fan (~16 MW)</t>
        </is>
      </c>
      <c r="I3185" s="12" t="inlineStr">
        <is>
          <t>Instrumentation</t>
        </is>
      </c>
      <c r="J3185" s="12" t="inlineStr">
        <is>
          <t>RTD cable, #18 shielded triads, PLTC</t>
        </is>
      </c>
      <c r="K3185" s="12" t="inlineStr">
        <is>
          <t>RTD|12 tri|18</t>
        </is>
      </c>
      <c r="L3185" s="12" t="inlineStr">
        <is>
          <t>12 tri</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G-I-0055</t>
        </is>
      </c>
      <c r="B3186" s="12" t="inlineStr">
        <is>
          <t>G</t>
        </is>
      </c>
      <c r="C3186" s="12" t="inlineStr">
        <is>
          <t>Carbon capture</t>
        </is>
      </c>
      <c r="D3186" s="12" t="inlineStr">
        <is>
          <t>RTD to JB JB-BF-A-RTD02: 8 x 1 tri (field cables)</t>
        </is>
      </c>
      <c r="E3186" s="12" t="inlineStr">
        <is>
          <t>BF-A</t>
        </is>
      </c>
      <c r="F3186" s="12" t="inlineStr">
        <is>
          <t>BF-A: booster fan (~16 MW)</t>
        </is>
      </c>
      <c r="G3186" s="12" t="inlineStr">
        <is>
          <t>JB-BF-A-RTD02</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8</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G-I-0056</t>
        </is>
      </c>
      <c r="B3187" s="12" t="inlineStr">
        <is>
          <t>G</t>
        </is>
      </c>
      <c r="C3187" s="12" t="inlineStr">
        <is>
          <t>Carbon capture</t>
        </is>
      </c>
      <c r="D3187" s="12" t="inlineStr">
        <is>
          <t>Home run JB-BF-A-RTD02 to the control / marshalling room</t>
        </is>
      </c>
      <c r="E3187" s="12" t="inlineStr"/>
      <c r="F3187" s="12" t="inlineStr">
        <is>
          <t>CCS F&amp;G / control</t>
        </is>
      </c>
      <c r="G3187" s="12" t="inlineStr">
        <is>
          <t>JB-BF-A-RTD02</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G-I-0057</t>
        </is>
      </c>
      <c r="B3188" s="12" t="inlineStr">
        <is>
          <t>G</t>
        </is>
      </c>
      <c r="C3188" s="12" t="inlineStr">
        <is>
          <t>Carbon capture</t>
        </is>
      </c>
      <c r="D3188" s="12" t="inlineStr">
        <is>
          <t>Analog instrument to JB JB-BF-B-AI01: 20 x 1 pr (field cables)</t>
        </is>
      </c>
      <c r="E3188" s="12" t="inlineStr">
        <is>
          <t>BF-B</t>
        </is>
      </c>
      <c r="F3188" s="12" t="inlineStr">
        <is>
          <t>BF-B: booster fan (~16 MW)</t>
        </is>
      </c>
      <c r="G3188" s="12" t="inlineStr">
        <is>
          <t>JB-BF-B-AI01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G-I-0058</t>
        </is>
      </c>
      <c r="B3189" s="12" t="inlineStr">
        <is>
          <t>G</t>
        </is>
      </c>
      <c r="C3189" s="12" t="inlineStr">
        <is>
          <t>Carbon capture</t>
        </is>
      </c>
      <c r="D3189" s="12" t="inlineStr">
        <is>
          <t>Home run JB-BF-B-AI01 to the control / marshalling room</t>
        </is>
      </c>
      <c r="E3189" s="12" t="inlineStr"/>
      <c r="F3189" s="12" t="inlineStr">
        <is>
          <t>CCS F&amp;G / control</t>
        </is>
      </c>
      <c r="G3189" s="12" t="inlineStr">
        <is>
          <t>JB-BF-B-AI01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6" t="n">
        <v>701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G-I-0059</t>
        </is>
      </c>
      <c r="B3190" s="12" t="inlineStr">
        <is>
          <t>G</t>
        </is>
      </c>
      <c r="C3190" s="12" t="inlineStr">
        <is>
          <t>Carbon capture</t>
        </is>
      </c>
      <c r="D3190" s="12" t="inlineStr">
        <is>
          <t>Analog instrument to JB JB-BF-B-AI02: 10 x 1 pr (field cables)</t>
        </is>
      </c>
      <c r="E3190" s="12" t="inlineStr">
        <is>
          <t>BF-B</t>
        </is>
      </c>
      <c r="F3190" s="12" t="inlineStr">
        <is>
          <t>BF-B: booster fan (~16 MW)</t>
        </is>
      </c>
      <c r="G3190" s="12" t="inlineStr">
        <is>
          <t>JB-BF-B-AI02</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G-I-0060</t>
        </is>
      </c>
      <c r="B3191" s="12" t="inlineStr">
        <is>
          <t>G</t>
        </is>
      </c>
      <c r="C3191" s="12" t="inlineStr">
        <is>
          <t>Carbon capture</t>
        </is>
      </c>
      <c r="D3191" s="12" t="inlineStr">
        <is>
          <t>Home run JB-BF-B-AI02 to the control / marshalling room</t>
        </is>
      </c>
      <c r="E3191" s="12" t="inlineStr"/>
      <c r="F3191" s="12" t="inlineStr">
        <is>
          <t>CCS F&amp;G / control</t>
        </is>
      </c>
      <c r="G3191" s="12" t="inlineStr">
        <is>
          <t>JB-BF-B-AI02</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G-I-0061</t>
        </is>
      </c>
      <c r="B3192" s="12" t="inlineStr">
        <is>
          <t>G</t>
        </is>
      </c>
      <c r="C3192" s="12" t="inlineStr">
        <is>
          <t>Carbon capture</t>
        </is>
      </c>
      <c r="D3192" s="12" t="inlineStr">
        <is>
          <t>Discrete device to JB JB-BF-B-DI01: 20 x 1 pr (field cables)</t>
        </is>
      </c>
      <c r="E3192" s="12" t="inlineStr">
        <is>
          <t>BF-B</t>
        </is>
      </c>
      <c r="F3192" s="12" t="inlineStr">
        <is>
          <t>BF-B: booster fan (~16 MW)</t>
        </is>
      </c>
      <c r="G3192" s="12" t="inlineStr">
        <is>
          <t>JB-BF-B-DI01</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20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G-I-0062</t>
        </is>
      </c>
      <c r="B3193" s="12" t="inlineStr">
        <is>
          <t>G</t>
        </is>
      </c>
      <c r="C3193" s="12" t="inlineStr">
        <is>
          <t>Carbon capture</t>
        </is>
      </c>
      <c r="D3193" s="12" t="inlineStr">
        <is>
          <t>Home run JB-BF-B-DI01 to the control / marshalling room</t>
        </is>
      </c>
      <c r="E3193" s="12" t="inlineStr"/>
      <c r="F3193" s="12" t="inlineStr">
        <is>
          <t>CCS F&amp;G / control</t>
        </is>
      </c>
      <c r="G3193" s="12" t="inlineStr">
        <is>
          <t>JB-BF-B-DI01</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G-I-0063</t>
        </is>
      </c>
      <c r="B3194" s="12" t="inlineStr">
        <is>
          <t>G</t>
        </is>
      </c>
      <c r="C3194" s="12" t="inlineStr">
        <is>
          <t>Carbon capture</t>
        </is>
      </c>
      <c r="D3194" s="12" t="inlineStr">
        <is>
          <t>RTD to JB JB-BF-B-RTD01: 10 x 1 tri (field cables)</t>
        </is>
      </c>
      <c r="E3194" s="12" t="inlineStr">
        <is>
          <t>BF-B</t>
        </is>
      </c>
      <c r="F3194" s="12" t="inlineStr">
        <is>
          <t>BF-B: booster fan (~16 MW)</t>
        </is>
      </c>
      <c r="G3194" s="12" t="inlineStr">
        <is>
          <t>JB-BF-B-RTD01</t>
        </is>
      </c>
      <c r="H3194" s="12" t="inlineStr">
        <is>
          <t>BF-B: booster fan (~16 MW)</t>
        </is>
      </c>
      <c r="I3194" s="12" t="inlineStr">
        <is>
          <t>Instrumentation</t>
        </is>
      </c>
      <c r="J3194" s="12" t="inlineStr">
        <is>
          <t>RTD cable, #18 shielded triads, PLTC</t>
        </is>
      </c>
      <c r="K3194" s="12" t="inlineStr">
        <is>
          <t>RTD|1 tri|18</t>
        </is>
      </c>
      <c r="L3194" s="12" t="inlineStr">
        <is>
          <t>1 tri</t>
        </is>
      </c>
      <c r="M3194" s="12" t="inlineStr">
        <is>
          <t>18</t>
        </is>
      </c>
      <c r="N3194" s="12" t="n">
        <v>10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G-I-0064</t>
        </is>
      </c>
      <c r="B3195" s="12" t="inlineStr">
        <is>
          <t>G</t>
        </is>
      </c>
      <c r="C3195" s="12" t="inlineStr">
        <is>
          <t>Carbon capture</t>
        </is>
      </c>
      <c r="D3195" s="12" t="inlineStr">
        <is>
          <t>Home run JB-BF-B-RTD01 to the control / marshalling room</t>
        </is>
      </c>
      <c r="E3195" s="12" t="inlineStr"/>
      <c r="F3195" s="12" t="inlineStr">
        <is>
          <t>CCS F&amp;G / control</t>
        </is>
      </c>
      <c r="G3195" s="12" t="inlineStr">
        <is>
          <t>JB-BF-B-RTD01</t>
        </is>
      </c>
      <c r="H3195" s="12" t="inlineStr">
        <is>
          <t>BF-B: booster fan (~16 MW)</t>
        </is>
      </c>
      <c r="I3195" s="12" t="inlineStr">
        <is>
          <t>Instrumentation</t>
        </is>
      </c>
      <c r="J3195" s="12" t="inlineStr">
        <is>
          <t>RTD cable, #18 shielded triads, PLTC</t>
        </is>
      </c>
      <c r="K3195" s="12" t="inlineStr">
        <is>
          <t>RTD|12 tri|18</t>
        </is>
      </c>
      <c r="L3195" s="12" t="inlineStr">
        <is>
          <t>12 tri</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G-I-0065</t>
        </is>
      </c>
      <c r="B3196" s="12" t="inlineStr">
        <is>
          <t>G</t>
        </is>
      </c>
      <c r="C3196" s="12" t="inlineStr">
        <is>
          <t>Carbon capture</t>
        </is>
      </c>
      <c r="D3196" s="12" t="inlineStr">
        <is>
          <t>RTD to JB JB-BF-B-RTD02: 8 x 1 tri (field cables)</t>
        </is>
      </c>
      <c r="E3196" s="12" t="inlineStr">
        <is>
          <t>BF-B</t>
        </is>
      </c>
      <c r="F3196" s="12" t="inlineStr">
        <is>
          <t>BF-B: booster fan (~16 MW)</t>
        </is>
      </c>
      <c r="G3196" s="12" t="inlineStr">
        <is>
          <t>JB-BF-B-RTD02</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8</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G-I-0066</t>
        </is>
      </c>
      <c r="B3197" s="12" t="inlineStr">
        <is>
          <t>G</t>
        </is>
      </c>
      <c r="C3197" s="12" t="inlineStr">
        <is>
          <t>Carbon capture</t>
        </is>
      </c>
      <c r="D3197" s="12" t="inlineStr">
        <is>
          <t>Home run JB-BF-B-RTD02 to the control / marshalling room</t>
        </is>
      </c>
      <c r="E3197" s="12" t="inlineStr"/>
      <c r="F3197" s="12" t="inlineStr">
        <is>
          <t>CCS F&amp;G / control</t>
        </is>
      </c>
      <c r="G3197" s="12" t="inlineStr">
        <is>
          <t>JB-BF-B-RTD02</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G-I-0067</t>
        </is>
      </c>
      <c r="B3198" s="12" t="inlineStr">
        <is>
          <t>G</t>
        </is>
      </c>
      <c r="C3198" s="12" t="inlineStr">
        <is>
          <t>Carbon capture</t>
        </is>
      </c>
      <c r="D3198" s="12" t="inlineStr">
        <is>
          <t>Analog instrument to JB JB-BF-C-AI01: 20 x 1 pr (field cables)</t>
        </is>
      </c>
      <c r="E3198" s="12" t="inlineStr">
        <is>
          <t>BF-C</t>
        </is>
      </c>
      <c r="F3198" s="12" t="inlineStr">
        <is>
          <t>BF-C: booster fan (~16 MW)</t>
        </is>
      </c>
      <c r="G3198" s="12" t="inlineStr">
        <is>
          <t>JB-BF-C-AI01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G-I-0068</t>
        </is>
      </c>
      <c r="B3199" s="12" t="inlineStr">
        <is>
          <t>G</t>
        </is>
      </c>
      <c r="C3199" s="12" t="inlineStr">
        <is>
          <t>Carbon capture</t>
        </is>
      </c>
      <c r="D3199" s="12" t="inlineStr">
        <is>
          <t>Home run JB-BF-C-AI01 to the control / marshalling room</t>
        </is>
      </c>
      <c r="E3199" s="12" t="inlineStr"/>
      <c r="F3199" s="12" t="inlineStr">
        <is>
          <t>CCS F&amp;G / control</t>
        </is>
      </c>
      <c r="G3199" s="12" t="inlineStr">
        <is>
          <t>JB-BF-C-AI01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6" t="n">
        <v>385</v>
      </c>
      <c r="U3199" s="16" t="n">
        <v>219</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G-I-0069</t>
        </is>
      </c>
      <c r="B3200" s="12" t="inlineStr">
        <is>
          <t>G</t>
        </is>
      </c>
      <c r="C3200" s="12" t="inlineStr">
        <is>
          <t>Carbon capture</t>
        </is>
      </c>
      <c r="D3200" s="12" t="inlineStr">
        <is>
          <t>Analog instrument to JB JB-BF-C-AI02: 10 x 1 pr (field cables)</t>
        </is>
      </c>
      <c r="E3200" s="12" t="inlineStr">
        <is>
          <t>BF-C</t>
        </is>
      </c>
      <c r="F3200" s="12" t="inlineStr">
        <is>
          <t>BF-C: booster fan (~16 MW)</t>
        </is>
      </c>
      <c r="G3200" s="12" t="inlineStr">
        <is>
          <t>JB-BF-C-AI02</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10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G-I-0070</t>
        </is>
      </c>
      <c r="B3201" s="12" t="inlineStr">
        <is>
          <t>G</t>
        </is>
      </c>
      <c r="C3201" s="12" t="inlineStr">
        <is>
          <t>Carbon capture</t>
        </is>
      </c>
      <c r="D3201" s="12" t="inlineStr">
        <is>
          <t>Home run JB-BF-C-AI02 to the control / marshalling room</t>
        </is>
      </c>
      <c r="E3201" s="12" t="inlineStr"/>
      <c r="F3201" s="12" t="inlineStr">
        <is>
          <t>CCS F&amp;G / control</t>
        </is>
      </c>
      <c r="G3201" s="12" t="inlineStr">
        <is>
          <t>JB-BF-C-AI02</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G-I-0071</t>
        </is>
      </c>
      <c r="B3202" s="12" t="inlineStr">
        <is>
          <t>G</t>
        </is>
      </c>
      <c r="C3202" s="12" t="inlineStr">
        <is>
          <t>Carbon capture</t>
        </is>
      </c>
      <c r="D3202" s="12" t="inlineStr">
        <is>
          <t>Discrete device to JB JB-BF-C-DI01: 20 x 1 pr (field cables)</t>
        </is>
      </c>
      <c r="E3202" s="12" t="inlineStr">
        <is>
          <t>BF-C</t>
        </is>
      </c>
      <c r="F3202" s="12" t="inlineStr">
        <is>
          <t>BF-C: booster fan (~16 MW)</t>
        </is>
      </c>
      <c r="G3202" s="12" t="inlineStr">
        <is>
          <t>JB-BF-C-DI01</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G-I-0072</t>
        </is>
      </c>
      <c r="B3203" s="12" t="inlineStr">
        <is>
          <t>G</t>
        </is>
      </c>
      <c r="C3203" s="12" t="inlineStr">
        <is>
          <t>Carbon capture</t>
        </is>
      </c>
      <c r="D3203" s="12" t="inlineStr">
        <is>
          <t>Home run JB-BF-C-DI01 to the control / marshalling room</t>
        </is>
      </c>
      <c r="E3203" s="12" t="inlineStr"/>
      <c r="F3203" s="12" t="inlineStr">
        <is>
          <t>CCS F&amp;G / control</t>
        </is>
      </c>
      <c r="G3203" s="12" t="inlineStr">
        <is>
          <t>JB-BF-C-DI01</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G-I-0073</t>
        </is>
      </c>
      <c r="B3204" s="12" t="inlineStr">
        <is>
          <t>G</t>
        </is>
      </c>
      <c r="C3204" s="12" t="inlineStr">
        <is>
          <t>Carbon capture</t>
        </is>
      </c>
      <c r="D3204" s="12" t="inlineStr">
        <is>
          <t>RTD to JB JB-BF-C-RTD01: 10 x 1 tri (field cables)</t>
        </is>
      </c>
      <c r="E3204" s="12" t="inlineStr">
        <is>
          <t>BF-C</t>
        </is>
      </c>
      <c r="F3204" s="12" t="inlineStr">
        <is>
          <t>BF-C: booster fan (~16 MW)</t>
        </is>
      </c>
      <c r="G3204" s="12" t="inlineStr">
        <is>
          <t>JB-BF-C-RTD01</t>
        </is>
      </c>
      <c r="H3204" s="12" t="inlineStr">
        <is>
          <t>BF-C: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10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G-I-0074</t>
        </is>
      </c>
      <c r="B3205" s="12" t="inlineStr">
        <is>
          <t>G</t>
        </is>
      </c>
      <c r="C3205" s="12" t="inlineStr">
        <is>
          <t>Carbon capture</t>
        </is>
      </c>
      <c r="D3205" s="12" t="inlineStr">
        <is>
          <t>Home run JB-BF-C-RTD01 to the control / marshalling room</t>
        </is>
      </c>
      <c r="E3205" s="12" t="inlineStr"/>
      <c r="F3205" s="12" t="inlineStr">
        <is>
          <t>CCS F&amp;G / control</t>
        </is>
      </c>
      <c r="G3205" s="12" t="inlineStr">
        <is>
          <t>JB-BF-C-RTD01</t>
        </is>
      </c>
      <c r="H3205" s="12" t="inlineStr">
        <is>
          <t>BF-C: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G-I-0075</t>
        </is>
      </c>
      <c r="B3206" s="12" t="inlineStr">
        <is>
          <t>G</t>
        </is>
      </c>
      <c r="C3206" s="12" t="inlineStr">
        <is>
          <t>Carbon capture</t>
        </is>
      </c>
      <c r="D3206" s="12" t="inlineStr">
        <is>
          <t>RTD to JB JB-BF-C-RTD02: 8 x 1 tri (field cables)</t>
        </is>
      </c>
      <c r="E3206" s="12" t="inlineStr">
        <is>
          <t>BF-C</t>
        </is>
      </c>
      <c r="F3206" s="12" t="inlineStr">
        <is>
          <t>BF-C: booster fan (~16 MW)</t>
        </is>
      </c>
      <c r="G3206" s="12" t="inlineStr">
        <is>
          <t>JB-BF-C-RTD02</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8</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G-I-0076</t>
        </is>
      </c>
      <c r="B3207" s="12" t="inlineStr">
        <is>
          <t>G</t>
        </is>
      </c>
      <c r="C3207" s="12" t="inlineStr">
        <is>
          <t>Carbon capture</t>
        </is>
      </c>
      <c r="D3207" s="12" t="inlineStr">
        <is>
          <t>Home run JB-BF-C-RTD02 to the control / marshalling room</t>
        </is>
      </c>
      <c r="E3207" s="12" t="inlineStr"/>
      <c r="F3207" s="12" t="inlineStr">
        <is>
          <t>CCS F&amp;G / control</t>
        </is>
      </c>
      <c r="G3207" s="12" t="inlineStr">
        <is>
          <t>JB-BF-C-RTD02</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G-I-0077</t>
        </is>
      </c>
      <c r="B3208" s="12" t="inlineStr">
        <is>
          <t>G</t>
        </is>
      </c>
      <c r="C3208" s="12" t="inlineStr">
        <is>
          <t>Carbon capture</t>
        </is>
      </c>
      <c r="D3208" s="12" t="inlineStr">
        <is>
          <t>Analog instrument to JB JB-CCS T-1-AI01: 8 x 1 pr (field cables)</t>
        </is>
      </c>
      <c r="E3208" s="12" t="inlineStr">
        <is>
          <t>CCS T-1</t>
        </is>
      </c>
      <c r="F3208" s="12" t="inlineStr">
        <is>
          <t>CCS T-1: 230/13.8 kV</t>
        </is>
      </c>
      <c r="G3208" s="12" t="inlineStr">
        <is>
          <t>JB-CCS T-1-AI01</t>
        </is>
      </c>
      <c r="H3208" s="12" t="inlineStr">
        <is>
          <t>CCS T-1: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G-I-0078</t>
        </is>
      </c>
      <c r="B3209" s="12" t="inlineStr">
        <is>
          <t>G</t>
        </is>
      </c>
      <c r="C3209" s="12" t="inlineStr">
        <is>
          <t>Carbon capture</t>
        </is>
      </c>
      <c r="D3209" s="12" t="inlineStr">
        <is>
          <t>Home run JB-CCS T-1-AI01 to the control / marshalling room</t>
        </is>
      </c>
      <c r="E3209" s="12" t="inlineStr"/>
      <c r="F3209" s="12" t="inlineStr">
        <is>
          <t>CCS F&amp;G / control</t>
        </is>
      </c>
      <c r="G3209" s="12" t="inlineStr">
        <is>
          <t>JB-CCS T-1-AI01</t>
        </is>
      </c>
      <c r="H3209" s="12" t="inlineStr">
        <is>
          <t>CCS T-1: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HV duct bank</t>
        </is>
      </c>
      <c r="T3209" s="16" t="n">
        <v>77</v>
      </c>
      <c r="U3209" s="16" t="n">
        <v>103</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G-I-0079</t>
        </is>
      </c>
      <c r="B3210" s="12" t="inlineStr">
        <is>
          <t>G</t>
        </is>
      </c>
      <c r="C3210" s="12" t="inlineStr">
        <is>
          <t>Carbon capture</t>
        </is>
      </c>
      <c r="D3210" s="12" t="inlineStr">
        <is>
          <t>Discrete device to JB JB-CCS T-1-DI01: 16 x 1 pr (field cables)</t>
        </is>
      </c>
      <c r="E3210" s="12" t="inlineStr">
        <is>
          <t>CCS T-1</t>
        </is>
      </c>
      <c r="F3210" s="12" t="inlineStr">
        <is>
          <t>CCS T-1: 230/13.8 kV</t>
        </is>
      </c>
      <c r="G3210" s="12" t="inlineStr">
        <is>
          <t>JB-CCS T-1-DI01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G-I-0080</t>
        </is>
      </c>
      <c r="B3211" s="12" t="inlineStr">
        <is>
          <t>G</t>
        </is>
      </c>
      <c r="C3211" s="12" t="inlineStr">
        <is>
          <t>Carbon capture</t>
        </is>
      </c>
      <c r="D3211" s="12" t="inlineStr">
        <is>
          <t>Home run JB-CCS T-1-DI01 to the control / marshalling room</t>
        </is>
      </c>
      <c r="E3211" s="12" t="inlineStr"/>
      <c r="F3211" s="12" t="inlineStr">
        <is>
          <t>CCS F&amp;G / control</t>
        </is>
      </c>
      <c r="G3211" s="12" t="inlineStr">
        <is>
          <t>JB-CCS T-1-DI01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G-I-0081</t>
        </is>
      </c>
      <c r="B3212" s="12" t="inlineStr">
        <is>
          <t>G</t>
        </is>
      </c>
      <c r="C3212" s="12" t="inlineStr">
        <is>
          <t>Carbon capture</t>
        </is>
      </c>
      <c r="D3212" s="12" t="inlineStr">
        <is>
          <t>Analog instrument to JB JB-CCS T-2-AI01: 8 x 1 pr (field cables)</t>
        </is>
      </c>
      <c r="E3212" s="12" t="inlineStr">
        <is>
          <t>CCS T-2</t>
        </is>
      </c>
      <c r="F3212" s="12" t="inlineStr">
        <is>
          <t>CCS T-2: 230/13.8 kV</t>
        </is>
      </c>
      <c r="G3212" s="12" t="inlineStr">
        <is>
          <t>JB-CCS T-2-AI01</t>
        </is>
      </c>
      <c r="H3212" s="12" t="inlineStr">
        <is>
          <t>CCS T-2: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8</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G-I-0082</t>
        </is>
      </c>
      <c r="B3213" s="12" t="inlineStr">
        <is>
          <t>G</t>
        </is>
      </c>
      <c r="C3213" s="12" t="inlineStr">
        <is>
          <t>Carbon capture</t>
        </is>
      </c>
      <c r="D3213" s="12" t="inlineStr">
        <is>
          <t>Home run JB-CCS T-2-AI01 to the control / marshalling room</t>
        </is>
      </c>
      <c r="E3213" s="12" t="inlineStr"/>
      <c r="F3213" s="12" t="inlineStr">
        <is>
          <t>CCS F&amp;G / control</t>
        </is>
      </c>
      <c r="G3213" s="12" t="inlineStr">
        <is>
          <t>JB-CCS T-2-AI01</t>
        </is>
      </c>
      <c r="H3213" s="12" t="inlineStr">
        <is>
          <t>CCS T-2: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11</v>
      </c>
      <c r="U3213" s="16" t="n">
        <v>101</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G-I-0083</t>
        </is>
      </c>
      <c r="B3214" s="12" t="inlineStr">
        <is>
          <t>G</t>
        </is>
      </c>
      <c r="C3214" s="12" t="inlineStr">
        <is>
          <t>Carbon capture</t>
        </is>
      </c>
      <c r="D3214" s="12" t="inlineStr">
        <is>
          <t>Discrete device to JB JB-CCS T-2-DI01: 16 x 1 pr (field cables)</t>
        </is>
      </c>
      <c r="E3214" s="12" t="inlineStr">
        <is>
          <t>CCS T-2</t>
        </is>
      </c>
      <c r="F3214" s="12" t="inlineStr">
        <is>
          <t>CCS T-2: 230/13.8 kV</t>
        </is>
      </c>
      <c r="G3214" s="12" t="inlineStr">
        <is>
          <t>JB-CCS T-2-DI01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16</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G-I-0084</t>
        </is>
      </c>
      <c r="B3215" s="12" t="inlineStr">
        <is>
          <t>G</t>
        </is>
      </c>
      <c r="C3215" s="12" t="inlineStr">
        <is>
          <t>Carbon capture</t>
        </is>
      </c>
      <c r="D3215" s="12" t="inlineStr">
        <is>
          <t>Home run JB-CCS T-2-DI01 to the control / marshalling room</t>
        </is>
      </c>
      <c r="E3215" s="12" t="inlineStr"/>
      <c r="F3215" s="12" t="inlineStr">
        <is>
          <t>CCS F&amp;G / control</t>
        </is>
      </c>
      <c r="G3215" s="12" t="inlineStr">
        <is>
          <t>JB-CCS T-2-DI01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G-I-0085</t>
        </is>
      </c>
      <c r="B3216" s="12" t="inlineStr">
        <is>
          <t>G</t>
        </is>
      </c>
      <c r="C3216" s="12" t="inlineStr">
        <is>
          <t>Carbon capture</t>
        </is>
      </c>
      <c r="D3216" s="12" t="inlineStr">
        <is>
          <t>Analog instrument to JB JB-CCS circulating-wa-AI01: 20 x 1 pr (field cables)</t>
        </is>
      </c>
      <c r="E3216" s="12" t="inlineStr"/>
      <c r="F3216" s="12" t="inlineStr">
        <is>
          <t>CCS circulating-water pumps</t>
        </is>
      </c>
      <c r="G3216" s="12" t="inlineStr">
        <is>
          <t>JB-CCS circulating-wa-AI01</t>
        </is>
      </c>
      <c r="H3216" s="12" t="inlineStr">
        <is>
          <t>CCS circulating-water pumps</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100</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G-I-0086</t>
        </is>
      </c>
      <c r="B3217" s="12" t="inlineStr">
        <is>
          <t>G</t>
        </is>
      </c>
      <c r="C3217" s="12" t="inlineStr">
        <is>
          <t>Carbon capture</t>
        </is>
      </c>
      <c r="D3217" s="12" t="inlineStr">
        <is>
          <t>Home run JB-CCS circulating-wa-AI01 to the control / marshalling room</t>
        </is>
      </c>
      <c r="E3217" s="12" t="inlineStr"/>
      <c r="F3217" s="12" t="inlineStr">
        <is>
          <t>CCS F&amp;G / control</t>
        </is>
      </c>
      <c r="G3217" s="12" t="inlineStr">
        <is>
          <t>JB-CCS circulating-wa-AI01</t>
        </is>
      </c>
      <c r="H3217" s="12" t="inlineStr">
        <is>
          <t>CCS circulating-water pumps</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6" t="n">
        <v>821</v>
      </c>
      <c r="U3217" s="16" t="n">
        <v>141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G-I-0087</t>
        </is>
      </c>
      <c r="B3218" s="12" t="inlineStr">
        <is>
          <t>G</t>
        </is>
      </c>
      <c r="C3218" s="12" t="inlineStr">
        <is>
          <t>Carbon capture</t>
        </is>
      </c>
      <c r="D3218" s="12" t="inlineStr">
        <is>
          <t>Discrete device to JB JB-CCS circulating-wa-DI01: 20 x 1 pr (field cables)</t>
        </is>
      </c>
      <c r="E3218" s="12" t="inlineStr"/>
      <c r="F3218" s="12" t="inlineStr">
        <is>
          <t>CCS circulating-water pumps</t>
        </is>
      </c>
      <c r="G3218" s="12" t="inlineStr">
        <is>
          <t>JB-CCS circulating-wa-DI01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G-I-0088</t>
        </is>
      </c>
      <c r="B3219" s="12" t="inlineStr">
        <is>
          <t>G</t>
        </is>
      </c>
      <c r="C3219" s="12" t="inlineStr">
        <is>
          <t>Carbon capture</t>
        </is>
      </c>
      <c r="D3219" s="12" t="inlineStr">
        <is>
          <t>Home run JB-CCS circulating-wa-DI01 to the control / marshalling room</t>
        </is>
      </c>
      <c r="E3219" s="12" t="inlineStr"/>
      <c r="F3219" s="12" t="inlineStr">
        <is>
          <t>CCS F&amp;G / control</t>
        </is>
      </c>
      <c r="G3219" s="12" t="inlineStr">
        <is>
          <t>JB-CCS circulating-wa-DI01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G-I-0089</t>
        </is>
      </c>
      <c r="B3220" s="12" t="inlineStr">
        <is>
          <t>G</t>
        </is>
      </c>
      <c r="C3220" s="12" t="inlineStr">
        <is>
          <t>Carbon capture</t>
        </is>
      </c>
      <c r="D3220" s="12" t="inlineStr">
        <is>
          <t>Analog instrument to JB JB-CCS-CT-AI01: 20 x 1 pr (field cables)</t>
        </is>
      </c>
      <c r="E3220" s="12" t="inlineStr">
        <is>
          <t>CCS-CT</t>
        </is>
      </c>
      <c r="F3220" s="12" t="inlineStr">
        <is>
          <t>CCS cooling tower (~30 cells): CCS process cooling only</t>
        </is>
      </c>
      <c r="G3220" s="12" t="inlineStr">
        <is>
          <t>JB-CCS-CT-AI01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250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G-I-0090</t>
        </is>
      </c>
      <c r="B3221" s="12" t="inlineStr">
        <is>
          <t>G</t>
        </is>
      </c>
      <c r="C3221" s="12" t="inlineStr">
        <is>
          <t>Carbon capture</t>
        </is>
      </c>
      <c r="D3221" s="12" t="inlineStr">
        <is>
          <t>Home run JB-CCS-CT-AI01 to the control / marshalling room</t>
        </is>
      </c>
      <c r="E3221" s="12" t="inlineStr"/>
      <c r="F3221" s="12" t="inlineStr">
        <is>
          <t>CCS F&amp;G / control</t>
        </is>
      </c>
      <c r="G3221" s="12" t="inlineStr">
        <is>
          <t>JB-CCS-CT-AI01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911</v>
      </c>
      <c r="U3221" s="16" t="n">
        <v>111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G-I-0091</t>
        </is>
      </c>
      <c r="B3222" s="12" t="inlineStr">
        <is>
          <t>G</t>
        </is>
      </c>
      <c r="C3222" s="12" t="inlineStr">
        <is>
          <t>Carbon capture</t>
        </is>
      </c>
      <c r="D3222" s="12" t="inlineStr">
        <is>
          <t>Analog instrument to JB JB-CCS-CT-AI02: 10 x 1 pr (field cables)</t>
        </is>
      </c>
      <c r="E3222" s="12" t="inlineStr">
        <is>
          <t>CCS-CT</t>
        </is>
      </c>
      <c r="F3222" s="12" t="inlineStr">
        <is>
          <t>CCS cooling tower (~30 cells): CCS process cooling only</t>
        </is>
      </c>
      <c r="G3222" s="12" t="inlineStr">
        <is>
          <t>JB-CCS-CT-AI02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10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G-I-0092</t>
        </is>
      </c>
      <c r="B3223" s="12" t="inlineStr">
        <is>
          <t>G</t>
        </is>
      </c>
      <c r="C3223" s="12" t="inlineStr">
        <is>
          <t>Carbon capture</t>
        </is>
      </c>
      <c r="D3223" s="12" t="inlineStr">
        <is>
          <t>Home run JB-CCS-CT-AI02 to the control / marshalling room</t>
        </is>
      </c>
      <c r="E3223" s="12" t="inlineStr"/>
      <c r="F3223" s="12" t="inlineStr">
        <is>
          <t>CCS F&amp;G / control</t>
        </is>
      </c>
      <c r="G3223" s="12" t="inlineStr">
        <is>
          <t>JB-CCS-CT-AI02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G-I-0093</t>
        </is>
      </c>
      <c r="B3224" s="12" t="inlineStr">
        <is>
          <t>G</t>
        </is>
      </c>
      <c r="C3224" s="12" t="inlineStr">
        <is>
          <t>Carbon capture</t>
        </is>
      </c>
      <c r="D3224" s="12" t="inlineStr">
        <is>
          <t>Discrete device to JB JB-CCS-CT-DI01: 20 x 1 pr (field cables)</t>
        </is>
      </c>
      <c r="E3224" s="12" t="inlineStr">
        <is>
          <t>CCS-CT</t>
        </is>
      </c>
      <c r="F3224" s="12" t="inlineStr">
        <is>
          <t>CCS cooling tower (~30 cells): CCS process cooling only</t>
        </is>
      </c>
      <c r="G3224" s="12" t="inlineStr">
        <is>
          <t>JB-CCS-CT-DI01</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G-I-0094</t>
        </is>
      </c>
      <c r="B3225" s="12" t="inlineStr">
        <is>
          <t>G</t>
        </is>
      </c>
      <c r="C3225" s="12" t="inlineStr">
        <is>
          <t>Carbon capture</t>
        </is>
      </c>
      <c r="D3225" s="12" t="inlineStr">
        <is>
          <t>Home run JB-CCS-CT-DI01 to the control / marshalling room</t>
        </is>
      </c>
      <c r="E3225" s="12" t="inlineStr"/>
      <c r="F3225" s="12" t="inlineStr">
        <is>
          <t>CCS F&amp;G / control</t>
        </is>
      </c>
      <c r="G3225" s="12" t="inlineStr">
        <is>
          <t>JB-CCS-CT-DI01</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G-I-0095</t>
        </is>
      </c>
      <c r="B3226" s="12" t="inlineStr">
        <is>
          <t>G</t>
        </is>
      </c>
      <c r="C3226" s="12" t="inlineStr">
        <is>
          <t>Carbon capture</t>
        </is>
      </c>
      <c r="D3226" s="12" t="inlineStr">
        <is>
          <t>Discrete device to JB JB-CCS-CT-DI02: 20 x 1 pr (field cables)</t>
        </is>
      </c>
      <c r="E3226" s="12" t="inlineStr">
        <is>
          <t>CCS-CT</t>
        </is>
      </c>
      <c r="F3226" s="12" t="inlineStr">
        <is>
          <t>CCS cooling tower (~30 cells): CCS process cooling only</t>
        </is>
      </c>
      <c r="G3226" s="12" t="inlineStr">
        <is>
          <t>JB-CCS-CT-DI02</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G-I-0096</t>
        </is>
      </c>
      <c r="B3227" s="12" t="inlineStr">
        <is>
          <t>G</t>
        </is>
      </c>
      <c r="C3227" s="12" t="inlineStr">
        <is>
          <t>Carbon capture</t>
        </is>
      </c>
      <c r="D3227" s="12" t="inlineStr">
        <is>
          <t>Home run JB-CCS-CT-DI02 to the control / marshalling room</t>
        </is>
      </c>
      <c r="E3227" s="12" t="inlineStr"/>
      <c r="F3227" s="12" t="inlineStr">
        <is>
          <t>CCS F&amp;G / control</t>
        </is>
      </c>
      <c r="G3227" s="12" t="inlineStr">
        <is>
          <t>JB-CCS-CT-DI02</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G-I-0097</t>
        </is>
      </c>
      <c r="B3228" s="12" t="inlineStr">
        <is>
          <t>G</t>
        </is>
      </c>
      <c r="C3228" s="12" t="inlineStr">
        <is>
          <t>Carbon capture</t>
        </is>
      </c>
      <c r="D3228" s="12" t="inlineStr">
        <is>
          <t>Discrete device to JB JB-CCS-CT-DI03: 20 x 1 pr (field cables)</t>
        </is>
      </c>
      <c r="E3228" s="12" t="inlineStr">
        <is>
          <t>CCS-CT</t>
        </is>
      </c>
      <c r="F3228" s="12" t="inlineStr">
        <is>
          <t>CCS cooling tower (~30 cells): CCS process cooling only</t>
        </is>
      </c>
      <c r="G3228" s="12" t="inlineStr">
        <is>
          <t>JB-CCS-CT-DI03</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G-I-0098</t>
        </is>
      </c>
      <c r="B3229" s="12" t="inlineStr">
        <is>
          <t>G</t>
        </is>
      </c>
      <c r="C3229" s="12" t="inlineStr">
        <is>
          <t>Carbon capture</t>
        </is>
      </c>
      <c r="D3229" s="12" t="inlineStr">
        <is>
          <t>Home run JB-CCS-CT-DI03 to the control / marshalling room</t>
        </is>
      </c>
      <c r="E3229" s="12" t="inlineStr"/>
      <c r="F3229" s="12" t="inlineStr">
        <is>
          <t>CCS F&amp;G / control</t>
        </is>
      </c>
      <c r="G3229" s="12" t="inlineStr">
        <is>
          <t>JB-CCS-CT-DI03</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G-I-0099</t>
        </is>
      </c>
      <c r="B3230" s="12" t="inlineStr">
        <is>
          <t>G</t>
        </is>
      </c>
      <c r="C3230" s="12" t="inlineStr">
        <is>
          <t>Carbon capture</t>
        </is>
      </c>
      <c r="D3230" s="12" t="inlineStr">
        <is>
          <t>Analog instrument to JB JB-CCS instrument air-AI01: 10 x 1 pr (field cables)</t>
        </is>
      </c>
      <c r="E3230" s="12" t="inlineStr"/>
      <c r="F3230" s="12" t="inlineStr">
        <is>
          <t>CCS instrument air</t>
        </is>
      </c>
      <c r="G3230" s="12" t="inlineStr">
        <is>
          <t>JB-CCS instrument air-AI01</t>
        </is>
      </c>
      <c r="H3230" s="12" t="inlineStr">
        <is>
          <t>CCS instrument air</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10</v>
      </c>
      <c r="O3230" s="12" t="n">
        <v>1</v>
      </c>
      <c r="P3230" s="12" t="n"/>
      <c r="Q3230" s="12" t="n"/>
      <c r="R3230" s="12" t="n"/>
      <c r="S3230" s="12" t="inlineStr">
        <is>
          <t>Tray / conduit</t>
        </is>
      </c>
      <c r="T3230" s="16" t="n">
        <v>72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G-I-0100</t>
        </is>
      </c>
      <c r="B3231" s="12" t="inlineStr">
        <is>
          <t>G</t>
        </is>
      </c>
      <c r="C3231" s="12" t="inlineStr">
        <is>
          <t>Carbon capture</t>
        </is>
      </c>
      <c r="D3231" s="12" t="inlineStr">
        <is>
          <t>Home run JB-CCS instrument air-AI01 to the control / marshalling room</t>
        </is>
      </c>
      <c r="E3231" s="12" t="inlineStr"/>
      <c r="F3231" s="12" t="inlineStr">
        <is>
          <t>CCS F&amp;G / control</t>
        </is>
      </c>
      <c r="G3231" s="12" t="inlineStr">
        <is>
          <t>JB-CCS instrument air-AI01</t>
        </is>
      </c>
      <c r="H3231" s="12" t="inlineStr">
        <is>
          <t>CCS instrument air</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0</v>
      </c>
      <c r="U3231" s="16" t="n">
        <v>120</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G-I-0101</t>
        </is>
      </c>
      <c r="B3232" s="12" t="inlineStr">
        <is>
          <t>G</t>
        </is>
      </c>
      <c r="C3232" s="12" t="inlineStr">
        <is>
          <t>Carbon capture</t>
        </is>
      </c>
      <c r="D3232" s="12" t="inlineStr">
        <is>
          <t>Discrete device to JB JB-CCS instrument air-DI01: 10 x 1 pr (field cables)</t>
        </is>
      </c>
      <c r="E3232" s="12" t="inlineStr"/>
      <c r="F3232" s="12" t="inlineStr">
        <is>
          <t>CCS instrument air</t>
        </is>
      </c>
      <c r="G3232" s="12" t="inlineStr">
        <is>
          <t>JB-CCS instrument air-DI01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G-I-0102</t>
        </is>
      </c>
      <c r="B3233" s="12" t="inlineStr">
        <is>
          <t>G</t>
        </is>
      </c>
      <c r="C3233" s="12" t="inlineStr">
        <is>
          <t>Carbon capture</t>
        </is>
      </c>
      <c r="D3233" s="12" t="inlineStr">
        <is>
          <t>Home run JB-CCS instrument air-DI01 to the control / marshalling room</t>
        </is>
      </c>
      <c r="E3233" s="12" t="inlineStr"/>
      <c r="F3233" s="12" t="inlineStr">
        <is>
          <t>CCS F&amp;G / control</t>
        </is>
      </c>
      <c r="G3233" s="12" t="inlineStr">
        <is>
          <t>JB-CCS instrument air-DI01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G-I-0103</t>
        </is>
      </c>
      <c r="B3234" s="12" t="inlineStr">
        <is>
          <t>G</t>
        </is>
      </c>
      <c r="C3234" s="12" t="inlineStr">
        <is>
          <t>Carbon capture</t>
        </is>
      </c>
      <c r="D3234" s="12" t="inlineStr">
        <is>
          <t>Analog instrument to JB JB-CCS wastewater (DC-AI01: 15 x 1 pr (field cables)</t>
        </is>
      </c>
      <c r="E3234" s="12" t="inlineStr"/>
      <c r="F3234" s="12" t="inlineStr">
        <is>
          <t>CCS wastewater (DCC + tower blowdown)</t>
        </is>
      </c>
      <c r="G3234" s="12" t="inlineStr">
        <is>
          <t>JB-CCS wastewater (DC-AI01</t>
        </is>
      </c>
      <c r="H3234" s="12" t="inlineStr">
        <is>
          <t>CCS wastewater (DCC + tower blowdown)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15</v>
      </c>
      <c r="O3234" s="12" t="n">
        <v>1</v>
      </c>
      <c r="P3234" s="12" t="n"/>
      <c r="Q3234" s="12" t="n"/>
      <c r="R3234" s="12" t="n"/>
      <c r="S3234" s="12" t="inlineStr">
        <is>
          <t>Tray / conduit</t>
        </is>
      </c>
      <c r="T3234" s="16" t="n">
        <v>140</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G-I-0104</t>
        </is>
      </c>
      <c r="B3235" s="12" t="inlineStr">
        <is>
          <t>G</t>
        </is>
      </c>
      <c r="C3235" s="12" t="inlineStr">
        <is>
          <t>Carbon capture</t>
        </is>
      </c>
      <c r="D3235" s="12" t="inlineStr">
        <is>
          <t>Home run JB-CCS wastewater (DC-AI01 to the control / marshalling room</t>
        </is>
      </c>
      <c r="E3235" s="12" t="inlineStr"/>
      <c r="F3235" s="12" t="inlineStr">
        <is>
          <t>CCS F&amp;G / control</t>
        </is>
      </c>
      <c r="G3235" s="12" t="inlineStr">
        <is>
          <t>JB-CCS wastewater (DC-AI01</t>
        </is>
      </c>
      <c r="H3235" s="12" t="inlineStr">
        <is>
          <t>CCS wastewater (DCC + tower blowdown)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656</v>
      </c>
      <c r="U3235" s="16" t="n">
        <v>121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G-I-0105</t>
        </is>
      </c>
      <c r="B3236" s="12" t="inlineStr">
        <is>
          <t>G</t>
        </is>
      </c>
      <c r="C3236" s="12" t="inlineStr">
        <is>
          <t>Carbon capture</t>
        </is>
      </c>
      <c r="D3236" s="12" t="inlineStr">
        <is>
          <t>Discrete device to JB JB-CCS wastewater (DC-DI01: 15 x 1 pr (field cables)</t>
        </is>
      </c>
      <c r="E3236" s="12" t="inlineStr"/>
      <c r="F3236" s="12" t="inlineStr">
        <is>
          <t>CCS wastewater (DCC + tower blowdown)</t>
        </is>
      </c>
      <c r="G3236" s="12" t="inlineStr">
        <is>
          <t>JB-CCS wastewater (DC-DI01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G-I-0106</t>
        </is>
      </c>
      <c r="B3237" s="12" t="inlineStr">
        <is>
          <t>G</t>
        </is>
      </c>
      <c r="C3237" s="12" t="inlineStr">
        <is>
          <t>Carbon capture</t>
        </is>
      </c>
      <c r="D3237" s="12" t="inlineStr">
        <is>
          <t>Home run JB-CCS wastewater (DC-DI01 to the control / marshalling room</t>
        </is>
      </c>
      <c r="E3237" s="12" t="inlineStr"/>
      <c r="F3237" s="12" t="inlineStr">
        <is>
          <t>CCS F&amp;G / control</t>
        </is>
      </c>
      <c r="G3237" s="12" t="inlineStr">
        <is>
          <t>JB-CCS wastewater (DC-DI01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G-I-0107</t>
        </is>
      </c>
      <c r="B3238" s="12" t="inlineStr">
        <is>
          <t>G</t>
        </is>
      </c>
      <c r="C3238" s="12" t="inlineStr">
        <is>
          <t>Carbon capture</t>
        </is>
      </c>
      <c r="D3238" s="12" t="inlineStr">
        <is>
          <t>Analog instrument to JB JB-CO2 compression 3 -AI01: 20 x 1 pr (field cables)</t>
        </is>
      </c>
      <c r="E3238" s="12" t="inlineStr"/>
      <c r="F3238" s="12" t="inlineStr">
        <is>
          <t>CO2 compression 3 x ~19 MW + dehydration</t>
        </is>
      </c>
      <c r="G3238" s="12" t="inlineStr">
        <is>
          <t>JB-CO2 compression 3 -AI01</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159</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G-I-0108</t>
        </is>
      </c>
      <c r="B3239" s="12" t="inlineStr">
        <is>
          <t>G</t>
        </is>
      </c>
      <c r="C3239" s="12" t="inlineStr">
        <is>
          <t>Carbon capture</t>
        </is>
      </c>
      <c r="D3239" s="12" t="inlineStr">
        <is>
          <t>Home run JB-CO2 compression 3 -AI01 to the control / marshalling room</t>
        </is>
      </c>
      <c r="E3239" s="12" t="inlineStr"/>
      <c r="F3239" s="12" t="inlineStr">
        <is>
          <t>CCS F&amp;G / control</t>
        </is>
      </c>
      <c r="G3239" s="12" t="inlineStr">
        <is>
          <t>JB-CO2 compression 3 -AI01</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183</v>
      </c>
      <c r="U3239" s="16" t="n">
        <v>105</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G-I-0109</t>
        </is>
      </c>
      <c r="B3240" s="12" t="inlineStr">
        <is>
          <t>G</t>
        </is>
      </c>
      <c r="C3240" s="12" t="inlineStr">
        <is>
          <t>Carbon capture</t>
        </is>
      </c>
      <c r="D3240" s="12" t="inlineStr">
        <is>
          <t>Analog instrument to JB JB-CO2 compression 3 -AI02: 20 x 1 pr (field cables)</t>
        </is>
      </c>
      <c r="E3240" s="12" t="inlineStr"/>
      <c r="F3240" s="12" t="inlineStr">
        <is>
          <t>CO2 compression 3 x ~19 MW + dehydration</t>
        </is>
      </c>
      <c r="G3240" s="12" t="inlineStr">
        <is>
          <t>JB-CO2 compression 3 -AI02</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G-I-0110</t>
        </is>
      </c>
      <c r="B3241" s="12" t="inlineStr">
        <is>
          <t>G</t>
        </is>
      </c>
      <c r="C3241" s="12" t="inlineStr">
        <is>
          <t>Carbon capture</t>
        </is>
      </c>
      <c r="D3241" s="12" t="inlineStr">
        <is>
          <t>Home run JB-CO2 compression 3 -AI02 to the control / marshalling room</t>
        </is>
      </c>
      <c r="E3241" s="12" t="inlineStr"/>
      <c r="F3241" s="12" t="inlineStr">
        <is>
          <t>CCS F&amp;G / control</t>
        </is>
      </c>
      <c r="G3241" s="12" t="inlineStr">
        <is>
          <t>JB-CO2 compression 3 -AI02</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G-I-0111</t>
        </is>
      </c>
      <c r="B3242" s="12" t="inlineStr">
        <is>
          <t>G</t>
        </is>
      </c>
      <c r="C3242" s="12" t="inlineStr">
        <is>
          <t>Carbon capture</t>
        </is>
      </c>
      <c r="D3242" s="12" t="inlineStr">
        <is>
          <t>Analog instrument to JB JB-CO2 compression 3 -AI03: 20 x 1 pr (field cables)</t>
        </is>
      </c>
      <c r="E3242" s="12" t="inlineStr"/>
      <c r="F3242" s="12" t="inlineStr">
        <is>
          <t>CO2 compression 3 x ~19 MW + dehydration</t>
        </is>
      </c>
      <c r="G3242" s="12" t="inlineStr">
        <is>
          <t>JB-CO2 compression 3 -AI03</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G-I-0112</t>
        </is>
      </c>
      <c r="B3243" s="12" t="inlineStr">
        <is>
          <t>G</t>
        </is>
      </c>
      <c r="C3243" s="12" t="inlineStr">
        <is>
          <t>Carbon capture</t>
        </is>
      </c>
      <c r="D3243" s="12" t="inlineStr">
        <is>
          <t>Home run JB-CO2 compression 3 -AI03 to the control / marshalling room</t>
        </is>
      </c>
      <c r="E3243" s="12" t="inlineStr"/>
      <c r="F3243" s="12" t="inlineStr">
        <is>
          <t>CCS F&amp;G / control</t>
        </is>
      </c>
      <c r="G3243" s="12" t="inlineStr">
        <is>
          <t>JB-CO2 compression 3 -AI03</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G-I-0113</t>
        </is>
      </c>
      <c r="B3244" s="12" t="inlineStr">
        <is>
          <t>G</t>
        </is>
      </c>
      <c r="C3244" s="12" t="inlineStr">
        <is>
          <t>Carbon capture</t>
        </is>
      </c>
      <c r="D3244" s="12" t="inlineStr">
        <is>
          <t>Analog instrument to JB JB-CO2 compression 3 -AI04: 20 x 1 pr (field cables)</t>
        </is>
      </c>
      <c r="E3244" s="12" t="inlineStr"/>
      <c r="F3244" s="12" t="inlineStr">
        <is>
          <t>CO2 compression 3 x ~19 MW + dehydration</t>
        </is>
      </c>
      <c r="G3244" s="12" t="inlineStr">
        <is>
          <t>JB-CO2 compression 3 -AI04</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G-I-0114</t>
        </is>
      </c>
      <c r="B3245" s="12" t="inlineStr">
        <is>
          <t>G</t>
        </is>
      </c>
      <c r="C3245" s="12" t="inlineStr">
        <is>
          <t>Carbon capture</t>
        </is>
      </c>
      <c r="D3245" s="12" t="inlineStr">
        <is>
          <t>Home run JB-CO2 compression 3 -AI04 to the control / marshalling room</t>
        </is>
      </c>
      <c r="E3245" s="12" t="inlineStr"/>
      <c r="F3245" s="12" t="inlineStr">
        <is>
          <t>CCS F&amp;G / control</t>
        </is>
      </c>
      <c r="G3245" s="12" t="inlineStr">
        <is>
          <t>JB-CO2 compression 3 -AI04</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G-I-0115</t>
        </is>
      </c>
      <c r="B3246" s="12" t="inlineStr">
        <is>
          <t>G</t>
        </is>
      </c>
      <c r="C3246" s="12" t="inlineStr">
        <is>
          <t>Carbon capture</t>
        </is>
      </c>
      <c r="D3246" s="12" t="inlineStr">
        <is>
          <t>Analog instrument to JB JB-CO2 compression 3 -AI05: 20 x 1 pr (field cables)</t>
        </is>
      </c>
      <c r="E3246" s="12" t="inlineStr"/>
      <c r="F3246" s="12" t="inlineStr">
        <is>
          <t>CO2 compression 3 x ~19 MW + dehydration</t>
        </is>
      </c>
      <c r="G3246" s="12" t="inlineStr">
        <is>
          <t>JB-CO2 compression 3 -AI05</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G-I-0116</t>
        </is>
      </c>
      <c r="B3247" s="12" t="inlineStr">
        <is>
          <t>G</t>
        </is>
      </c>
      <c r="C3247" s="12" t="inlineStr">
        <is>
          <t>Carbon capture</t>
        </is>
      </c>
      <c r="D3247" s="12" t="inlineStr">
        <is>
          <t>Home run JB-CO2 compression 3 -AI05 to the control / marshalling room</t>
        </is>
      </c>
      <c r="E3247" s="12" t="inlineStr"/>
      <c r="F3247" s="12" t="inlineStr">
        <is>
          <t>CCS F&amp;G / control</t>
        </is>
      </c>
      <c r="G3247" s="12" t="inlineStr">
        <is>
          <t>JB-CO2 compression 3 -AI05</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G-I-0117</t>
        </is>
      </c>
      <c r="B3248" s="12" t="inlineStr">
        <is>
          <t>G</t>
        </is>
      </c>
      <c r="C3248" s="12" t="inlineStr">
        <is>
          <t>Carbon capture</t>
        </is>
      </c>
      <c r="D3248" s="12" t="inlineStr">
        <is>
          <t>Analog instrument to JB JB-CO2 compression 3 -AI06: 20 x 1 pr (field cables)</t>
        </is>
      </c>
      <c r="E3248" s="12" t="inlineStr"/>
      <c r="F3248" s="12" t="inlineStr">
        <is>
          <t>CO2 compression 3 x ~19 MW + dehydration</t>
        </is>
      </c>
      <c r="G3248" s="12" t="inlineStr">
        <is>
          <t>JB-CO2 compression 3 -AI06</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G-I-0118</t>
        </is>
      </c>
      <c r="B3249" s="12" t="inlineStr">
        <is>
          <t>G</t>
        </is>
      </c>
      <c r="C3249" s="12" t="inlineStr">
        <is>
          <t>Carbon capture</t>
        </is>
      </c>
      <c r="D3249" s="12" t="inlineStr">
        <is>
          <t>Home run JB-CO2 compression 3 -AI06 to the control / marshalling room</t>
        </is>
      </c>
      <c r="E3249" s="12" t="inlineStr"/>
      <c r="F3249" s="12" t="inlineStr">
        <is>
          <t>CCS F&amp;G / control</t>
        </is>
      </c>
      <c r="G3249" s="12" t="inlineStr">
        <is>
          <t>JB-CO2 compression 3 -AI06</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G-I-0119</t>
        </is>
      </c>
      <c r="B3250" s="12" t="inlineStr">
        <is>
          <t>G</t>
        </is>
      </c>
      <c r="C3250" s="12" t="inlineStr">
        <is>
          <t>Carbon capture</t>
        </is>
      </c>
      <c r="D3250" s="12" t="inlineStr">
        <is>
          <t>Analog instrument to JB JB-CO2 compression 3 -AI07: 20 x 1 pr (field cables)</t>
        </is>
      </c>
      <c r="E3250" s="12" t="inlineStr"/>
      <c r="F3250" s="12" t="inlineStr">
        <is>
          <t>CO2 compression 3 x ~19 MW + dehydration</t>
        </is>
      </c>
      <c r="G3250" s="12" t="inlineStr">
        <is>
          <t>JB-CO2 compression 3 -AI07</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G-I-0120</t>
        </is>
      </c>
      <c r="B3251" s="12" t="inlineStr">
        <is>
          <t>G</t>
        </is>
      </c>
      <c r="C3251" s="12" t="inlineStr">
        <is>
          <t>Carbon capture</t>
        </is>
      </c>
      <c r="D3251" s="12" t="inlineStr">
        <is>
          <t>Home run JB-CO2 compression 3 -AI07 to the control / marshalling room</t>
        </is>
      </c>
      <c r="E3251" s="12" t="inlineStr"/>
      <c r="F3251" s="12" t="inlineStr">
        <is>
          <t>CCS F&amp;G / control</t>
        </is>
      </c>
      <c r="G3251" s="12" t="inlineStr">
        <is>
          <t>JB-CO2 compression 3 -AI07</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G-I-0121</t>
        </is>
      </c>
      <c r="B3252" s="12" t="inlineStr">
        <is>
          <t>G</t>
        </is>
      </c>
      <c r="C3252" s="12" t="inlineStr">
        <is>
          <t>Carbon capture</t>
        </is>
      </c>
      <c r="D3252" s="12" t="inlineStr">
        <is>
          <t>Analog instrument to JB JB-CO2 compression 3 -AI08: 10 x 1 pr (field cables)</t>
        </is>
      </c>
      <c r="E3252" s="12" t="inlineStr"/>
      <c r="F3252" s="12" t="inlineStr">
        <is>
          <t>CO2 compression 3 x ~19 MW + dehydration</t>
        </is>
      </c>
      <c r="G3252" s="12" t="inlineStr">
        <is>
          <t>JB-CO2 compression 3 -AI08</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G-I-0122</t>
        </is>
      </c>
      <c r="B3253" s="12" t="inlineStr">
        <is>
          <t>G</t>
        </is>
      </c>
      <c r="C3253" s="12" t="inlineStr">
        <is>
          <t>Carbon capture</t>
        </is>
      </c>
      <c r="D3253" s="12" t="inlineStr">
        <is>
          <t>Home run JB-CO2 compression 3 -AI08 to the control / marshalling room</t>
        </is>
      </c>
      <c r="E3253" s="12" t="inlineStr"/>
      <c r="F3253" s="12" t="inlineStr">
        <is>
          <t>CCS F&amp;G / control</t>
        </is>
      </c>
      <c r="G3253" s="12" t="inlineStr">
        <is>
          <t>JB-CO2 compression 3 -AI08</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G-I-0123</t>
        </is>
      </c>
      <c r="B3254" s="12" t="inlineStr">
        <is>
          <t>G</t>
        </is>
      </c>
      <c r="C3254" s="12" t="inlineStr">
        <is>
          <t>Carbon capture</t>
        </is>
      </c>
      <c r="D3254" s="12" t="inlineStr">
        <is>
          <t>Discrete device to JB JB-CO2 compression 3 -DI01: 20 x 1 pr (field cables)</t>
        </is>
      </c>
      <c r="E3254" s="12" t="inlineStr"/>
      <c r="F3254" s="12" t="inlineStr">
        <is>
          <t>CO2 compression 3 x ~19 MW + dehydration</t>
        </is>
      </c>
      <c r="G3254" s="12" t="inlineStr">
        <is>
          <t>JB-CO2 compression 3 -DI01</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G-I-0124</t>
        </is>
      </c>
      <c r="B3255" s="12" t="inlineStr">
        <is>
          <t>G</t>
        </is>
      </c>
      <c r="C3255" s="12" t="inlineStr">
        <is>
          <t>Carbon capture</t>
        </is>
      </c>
      <c r="D3255" s="12" t="inlineStr">
        <is>
          <t>Home run JB-CO2 compression 3 -DI01 to the control / marshalling room</t>
        </is>
      </c>
      <c r="E3255" s="12" t="inlineStr"/>
      <c r="F3255" s="12" t="inlineStr">
        <is>
          <t>CCS F&amp;G / control</t>
        </is>
      </c>
      <c r="G3255" s="12" t="inlineStr">
        <is>
          <t>JB-CO2 compression 3 -DI01</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G-I-0125</t>
        </is>
      </c>
      <c r="B3256" s="12" t="inlineStr">
        <is>
          <t>G</t>
        </is>
      </c>
      <c r="C3256" s="12" t="inlineStr">
        <is>
          <t>Carbon capture</t>
        </is>
      </c>
      <c r="D3256" s="12" t="inlineStr">
        <is>
          <t>Discrete device to JB JB-CO2 compression 3 -DI02: 20 x 1 pr (field cables)</t>
        </is>
      </c>
      <c r="E3256" s="12" t="inlineStr"/>
      <c r="F3256" s="12" t="inlineStr">
        <is>
          <t>CO2 compression 3 x ~19 MW + dehydration</t>
        </is>
      </c>
      <c r="G3256" s="12" t="inlineStr">
        <is>
          <t>JB-CO2 compression 3 -DI02</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G-I-0126</t>
        </is>
      </c>
      <c r="B3257" s="12" t="inlineStr">
        <is>
          <t>G</t>
        </is>
      </c>
      <c r="C3257" s="12" t="inlineStr">
        <is>
          <t>Carbon capture</t>
        </is>
      </c>
      <c r="D3257" s="12" t="inlineStr">
        <is>
          <t>Home run JB-CO2 compression 3 -DI02 to the control / marshalling room</t>
        </is>
      </c>
      <c r="E3257" s="12" t="inlineStr"/>
      <c r="F3257" s="12" t="inlineStr">
        <is>
          <t>CCS F&amp;G / control</t>
        </is>
      </c>
      <c r="G3257" s="12" t="inlineStr">
        <is>
          <t>JB-CO2 compression 3 -DI02</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G-I-0127</t>
        </is>
      </c>
      <c r="B3258" s="12" t="inlineStr">
        <is>
          <t>G</t>
        </is>
      </c>
      <c r="C3258" s="12" t="inlineStr">
        <is>
          <t>Carbon capture</t>
        </is>
      </c>
      <c r="D3258" s="12" t="inlineStr">
        <is>
          <t>Discrete device to JB JB-CO2 compression 3 -DI03: 20 x 1 pr (field cables)</t>
        </is>
      </c>
      <c r="E3258" s="12" t="inlineStr"/>
      <c r="F3258" s="12" t="inlineStr">
        <is>
          <t>CO2 compression 3 x ~19 MW + dehydration</t>
        </is>
      </c>
      <c r="G3258" s="12" t="inlineStr">
        <is>
          <t>JB-CO2 compression 3 -DI03</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G-I-0128</t>
        </is>
      </c>
      <c r="B3259" s="12" t="inlineStr">
        <is>
          <t>G</t>
        </is>
      </c>
      <c r="C3259" s="12" t="inlineStr">
        <is>
          <t>Carbon capture</t>
        </is>
      </c>
      <c r="D3259" s="12" t="inlineStr">
        <is>
          <t>Home run JB-CO2 compression 3 -DI03 to the control / marshalling room</t>
        </is>
      </c>
      <c r="E3259" s="12" t="inlineStr"/>
      <c r="F3259" s="12" t="inlineStr">
        <is>
          <t>CCS F&amp;G / control</t>
        </is>
      </c>
      <c r="G3259" s="12" t="inlineStr">
        <is>
          <t>JB-CO2 compression 3 -DI03</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G-I-0129</t>
        </is>
      </c>
      <c r="B3260" s="12" t="inlineStr">
        <is>
          <t>G</t>
        </is>
      </c>
      <c r="C3260" s="12" t="inlineStr">
        <is>
          <t>Carbon capture</t>
        </is>
      </c>
      <c r="D3260" s="12" t="inlineStr">
        <is>
          <t>Discrete device to JB JB-CO2 compression 3 -DI04: 20 x 1 pr (field cables)</t>
        </is>
      </c>
      <c r="E3260" s="12" t="inlineStr"/>
      <c r="F3260" s="12" t="inlineStr">
        <is>
          <t>CO2 compression 3 x ~19 MW + dehydration</t>
        </is>
      </c>
      <c r="G3260" s="12" t="inlineStr">
        <is>
          <t>JB-CO2 compression 3 -DI04</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G-I-0130</t>
        </is>
      </c>
      <c r="B3261" s="12" t="inlineStr">
        <is>
          <t>G</t>
        </is>
      </c>
      <c r="C3261" s="12" t="inlineStr">
        <is>
          <t>Carbon capture</t>
        </is>
      </c>
      <c r="D3261" s="12" t="inlineStr">
        <is>
          <t>Home run JB-CO2 compression 3 -DI04 to the control / marshalling room</t>
        </is>
      </c>
      <c r="E3261" s="12" t="inlineStr"/>
      <c r="F3261" s="12" t="inlineStr">
        <is>
          <t>CCS F&amp;G / control</t>
        </is>
      </c>
      <c r="G3261" s="12" t="inlineStr">
        <is>
          <t>JB-CO2 compression 3 -DI04</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G-I-0131</t>
        </is>
      </c>
      <c r="B3262" s="12" t="inlineStr">
        <is>
          <t>G</t>
        </is>
      </c>
      <c r="C3262" s="12" t="inlineStr">
        <is>
          <t>Carbon capture</t>
        </is>
      </c>
      <c r="D3262" s="12" t="inlineStr">
        <is>
          <t>Discrete device to JB JB-CO2 compression 3 -DI05: 20 x 1 pr (field cables)</t>
        </is>
      </c>
      <c r="E3262" s="12" t="inlineStr"/>
      <c r="F3262" s="12" t="inlineStr">
        <is>
          <t>CO2 compression 3 x ~19 MW + dehydration</t>
        </is>
      </c>
      <c r="G3262" s="12" t="inlineStr">
        <is>
          <t>JB-CO2 compression 3 -DI05</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G-I-0132</t>
        </is>
      </c>
      <c r="B3263" s="12" t="inlineStr">
        <is>
          <t>G</t>
        </is>
      </c>
      <c r="C3263" s="12" t="inlineStr">
        <is>
          <t>Carbon capture</t>
        </is>
      </c>
      <c r="D3263" s="12" t="inlineStr">
        <is>
          <t>Home run JB-CO2 compression 3 -DI05 to the control / marshalling room</t>
        </is>
      </c>
      <c r="E3263" s="12" t="inlineStr"/>
      <c r="F3263" s="12" t="inlineStr">
        <is>
          <t>CCS F&amp;G / control</t>
        </is>
      </c>
      <c r="G3263" s="12" t="inlineStr">
        <is>
          <t>JB-CO2 compression 3 -DI05</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G-I-0133</t>
        </is>
      </c>
      <c r="B3264" s="12" t="inlineStr">
        <is>
          <t>G</t>
        </is>
      </c>
      <c r="C3264" s="12" t="inlineStr">
        <is>
          <t>Carbon capture</t>
        </is>
      </c>
      <c r="D3264" s="12" t="inlineStr">
        <is>
          <t>RTD to JB JB-CO2 compression 3 -RTD01: 10 x 1 tri (field cables)</t>
        </is>
      </c>
      <c r="E3264" s="12" t="inlineStr"/>
      <c r="F3264" s="12" t="inlineStr">
        <is>
          <t>CO2 compression 3 x ~19 MW + dehydration</t>
        </is>
      </c>
      <c r="G3264" s="12" t="inlineStr">
        <is>
          <t>JB-CO2 compression 3 -RTD01</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G-I-0134</t>
        </is>
      </c>
      <c r="B3265" s="12" t="inlineStr">
        <is>
          <t>G</t>
        </is>
      </c>
      <c r="C3265" s="12" t="inlineStr">
        <is>
          <t>Carbon capture</t>
        </is>
      </c>
      <c r="D3265" s="12" t="inlineStr">
        <is>
          <t>Home run JB-CO2 compression 3 -RTD01 to the control / marshalling room</t>
        </is>
      </c>
      <c r="E3265" s="12" t="inlineStr"/>
      <c r="F3265" s="12" t="inlineStr">
        <is>
          <t>CCS F&amp;G / control</t>
        </is>
      </c>
      <c r="G3265" s="12" t="inlineStr">
        <is>
          <t>JB-CO2 compression 3 -RTD01</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G-I-0135</t>
        </is>
      </c>
      <c r="B3266" s="12" t="inlineStr">
        <is>
          <t>G</t>
        </is>
      </c>
      <c r="C3266" s="12" t="inlineStr">
        <is>
          <t>Carbon capture</t>
        </is>
      </c>
      <c r="D3266" s="12" t="inlineStr">
        <is>
          <t>RTD to JB JB-CO2 compression 3 -RTD02: 10 x 1 tri (field cables)</t>
        </is>
      </c>
      <c r="E3266" s="12" t="inlineStr"/>
      <c r="F3266" s="12" t="inlineStr">
        <is>
          <t>CO2 compression 3 x ~19 MW + dehydration</t>
        </is>
      </c>
      <c r="G3266" s="12" t="inlineStr">
        <is>
          <t>JB-CO2 compression 3 -RTD02</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G-I-0136</t>
        </is>
      </c>
      <c r="B3267" s="12" t="inlineStr">
        <is>
          <t>G</t>
        </is>
      </c>
      <c r="C3267" s="12" t="inlineStr">
        <is>
          <t>Carbon capture</t>
        </is>
      </c>
      <c r="D3267" s="12" t="inlineStr">
        <is>
          <t>Home run JB-CO2 compression 3 -RTD02 to the control / marshalling room</t>
        </is>
      </c>
      <c r="E3267" s="12" t="inlineStr"/>
      <c r="F3267" s="12" t="inlineStr">
        <is>
          <t>CCS F&amp;G / control</t>
        </is>
      </c>
      <c r="G3267" s="12" t="inlineStr">
        <is>
          <t>JB-CO2 compression 3 -RTD02</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G-I-0137</t>
        </is>
      </c>
      <c r="B3268" s="12" t="inlineStr">
        <is>
          <t>G</t>
        </is>
      </c>
      <c r="C3268" s="12" t="inlineStr">
        <is>
          <t>Carbon capture</t>
        </is>
      </c>
      <c r="D3268" s="12" t="inlineStr">
        <is>
          <t>RTD to JB JB-CO2 compression 3 -RTD03: 10 x 1 tri (field cables)</t>
        </is>
      </c>
      <c r="E3268" s="12" t="inlineStr"/>
      <c r="F3268" s="12" t="inlineStr">
        <is>
          <t>CO2 compression 3 x ~19 MW + dehydration</t>
        </is>
      </c>
      <c r="G3268" s="12" t="inlineStr">
        <is>
          <t>JB-CO2 compression 3 -RTD03</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G-I-0138</t>
        </is>
      </c>
      <c r="B3269" s="12" t="inlineStr">
        <is>
          <t>G</t>
        </is>
      </c>
      <c r="C3269" s="12" t="inlineStr">
        <is>
          <t>Carbon capture</t>
        </is>
      </c>
      <c r="D3269" s="12" t="inlineStr">
        <is>
          <t>Home run JB-CO2 compression 3 -RTD03 to the control / marshalling room</t>
        </is>
      </c>
      <c r="E3269" s="12" t="inlineStr"/>
      <c r="F3269" s="12" t="inlineStr">
        <is>
          <t>CCS F&amp;G / control</t>
        </is>
      </c>
      <c r="G3269" s="12" t="inlineStr">
        <is>
          <t>JB-CO2 compression 3 -RTD03</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G-I-0139</t>
        </is>
      </c>
      <c r="B3270" s="12" t="inlineStr">
        <is>
          <t>G</t>
        </is>
      </c>
      <c r="C3270" s="12" t="inlineStr">
        <is>
          <t>Carbon capture</t>
        </is>
      </c>
      <c r="D3270" s="12" t="inlineStr">
        <is>
          <t>RTD to JB JB-CO2 compression 3 -RTD04: 6 x 1 tri (field cables)</t>
        </is>
      </c>
      <c r="E3270" s="12" t="inlineStr"/>
      <c r="F3270" s="12" t="inlineStr">
        <is>
          <t>CO2 compression 3 x ~19 MW + dehydration</t>
        </is>
      </c>
      <c r="G3270" s="12" t="inlineStr">
        <is>
          <t>JB-CO2 compression 3 -RTD04</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6</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G-I-0140</t>
        </is>
      </c>
      <c r="B3271" s="12" t="inlineStr">
        <is>
          <t>G</t>
        </is>
      </c>
      <c r="C3271" s="12" t="inlineStr">
        <is>
          <t>Carbon capture</t>
        </is>
      </c>
      <c r="D3271" s="12" t="inlineStr">
        <is>
          <t>Home run JB-CO2 compression 3 -RTD04 to the control / marshalling room</t>
        </is>
      </c>
      <c r="E3271" s="12" t="inlineStr"/>
      <c r="F3271" s="12" t="inlineStr">
        <is>
          <t>CCS F&amp;G / control</t>
        </is>
      </c>
      <c r="G3271" s="12" t="inlineStr">
        <is>
          <t>JB-CO2 compression 3 -RTD04</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G-I-0141</t>
        </is>
      </c>
      <c r="B3272" s="12" t="inlineStr">
        <is>
          <t>G</t>
        </is>
      </c>
      <c r="C3272" s="12" t="inlineStr">
        <is>
          <t>Carbon capture</t>
        </is>
      </c>
      <c r="D3272" s="12" t="inlineStr">
        <is>
          <t>Analog instrument to JB JB-CO2 dehydration: m-AI01: 20 x 1 pr (field cables)</t>
        </is>
      </c>
      <c r="E3272" s="12" t="inlineStr"/>
      <c r="F3272" s="12" t="inlineStr">
        <is>
          <t>CO2 dehydration: molecular-sieve towers and regeneration heater</t>
        </is>
      </c>
      <c r="G3272" s="12" t="inlineStr">
        <is>
          <t>JB-CO2 dehydration: m-AI01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81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G-I-0142</t>
        </is>
      </c>
      <c r="B3273" s="12" t="inlineStr">
        <is>
          <t>G</t>
        </is>
      </c>
      <c r="C3273" s="12" t="inlineStr">
        <is>
          <t>Carbon capture</t>
        </is>
      </c>
      <c r="D3273" s="12" t="inlineStr">
        <is>
          <t>Home run JB-CO2 dehydration: m-AI01 to the control / marshalling room</t>
        </is>
      </c>
      <c r="E3273" s="12" t="inlineStr"/>
      <c r="F3273" s="12" t="inlineStr">
        <is>
          <t>CCS F&amp;G / control</t>
        </is>
      </c>
      <c r="G3273" s="12" t="inlineStr">
        <is>
          <t>JB-CO2 dehydration: m-AI01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197</v>
      </c>
      <c r="U3273" s="16" t="n">
        <v>229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G-I-0143</t>
        </is>
      </c>
      <c r="B3274" s="12" t="inlineStr">
        <is>
          <t>G</t>
        </is>
      </c>
      <c r="C3274" s="12" t="inlineStr">
        <is>
          <t>Carbon capture</t>
        </is>
      </c>
      <c r="D3274" s="12" t="inlineStr">
        <is>
          <t>Analog instrument to JB JB-CO2 dehydration: m-AI02: 10 x 1 pr (field cables)</t>
        </is>
      </c>
      <c r="E3274" s="12" t="inlineStr"/>
      <c r="F3274" s="12" t="inlineStr">
        <is>
          <t>CO2 dehydration: molecular-sieve towers and regeneration heater</t>
        </is>
      </c>
      <c r="G3274" s="12" t="inlineStr">
        <is>
          <t>JB-CO2 dehydration: m-AI02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G-I-0144</t>
        </is>
      </c>
      <c r="B3275" s="12" t="inlineStr">
        <is>
          <t>G</t>
        </is>
      </c>
      <c r="C3275" s="12" t="inlineStr">
        <is>
          <t>Carbon capture</t>
        </is>
      </c>
      <c r="D3275" s="12" t="inlineStr">
        <is>
          <t>Home run JB-CO2 dehydration: m-AI02 to the control / marshalling room</t>
        </is>
      </c>
      <c r="E3275" s="12" t="inlineStr"/>
      <c r="F3275" s="12" t="inlineStr">
        <is>
          <t>CCS F&amp;G / control</t>
        </is>
      </c>
      <c r="G3275" s="12" t="inlineStr">
        <is>
          <t>JB-CO2 dehydration: m-AI02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G-I-0145</t>
        </is>
      </c>
      <c r="B3276" s="12" t="inlineStr">
        <is>
          <t>G</t>
        </is>
      </c>
      <c r="C3276" s="12" t="inlineStr">
        <is>
          <t>Carbon capture</t>
        </is>
      </c>
      <c r="D3276" s="12" t="inlineStr">
        <is>
          <t>Discrete device to JB JB-CO2 dehydration: m-DI01: 20 x 1 pr (field cables)</t>
        </is>
      </c>
      <c r="E3276" s="12" t="inlineStr"/>
      <c r="F3276" s="12" t="inlineStr">
        <is>
          <t>CO2 dehydration: molecular-sieve towers and regeneration heater</t>
        </is>
      </c>
      <c r="G3276" s="12" t="inlineStr">
        <is>
          <t>JB-CO2 dehydration: m-DI01</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G-I-0146</t>
        </is>
      </c>
      <c r="B3277" s="12" t="inlineStr">
        <is>
          <t>G</t>
        </is>
      </c>
      <c r="C3277" s="12" t="inlineStr">
        <is>
          <t>Carbon capture</t>
        </is>
      </c>
      <c r="D3277" s="12" t="inlineStr">
        <is>
          <t>Home run JB-CO2 dehydration: m-DI01 to the control / marshalling room</t>
        </is>
      </c>
      <c r="E3277" s="12" t="inlineStr"/>
      <c r="F3277" s="12" t="inlineStr">
        <is>
          <t>CCS F&amp;G / control</t>
        </is>
      </c>
      <c r="G3277" s="12" t="inlineStr">
        <is>
          <t>JB-CO2 dehydration: m-DI01</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G-I-0147</t>
        </is>
      </c>
      <c r="B3278" s="12" t="inlineStr">
        <is>
          <t>G</t>
        </is>
      </c>
      <c r="C3278" s="12" t="inlineStr">
        <is>
          <t>Carbon capture</t>
        </is>
      </c>
      <c r="D3278" s="12" t="inlineStr">
        <is>
          <t>Discrete device to JB JB-CO2 dehydration: m-DI02: 10 x 1 pr (field cables)</t>
        </is>
      </c>
      <c r="E3278" s="12" t="inlineStr"/>
      <c r="F3278" s="12" t="inlineStr">
        <is>
          <t>CO2 dehydration: molecular-sieve towers and regeneration heater</t>
        </is>
      </c>
      <c r="G3278" s="12" t="inlineStr">
        <is>
          <t>JB-CO2 dehydration: m-DI02</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G-I-0148</t>
        </is>
      </c>
      <c r="B3279" s="12" t="inlineStr">
        <is>
          <t>G</t>
        </is>
      </c>
      <c r="C3279" s="12" t="inlineStr">
        <is>
          <t>Carbon capture</t>
        </is>
      </c>
      <c r="D3279" s="12" t="inlineStr">
        <is>
          <t>Home run JB-CO2 dehydration: m-DI02 to the control / marshalling room</t>
        </is>
      </c>
      <c r="E3279" s="12" t="inlineStr"/>
      <c r="F3279" s="12" t="inlineStr">
        <is>
          <t>CCS F&amp;G / control</t>
        </is>
      </c>
      <c r="G3279" s="12" t="inlineStr">
        <is>
          <t>JB-CO2 dehydration: m-DI02</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G-I-0149</t>
        </is>
      </c>
      <c r="B3280" s="12" t="inlineStr">
        <is>
          <t>G</t>
        </is>
      </c>
      <c r="C3280" s="12" t="inlineStr">
        <is>
          <t>Carbon capture</t>
        </is>
      </c>
      <c r="D3280" s="12" t="inlineStr">
        <is>
          <t>Analog instrument to JB JB-CONDITIONAL: HP ex-AI01: 20 x 1 pr (field cables)</t>
        </is>
      </c>
      <c r="E3280" s="12" t="inlineStr"/>
      <c r="F3280" s="12" t="inlineStr">
        <is>
          <t>CONDITIONAL: HP export compressor + metering</t>
        </is>
      </c>
      <c r="G3280" s="12" t="inlineStr">
        <is>
          <t>JB-CONDITIONAL: HP ex-AI01</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6" t="n">
        <v>100</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G-I-0150</t>
        </is>
      </c>
      <c r="B3281" s="12" t="inlineStr">
        <is>
          <t>G</t>
        </is>
      </c>
      <c r="C3281" s="12" t="inlineStr">
        <is>
          <t>Carbon capture</t>
        </is>
      </c>
      <c r="D3281" s="12" t="inlineStr">
        <is>
          <t>Home run JB-CONDITIONAL: HP ex-AI01 to the control / marshalling room</t>
        </is>
      </c>
      <c r="E3281" s="12" t="inlineStr"/>
      <c r="F3281" s="12" t="inlineStr">
        <is>
          <t>CCS F&amp;G / control</t>
        </is>
      </c>
      <c r="G3281" s="12" t="inlineStr">
        <is>
          <t>JB-CONDITIONAL: HP ex-AI01</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6" t="n">
        <v>144</v>
      </c>
      <c r="U3281" s="16" t="n">
        <v>154</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G-I-0151</t>
        </is>
      </c>
      <c r="B3282" s="12" t="inlineStr">
        <is>
          <t>G</t>
        </is>
      </c>
      <c r="C3282" s="12" t="inlineStr">
        <is>
          <t>Carbon capture</t>
        </is>
      </c>
      <c r="D3282" s="12" t="inlineStr">
        <is>
          <t>Analog instrument to JB JB-CONDITIONAL: HP ex-AI02: 20 x 1 pr (field cables)</t>
        </is>
      </c>
      <c r="E3282" s="12" t="inlineStr"/>
      <c r="F3282" s="12" t="inlineStr">
        <is>
          <t>CONDITIONAL: HP export compressor + metering</t>
        </is>
      </c>
      <c r="G3282" s="12" t="inlineStr">
        <is>
          <t>JB-CONDITIONAL: HP ex-AI02</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G-I-0152</t>
        </is>
      </c>
      <c r="B3283" s="12" t="inlineStr">
        <is>
          <t>G</t>
        </is>
      </c>
      <c r="C3283" s="12" t="inlineStr">
        <is>
          <t>Carbon capture</t>
        </is>
      </c>
      <c r="D3283" s="12" t="inlineStr">
        <is>
          <t>Home run JB-CONDITIONAL: HP ex-AI02 to the control / marshalling room</t>
        </is>
      </c>
      <c r="E3283" s="12" t="inlineStr"/>
      <c r="F3283" s="12" t="inlineStr">
        <is>
          <t>CCS F&amp;G / control</t>
        </is>
      </c>
      <c r="G3283" s="12" t="inlineStr">
        <is>
          <t>JB-CONDITIONAL: HP ex-AI02</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G-I-0153</t>
        </is>
      </c>
      <c r="B3284" s="12" t="inlineStr">
        <is>
          <t>G</t>
        </is>
      </c>
      <c r="C3284" s="12" t="inlineStr">
        <is>
          <t>Carbon capture</t>
        </is>
      </c>
      <c r="D3284" s="12" t="inlineStr">
        <is>
          <t>Analog instrument to JB JB-CONDITIONAL: HP ex-AI03: 20 x 1 pr (field cables)</t>
        </is>
      </c>
      <c r="E3284" s="12" t="inlineStr"/>
      <c r="F3284" s="12" t="inlineStr">
        <is>
          <t>CONDITIONAL: HP export compressor + metering</t>
        </is>
      </c>
      <c r="G3284" s="12" t="inlineStr">
        <is>
          <t>JB-CONDITIONAL: HP ex-AI03</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G-I-0154</t>
        </is>
      </c>
      <c r="B3285" s="12" t="inlineStr">
        <is>
          <t>G</t>
        </is>
      </c>
      <c r="C3285" s="12" t="inlineStr">
        <is>
          <t>Carbon capture</t>
        </is>
      </c>
      <c r="D3285" s="12" t="inlineStr">
        <is>
          <t>Home run JB-CONDITIONAL: HP ex-AI03 to the control / marshalling room</t>
        </is>
      </c>
      <c r="E3285" s="12" t="inlineStr"/>
      <c r="F3285" s="12" t="inlineStr">
        <is>
          <t>CCS F&amp;G / control</t>
        </is>
      </c>
      <c r="G3285" s="12" t="inlineStr">
        <is>
          <t>JB-CONDITIONAL: HP ex-AI03</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G-I-0155</t>
        </is>
      </c>
      <c r="B3286" s="12" t="inlineStr">
        <is>
          <t>G</t>
        </is>
      </c>
      <c r="C3286" s="12" t="inlineStr">
        <is>
          <t>Carbon capture</t>
        </is>
      </c>
      <c r="D3286" s="12" t="inlineStr">
        <is>
          <t>Discrete device to JB JB-CONDITIONAL: HP ex-DI01: 20 x 1 pr (field cables)</t>
        </is>
      </c>
      <c r="E3286" s="12" t="inlineStr"/>
      <c r="F3286" s="12" t="inlineStr">
        <is>
          <t>CONDITIONAL: HP export compressor + metering</t>
        </is>
      </c>
      <c r="G3286" s="12" t="inlineStr">
        <is>
          <t>JB-CONDITIONAL: HP ex-DI01</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G-I-0156</t>
        </is>
      </c>
      <c r="B3287" s="12" t="inlineStr">
        <is>
          <t>G</t>
        </is>
      </c>
      <c r="C3287" s="12" t="inlineStr">
        <is>
          <t>Carbon capture</t>
        </is>
      </c>
      <c r="D3287" s="12" t="inlineStr">
        <is>
          <t>Home run JB-CONDITIONAL: HP ex-DI01 to the control / marshalling room</t>
        </is>
      </c>
      <c r="E3287" s="12" t="inlineStr"/>
      <c r="F3287" s="12" t="inlineStr">
        <is>
          <t>CCS F&amp;G / control</t>
        </is>
      </c>
      <c r="G3287" s="12" t="inlineStr">
        <is>
          <t>JB-CONDITIONAL: HP ex-DI01</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G-I-0157</t>
        </is>
      </c>
      <c r="B3288" s="12" t="inlineStr">
        <is>
          <t>G</t>
        </is>
      </c>
      <c r="C3288" s="12" t="inlineStr">
        <is>
          <t>Carbon capture</t>
        </is>
      </c>
      <c r="D3288" s="12" t="inlineStr">
        <is>
          <t>Discrete device to JB JB-CONDITIONAL: HP ex-DI02: 20 x 1 pr (field cables)</t>
        </is>
      </c>
      <c r="E3288" s="12" t="inlineStr"/>
      <c r="F3288" s="12" t="inlineStr">
        <is>
          <t>CONDITIONAL: HP export compressor + metering</t>
        </is>
      </c>
      <c r="G3288" s="12" t="inlineStr">
        <is>
          <t>JB-CONDITIONAL: HP ex-DI02</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G-I-0158</t>
        </is>
      </c>
      <c r="B3289" s="12" t="inlineStr">
        <is>
          <t>G</t>
        </is>
      </c>
      <c r="C3289" s="12" t="inlineStr">
        <is>
          <t>Carbon capture</t>
        </is>
      </c>
      <c r="D3289" s="12" t="inlineStr">
        <is>
          <t>Home run JB-CONDITIONAL: HP ex-DI02 to the control / marshalling room</t>
        </is>
      </c>
      <c r="E3289" s="12" t="inlineStr"/>
      <c r="F3289" s="12" t="inlineStr">
        <is>
          <t>CCS F&amp;G / control</t>
        </is>
      </c>
      <c r="G3289" s="12" t="inlineStr">
        <is>
          <t>JB-CONDITIONAL: HP ex-DI02</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G-I-0159</t>
        </is>
      </c>
      <c r="B3290" s="12" t="inlineStr">
        <is>
          <t>G</t>
        </is>
      </c>
      <c r="C3290" s="12" t="inlineStr">
        <is>
          <t>Carbon capture</t>
        </is>
      </c>
      <c r="D3290" s="12" t="inlineStr">
        <is>
          <t>RTD to JB JB-CONDITIONAL: HP ex-RTD01: 10 x 1 tri (field cables)</t>
        </is>
      </c>
      <c r="E3290" s="12" t="inlineStr"/>
      <c r="F3290" s="12" t="inlineStr">
        <is>
          <t>CONDITIONAL: HP export compressor + metering</t>
        </is>
      </c>
      <c r="G3290" s="12" t="inlineStr">
        <is>
          <t>JB-CONDITIONAL: HP ex-RTD01</t>
        </is>
      </c>
      <c r="H3290" s="12" t="inlineStr">
        <is>
          <t>CONDITIONAL: HP export compressor + metering</t>
        </is>
      </c>
      <c r="I3290" s="12" t="inlineStr">
        <is>
          <t>Instrumentation</t>
        </is>
      </c>
      <c r="J3290" s="12" t="inlineStr">
        <is>
          <t>RTD cable, #18 shielded triads, PLTC</t>
        </is>
      </c>
      <c r="K3290" s="12" t="inlineStr">
        <is>
          <t>RTD|1 tri|18</t>
        </is>
      </c>
      <c r="L3290" s="12" t="inlineStr">
        <is>
          <t>1 tri</t>
        </is>
      </c>
      <c r="M3290" s="12" t="inlineStr">
        <is>
          <t>18</t>
        </is>
      </c>
      <c r="N3290" s="12" t="n">
        <v>10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G-I-0160</t>
        </is>
      </c>
      <c r="B3291" s="12" t="inlineStr">
        <is>
          <t>G</t>
        </is>
      </c>
      <c r="C3291" s="12" t="inlineStr">
        <is>
          <t>Carbon capture</t>
        </is>
      </c>
      <c r="D3291" s="12" t="inlineStr">
        <is>
          <t>Home run JB-CONDITIONAL: HP ex-RTD01 to the control / marshalling room</t>
        </is>
      </c>
      <c r="E3291" s="12" t="inlineStr"/>
      <c r="F3291" s="12" t="inlineStr">
        <is>
          <t>CCS F&amp;G / control</t>
        </is>
      </c>
      <c r="G3291" s="12" t="inlineStr">
        <is>
          <t>JB-CONDITIONAL: HP ex-RTD01</t>
        </is>
      </c>
      <c r="H3291" s="12" t="inlineStr">
        <is>
          <t>CONDITIONAL: HP export compressor + metering</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G-I-0161</t>
        </is>
      </c>
      <c r="B3292" s="12" t="inlineStr">
        <is>
          <t>G</t>
        </is>
      </c>
      <c r="C3292" s="12" t="inlineStr">
        <is>
          <t>Carbon capture</t>
        </is>
      </c>
      <c r="D3292" s="12" t="inlineStr">
        <is>
          <t>RTD to JB JB-CONDITIONAL: HP ex-RTD02: 2 x 1 tri (field cables)</t>
        </is>
      </c>
      <c r="E3292" s="12" t="inlineStr"/>
      <c r="F3292" s="12" t="inlineStr">
        <is>
          <t>CONDITIONAL: HP export compressor + metering</t>
        </is>
      </c>
      <c r="G3292" s="12" t="inlineStr">
        <is>
          <t>JB-CONDITIONAL: HP ex-RTD02</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2</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G-I-0162</t>
        </is>
      </c>
      <c r="B3293" s="12" t="inlineStr">
        <is>
          <t>G</t>
        </is>
      </c>
      <c r="C3293" s="12" t="inlineStr">
        <is>
          <t>Carbon capture</t>
        </is>
      </c>
      <c r="D3293" s="12" t="inlineStr">
        <is>
          <t>Home run JB-CONDITIONAL: HP ex-RTD02 to the control / marshalling room</t>
        </is>
      </c>
      <c r="E3293" s="12" t="inlineStr"/>
      <c r="F3293" s="12" t="inlineStr">
        <is>
          <t>CCS F&amp;G / control</t>
        </is>
      </c>
      <c r="G3293" s="12" t="inlineStr">
        <is>
          <t>JB-CONDITIONAL: HP ex-RTD02</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G-I-0163</t>
        </is>
      </c>
      <c r="B3294" s="12" t="inlineStr">
        <is>
          <t>G</t>
        </is>
      </c>
      <c r="C3294" s="12" t="inlineStr">
        <is>
          <t>Carbon capture</t>
        </is>
      </c>
      <c r="D3294" s="12" t="inlineStr">
        <is>
          <t>Analog instrument to JB JB-DCC-A pumps + wate-AI01: 10 x 1 pr (field cables)</t>
        </is>
      </c>
      <c r="E3294" s="12" t="inlineStr"/>
      <c r="F3294" s="12" t="inlineStr">
        <is>
          <t>DCC-A pumps + water filter</t>
        </is>
      </c>
      <c r="G3294" s="12" t="inlineStr">
        <is>
          <t>JB-DCC-A pumps + wate-AI01</t>
        </is>
      </c>
      <c r="H3294" s="12" t="inlineStr">
        <is>
          <t>DCC-A pumps + water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60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G-I-0164</t>
        </is>
      </c>
      <c r="B3295" s="12" t="inlineStr">
        <is>
          <t>G</t>
        </is>
      </c>
      <c r="C3295" s="12" t="inlineStr">
        <is>
          <t>Carbon capture</t>
        </is>
      </c>
      <c r="D3295" s="12" t="inlineStr">
        <is>
          <t>Home run JB-DCC-A pumps + wate-AI01 to the control / marshalling room</t>
        </is>
      </c>
      <c r="E3295" s="12" t="inlineStr"/>
      <c r="F3295" s="12" t="inlineStr">
        <is>
          <t>CCS F&amp;G / control</t>
        </is>
      </c>
      <c r="G3295" s="12" t="inlineStr">
        <is>
          <t>JB-DCC-A pumps + wate-AI01</t>
        </is>
      </c>
      <c r="H3295" s="12" t="inlineStr">
        <is>
          <t>DCC-A pumps + water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884</v>
      </c>
      <c r="U3295" s="16" t="n">
        <v>233</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G-I-0165</t>
        </is>
      </c>
      <c r="B3296" s="12" t="inlineStr">
        <is>
          <t>G</t>
        </is>
      </c>
      <c r="C3296" s="12" t="inlineStr">
        <is>
          <t>Carbon capture</t>
        </is>
      </c>
      <c r="D3296" s="12" t="inlineStr">
        <is>
          <t>Discrete device to JB JB-DCC-A pumps + wate-DI01: 10 x 1 pr (field cables)</t>
        </is>
      </c>
      <c r="E3296" s="12" t="inlineStr"/>
      <c r="F3296" s="12" t="inlineStr">
        <is>
          <t>DCC-A pumps + water filter</t>
        </is>
      </c>
      <c r="G3296" s="12" t="inlineStr">
        <is>
          <t>JB-DCC-A pumps + wate-DI01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G-I-0166</t>
        </is>
      </c>
      <c r="B3297" s="12" t="inlineStr">
        <is>
          <t>G</t>
        </is>
      </c>
      <c r="C3297" s="12" t="inlineStr">
        <is>
          <t>Carbon capture</t>
        </is>
      </c>
      <c r="D3297" s="12" t="inlineStr">
        <is>
          <t>Home run JB-DCC-A pumps + wate-DI01 to the control / marshalling room</t>
        </is>
      </c>
      <c r="E3297" s="12" t="inlineStr"/>
      <c r="F3297" s="12" t="inlineStr">
        <is>
          <t>CCS F&amp;G / control</t>
        </is>
      </c>
      <c r="G3297" s="12" t="inlineStr">
        <is>
          <t>JB-DCC-A pumps + wate-DI01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G-I-0167</t>
        </is>
      </c>
      <c r="B3298" s="12" t="inlineStr">
        <is>
          <t>G</t>
        </is>
      </c>
      <c r="C3298" s="12" t="inlineStr">
        <is>
          <t>Carbon capture</t>
        </is>
      </c>
      <c r="D3298" s="12" t="inlineStr">
        <is>
          <t>Analog instrument to JB JB-DCC-A-AI01: 20 x 1 pr (field cables)</t>
        </is>
      </c>
      <c r="E3298" s="12" t="inlineStr">
        <is>
          <t>DCC-A</t>
        </is>
      </c>
      <c r="F3298" s="12" t="inlineStr">
        <is>
          <t>DCC-A: direct-contact cooler (quench)</t>
        </is>
      </c>
      <c r="G3298" s="12" t="inlineStr">
        <is>
          <t>JB-DCC-A-AI01</t>
        </is>
      </c>
      <c r="H3298" s="12" t="inlineStr">
        <is>
          <t>DCC-A: direct-contact cooler (quench)</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121</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G-I-0168</t>
        </is>
      </c>
      <c r="B3299" s="12" t="inlineStr">
        <is>
          <t>G</t>
        </is>
      </c>
      <c r="C3299" s="12" t="inlineStr">
        <is>
          <t>Carbon capture</t>
        </is>
      </c>
      <c r="D3299" s="12" t="inlineStr">
        <is>
          <t>Home run JB-DCC-A-AI01 to the control / marshalling room</t>
        </is>
      </c>
      <c r="E3299" s="12" t="inlineStr"/>
      <c r="F3299" s="12" t="inlineStr">
        <is>
          <t>CCS F&amp;G / control</t>
        </is>
      </c>
      <c r="G3299" s="12" t="inlineStr">
        <is>
          <t>JB-DCC-A-AI01</t>
        </is>
      </c>
      <c r="H3299" s="12" t="inlineStr">
        <is>
          <t>DCC-A: direct-contact cooler (quench)</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129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G-I-0169</t>
        </is>
      </c>
      <c r="B3300" s="12" t="inlineStr">
        <is>
          <t>G</t>
        </is>
      </c>
      <c r="C3300" s="12" t="inlineStr">
        <is>
          <t>Carbon capture</t>
        </is>
      </c>
      <c r="D3300" s="12" t="inlineStr">
        <is>
          <t>Discrete device to JB JB-DCC-A-DI01: 10 x 1 pr (field cables)</t>
        </is>
      </c>
      <c r="E3300" s="12" t="inlineStr">
        <is>
          <t>DCC-A</t>
        </is>
      </c>
      <c r="F3300" s="12" t="inlineStr">
        <is>
          <t>DCC-A: direct-contact cooler (quench)</t>
        </is>
      </c>
      <c r="G3300" s="12" t="inlineStr">
        <is>
          <t>JB-DCC-A-DI01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G-I-0170</t>
        </is>
      </c>
      <c r="B3301" s="12" t="inlineStr">
        <is>
          <t>G</t>
        </is>
      </c>
      <c r="C3301" s="12" t="inlineStr">
        <is>
          <t>Carbon capture</t>
        </is>
      </c>
      <c r="D3301" s="12" t="inlineStr">
        <is>
          <t>Home run JB-DCC-A-DI01 to the control / marshalling room</t>
        </is>
      </c>
      <c r="E3301" s="12" t="inlineStr"/>
      <c r="F3301" s="12" t="inlineStr">
        <is>
          <t>CCS F&amp;G / control</t>
        </is>
      </c>
      <c r="G3301" s="12" t="inlineStr">
        <is>
          <t>JB-DCC-A-DI01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G-I-0171</t>
        </is>
      </c>
      <c r="B3302" s="12" t="inlineStr">
        <is>
          <t>G</t>
        </is>
      </c>
      <c r="C3302" s="12" t="inlineStr">
        <is>
          <t>Carbon capture</t>
        </is>
      </c>
      <c r="D3302" s="12" t="inlineStr">
        <is>
          <t>Analog instrument to JB JB-DCC-B pumps + wate-AI01: 10 x 1 pr (field cables)</t>
        </is>
      </c>
      <c r="E3302" s="12" t="inlineStr"/>
      <c r="F3302" s="12" t="inlineStr">
        <is>
          <t>DCC-B pumps + water filter</t>
        </is>
      </c>
      <c r="G3302" s="12" t="inlineStr">
        <is>
          <t>JB-DCC-B pumps + wate-AI01</t>
        </is>
      </c>
      <c r="H3302" s="12" t="inlineStr">
        <is>
          <t>DCC-B pumps + water filter</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60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G-I-0172</t>
        </is>
      </c>
      <c r="B3303" s="12" t="inlineStr">
        <is>
          <t>G</t>
        </is>
      </c>
      <c r="C3303" s="12" t="inlineStr">
        <is>
          <t>Carbon capture</t>
        </is>
      </c>
      <c r="D3303" s="12" t="inlineStr">
        <is>
          <t>Home run JB-DCC-B pumps + wate-AI01 to the control / marshalling room</t>
        </is>
      </c>
      <c r="E3303" s="12" t="inlineStr"/>
      <c r="F3303" s="12" t="inlineStr">
        <is>
          <t>CCS F&amp;G / control</t>
        </is>
      </c>
      <c r="G3303" s="12" t="inlineStr">
        <is>
          <t>JB-DCC-B pumps + wate-AI01</t>
        </is>
      </c>
      <c r="H3303" s="12" t="inlineStr">
        <is>
          <t>DCC-B pumps + water filter</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Tray</t>
        </is>
      </c>
      <c r="T3303" s="16" t="n">
        <v>784</v>
      </c>
      <c r="U3303" s="16" t="n">
        <v>191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G-I-0173</t>
        </is>
      </c>
      <c r="B3304" s="12" t="inlineStr">
        <is>
          <t>G</t>
        </is>
      </c>
      <c r="C3304" s="12" t="inlineStr">
        <is>
          <t>Carbon capture</t>
        </is>
      </c>
      <c r="D3304" s="12" t="inlineStr">
        <is>
          <t>Discrete device to JB JB-DCC-B pumps + wate-DI01: 10 x 1 pr (field cables)</t>
        </is>
      </c>
      <c r="E3304" s="12" t="inlineStr"/>
      <c r="F3304" s="12" t="inlineStr">
        <is>
          <t>DCC-B pumps + water filter</t>
        </is>
      </c>
      <c r="G3304" s="12" t="inlineStr">
        <is>
          <t>JB-DCC-B pumps + wate-DI01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G-I-0174</t>
        </is>
      </c>
      <c r="B3305" s="12" t="inlineStr">
        <is>
          <t>G</t>
        </is>
      </c>
      <c r="C3305" s="12" t="inlineStr">
        <is>
          <t>Carbon capture</t>
        </is>
      </c>
      <c r="D3305" s="12" t="inlineStr">
        <is>
          <t>Home run JB-DCC-B pumps + wate-DI01 to the control / marshalling room</t>
        </is>
      </c>
      <c r="E3305" s="12" t="inlineStr"/>
      <c r="F3305" s="12" t="inlineStr">
        <is>
          <t>CCS F&amp;G / control</t>
        </is>
      </c>
      <c r="G3305" s="12" t="inlineStr">
        <is>
          <t>JB-DCC-B pumps + wate-DI01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G-I-0175</t>
        </is>
      </c>
      <c r="B3306" s="12" t="inlineStr">
        <is>
          <t>G</t>
        </is>
      </c>
      <c r="C3306" s="12" t="inlineStr">
        <is>
          <t>Carbon capture</t>
        </is>
      </c>
      <c r="D3306" s="12" t="inlineStr">
        <is>
          <t>Analog instrument to JB JB-DCC-B-AI01: 20 x 1 pr (field cables)</t>
        </is>
      </c>
      <c r="E3306" s="12" t="inlineStr">
        <is>
          <t>DCC-B</t>
        </is>
      </c>
      <c r="F3306" s="12" t="inlineStr">
        <is>
          <t>DCC-B: direct-contact cooler (quench)</t>
        </is>
      </c>
      <c r="G3306" s="12" t="inlineStr">
        <is>
          <t>JB-DCC-B-AI01</t>
        </is>
      </c>
      <c r="H3306" s="12" t="inlineStr">
        <is>
          <t>DCC-B: direct-contact cooler (quench)</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121</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G-I-0176</t>
        </is>
      </c>
      <c r="B3307" s="12" t="inlineStr">
        <is>
          <t>G</t>
        </is>
      </c>
      <c r="C3307" s="12" t="inlineStr">
        <is>
          <t>Carbon capture</t>
        </is>
      </c>
      <c r="D3307" s="12" t="inlineStr">
        <is>
          <t>Home run JB-DCC-B-AI01 to the control / marshalling room</t>
        </is>
      </c>
      <c r="E3307" s="12" t="inlineStr"/>
      <c r="F3307" s="12" t="inlineStr">
        <is>
          <t>CCS F&amp;G / control</t>
        </is>
      </c>
      <c r="G3307" s="12" t="inlineStr">
        <is>
          <t>JB-DCC-B-AI01</t>
        </is>
      </c>
      <c r="H3307" s="12" t="inlineStr">
        <is>
          <t>DCC-B: direct-contact cooler (quench)</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129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G-I-0177</t>
        </is>
      </c>
      <c r="B3308" s="12" t="inlineStr">
        <is>
          <t>G</t>
        </is>
      </c>
      <c r="C3308" s="12" t="inlineStr">
        <is>
          <t>Carbon capture</t>
        </is>
      </c>
      <c r="D3308" s="12" t="inlineStr">
        <is>
          <t>Discrete device to JB JB-DCC-B-DI01: 10 x 1 pr (field cables)</t>
        </is>
      </c>
      <c r="E3308" s="12" t="inlineStr">
        <is>
          <t>DCC-B</t>
        </is>
      </c>
      <c r="F3308" s="12" t="inlineStr">
        <is>
          <t>DCC-B: direct-contact cooler (quench)</t>
        </is>
      </c>
      <c r="G3308" s="12" t="inlineStr">
        <is>
          <t>JB-DCC-B-DI01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G-I-0178</t>
        </is>
      </c>
      <c r="B3309" s="12" t="inlineStr">
        <is>
          <t>G</t>
        </is>
      </c>
      <c r="C3309" s="12" t="inlineStr">
        <is>
          <t>Carbon capture</t>
        </is>
      </c>
      <c r="D3309" s="12" t="inlineStr">
        <is>
          <t>Home run JB-DCC-B-DI01 to the control / marshalling room</t>
        </is>
      </c>
      <c r="E3309" s="12" t="inlineStr"/>
      <c r="F3309" s="12" t="inlineStr">
        <is>
          <t>CCS F&amp;G / control</t>
        </is>
      </c>
      <c r="G3309" s="12" t="inlineStr">
        <is>
          <t>JB-DCC-B-DI01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G-I-0179</t>
        </is>
      </c>
      <c r="B3310" s="12" t="inlineStr">
        <is>
          <t>G</t>
        </is>
      </c>
      <c r="C3310" s="12" t="inlineStr">
        <is>
          <t>Carbon capture</t>
        </is>
      </c>
      <c r="D3310" s="12" t="inlineStr">
        <is>
          <t>Analog instrument to JB JB-DCC-C pumps + wate-AI01: 10 x 1 pr (field cables)</t>
        </is>
      </c>
      <c r="E3310" s="12" t="inlineStr"/>
      <c r="F3310" s="12" t="inlineStr">
        <is>
          <t>DCC-C pumps + water filter</t>
        </is>
      </c>
      <c r="G3310" s="12" t="inlineStr">
        <is>
          <t>JB-DCC-C pumps + wate-AI01</t>
        </is>
      </c>
      <c r="H3310" s="12" t="inlineStr">
        <is>
          <t>DCC-C pumps + water filter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60</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G-I-0180</t>
        </is>
      </c>
      <c r="B3311" s="12" t="inlineStr">
        <is>
          <t>G</t>
        </is>
      </c>
      <c r="C3311" s="12" t="inlineStr">
        <is>
          <t>Carbon capture</t>
        </is>
      </c>
      <c r="D3311" s="12" t="inlineStr">
        <is>
          <t>Home run JB-DCC-C pumps + wate-AI01 to the control / marshalling room</t>
        </is>
      </c>
      <c r="E3311" s="12" t="inlineStr"/>
      <c r="F3311" s="12" t="inlineStr">
        <is>
          <t>CCS F&amp;G / control</t>
        </is>
      </c>
      <c r="G3311" s="12" t="inlineStr">
        <is>
          <t>JB-DCC-C pumps + wate-AI01</t>
        </is>
      </c>
      <c r="H3311" s="12" t="inlineStr">
        <is>
          <t>DCC-C pumps + water filter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564</v>
      </c>
      <c r="U3311" s="16" t="n">
        <v>233</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G-I-0181</t>
        </is>
      </c>
      <c r="B3312" s="12" t="inlineStr">
        <is>
          <t>G</t>
        </is>
      </c>
      <c r="C3312" s="12" t="inlineStr">
        <is>
          <t>Carbon capture</t>
        </is>
      </c>
      <c r="D3312" s="12" t="inlineStr">
        <is>
          <t>Discrete device to JB JB-DCC-C pumps + wate-DI01: 10 x 1 pr (field cables)</t>
        </is>
      </c>
      <c r="E3312" s="12" t="inlineStr"/>
      <c r="F3312" s="12" t="inlineStr">
        <is>
          <t>DCC-C pumps + water filter</t>
        </is>
      </c>
      <c r="G3312" s="12" t="inlineStr">
        <is>
          <t>JB-DCC-C pumps + wate-DI01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G-I-0182</t>
        </is>
      </c>
      <c r="B3313" s="12" t="inlineStr">
        <is>
          <t>G</t>
        </is>
      </c>
      <c r="C3313" s="12" t="inlineStr">
        <is>
          <t>Carbon capture</t>
        </is>
      </c>
      <c r="D3313" s="12" t="inlineStr">
        <is>
          <t>Home run JB-DCC-C pumps + wate-DI01 to the control / marshalling room</t>
        </is>
      </c>
      <c r="E3313" s="12" t="inlineStr"/>
      <c r="F3313" s="12" t="inlineStr">
        <is>
          <t>CCS F&amp;G / control</t>
        </is>
      </c>
      <c r="G3313" s="12" t="inlineStr">
        <is>
          <t>JB-DCC-C pumps + wate-DI01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G-I-0183</t>
        </is>
      </c>
      <c r="B3314" s="12" t="inlineStr">
        <is>
          <t>G</t>
        </is>
      </c>
      <c r="C3314" s="12" t="inlineStr">
        <is>
          <t>Carbon capture</t>
        </is>
      </c>
      <c r="D3314" s="12" t="inlineStr">
        <is>
          <t>Analog instrument to JB JB-DCC-C-AI01: 20 x 1 pr (field cables)</t>
        </is>
      </c>
      <c r="E3314" s="12" t="inlineStr">
        <is>
          <t>DCC-C</t>
        </is>
      </c>
      <c r="F3314" s="12" t="inlineStr">
        <is>
          <t>DCC-C: direct-contact cooler (quench)</t>
        </is>
      </c>
      <c r="G3314" s="12" t="inlineStr">
        <is>
          <t>JB-DCC-C-AI01</t>
        </is>
      </c>
      <c r="H3314" s="12" t="inlineStr">
        <is>
          <t>DCC-C: direct-contact cooler (quench)</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121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G-I-0184</t>
        </is>
      </c>
      <c r="B3315" s="12" t="inlineStr">
        <is>
          <t>G</t>
        </is>
      </c>
      <c r="C3315" s="12" t="inlineStr">
        <is>
          <t>Carbon capture</t>
        </is>
      </c>
      <c r="D3315" s="12" t="inlineStr">
        <is>
          <t>Home run JB-DCC-C-AI01 to the control / marshalling room</t>
        </is>
      </c>
      <c r="E3315" s="12" t="inlineStr"/>
      <c r="F3315" s="12" t="inlineStr">
        <is>
          <t>CCS F&amp;G / control</t>
        </is>
      </c>
      <c r="G3315" s="12" t="inlineStr">
        <is>
          <t>JB-DCC-C-AI01</t>
        </is>
      </c>
      <c r="H3315" s="12" t="inlineStr">
        <is>
          <t>DCC-C: direct-contact cooler (quench)</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541</v>
      </c>
      <c r="U3315" s="16" t="n">
        <v>129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G-I-0185</t>
        </is>
      </c>
      <c r="B3316" s="12" t="inlineStr">
        <is>
          <t>G</t>
        </is>
      </c>
      <c r="C3316" s="12" t="inlineStr">
        <is>
          <t>Carbon capture</t>
        </is>
      </c>
      <c r="D3316" s="12" t="inlineStr">
        <is>
          <t>Discrete device to JB JB-DCC-C-DI01: 10 x 1 pr (field cables)</t>
        </is>
      </c>
      <c r="E3316" s="12" t="inlineStr">
        <is>
          <t>DCC-C</t>
        </is>
      </c>
      <c r="F3316" s="12" t="inlineStr">
        <is>
          <t>DCC-C: direct-contact cooler (quench)</t>
        </is>
      </c>
      <c r="G3316" s="12" t="inlineStr">
        <is>
          <t>JB-DCC-C-DI01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G-I-0186</t>
        </is>
      </c>
      <c r="B3317" s="12" t="inlineStr">
        <is>
          <t>G</t>
        </is>
      </c>
      <c r="C3317" s="12" t="inlineStr">
        <is>
          <t>Carbon capture</t>
        </is>
      </c>
      <c r="D3317" s="12" t="inlineStr">
        <is>
          <t>Home run JB-DCC-C-DI01 to the control / marshalling room</t>
        </is>
      </c>
      <c r="E3317" s="12" t="inlineStr"/>
      <c r="F3317" s="12" t="inlineStr">
        <is>
          <t>CCS F&amp;G / control</t>
        </is>
      </c>
      <c r="G3317" s="12" t="inlineStr">
        <is>
          <t>JB-DCC-C-DI01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G-I-0187</t>
        </is>
      </c>
      <c r="B3318" s="12" t="inlineStr">
        <is>
          <t>G</t>
        </is>
      </c>
      <c r="C3318" s="12" t="inlineStr">
        <is>
          <t>Carbon capture</t>
        </is>
      </c>
      <c r="D3318" s="12" t="inlineStr">
        <is>
          <t>Analog instrument to JB JB-DMP-A-AI01: 8 x 1 pr (field cables)</t>
        </is>
      </c>
      <c r="E3318" s="12" t="inlineStr">
        <is>
          <t>DMP-A</t>
        </is>
      </c>
      <c r="F3318" s="12" t="inlineStr">
        <is>
          <t>DMP-A: diverter / bypass damper</t>
        </is>
      </c>
      <c r="G3318" s="12" t="inlineStr">
        <is>
          <t>JB-DMP-A-AI01</t>
        </is>
      </c>
      <c r="H3318" s="12" t="inlineStr">
        <is>
          <t>DMP-A: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74</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G-I-0188</t>
        </is>
      </c>
      <c r="B3319" s="12" t="inlineStr">
        <is>
          <t>G</t>
        </is>
      </c>
      <c r="C3319" s="12" t="inlineStr">
        <is>
          <t>Carbon capture</t>
        </is>
      </c>
      <c r="D3319" s="12" t="inlineStr">
        <is>
          <t>Home run JB-DMP-A-AI01 to the control / marshalling room</t>
        </is>
      </c>
      <c r="E3319" s="12" t="inlineStr"/>
      <c r="F3319" s="12" t="inlineStr">
        <is>
          <t>CCS F&amp;G / control</t>
        </is>
      </c>
      <c r="G3319" s="12" t="inlineStr">
        <is>
          <t>JB-DMP-A-AI01</t>
        </is>
      </c>
      <c r="H3319" s="12" t="inlineStr">
        <is>
          <t>DMP-A: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Tray</t>
        </is>
      </c>
      <c r="T3319" s="16" t="n">
        <v>1230</v>
      </c>
      <c r="U3319" s="16" t="n">
        <v>193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G-I-0189</t>
        </is>
      </c>
      <c r="B3320" s="12" t="inlineStr">
        <is>
          <t>G</t>
        </is>
      </c>
      <c r="C3320" s="12" t="inlineStr">
        <is>
          <t>Carbon capture</t>
        </is>
      </c>
      <c r="D3320" s="12" t="inlineStr">
        <is>
          <t>Discrete device to JB JB-DMP-A-DI01: 16 x 1 pr (field cables)</t>
        </is>
      </c>
      <c r="E3320" s="12" t="inlineStr">
        <is>
          <t>DMP-A</t>
        </is>
      </c>
      <c r="F3320" s="12" t="inlineStr">
        <is>
          <t>DMP-A: diverter / bypass damper</t>
        </is>
      </c>
      <c r="G3320" s="12" t="inlineStr">
        <is>
          <t>JB-DMP-A-DI01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G-I-0190</t>
        </is>
      </c>
      <c r="B3321" s="12" t="inlineStr">
        <is>
          <t>G</t>
        </is>
      </c>
      <c r="C3321" s="12" t="inlineStr">
        <is>
          <t>Carbon capture</t>
        </is>
      </c>
      <c r="D3321" s="12" t="inlineStr">
        <is>
          <t>Home run JB-DMP-A-DI01 to the control / marshalling room</t>
        </is>
      </c>
      <c r="E3321" s="12" t="inlineStr"/>
      <c r="F3321" s="12" t="inlineStr">
        <is>
          <t>CCS F&amp;G / control</t>
        </is>
      </c>
      <c r="G3321" s="12" t="inlineStr">
        <is>
          <t>JB-DMP-A-DI01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G-I-0191</t>
        </is>
      </c>
      <c r="B3322" s="12" t="inlineStr">
        <is>
          <t>G</t>
        </is>
      </c>
      <c r="C3322" s="12" t="inlineStr">
        <is>
          <t>Carbon capture</t>
        </is>
      </c>
      <c r="D3322" s="12" t="inlineStr">
        <is>
          <t>Analog instrument to JB JB-DMP-B-AI01: 8 x 1 pr (field cables)</t>
        </is>
      </c>
      <c r="E3322" s="12" t="inlineStr">
        <is>
          <t>DMP-B</t>
        </is>
      </c>
      <c r="F3322" s="12" t="inlineStr">
        <is>
          <t>DMP-B: diverter / bypass damper</t>
        </is>
      </c>
      <c r="G3322" s="12" t="inlineStr">
        <is>
          <t>JB-DMP-B-AI01</t>
        </is>
      </c>
      <c r="H3322" s="12" t="inlineStr">
        <is>
          <t>DMP-B: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G-I-0192</t>
        </is>
      </c>
      <c r="B3323" s="12" t="inlineStr">
        <is>
          <t>G</t>
        </is>
      </c>
      <c r="C3323" s="12" t="inlineStr">
        <is>
          <t>Carbon capture</t>
        </is>
      </c>
      <c r="D3323" s="12" t="inlineStr">
        <is>
          <t>Home run JB-DMP-B-AI01 to the control / marshalling room</t>
        </is>
      </c>
      <c r="E3323" s="12" t="inlineStr"/>
      <c r="F3323" s="12" t="inlineStr">
        <is>
          <t>CCS F&amp;G / control</t>
        </is>
      </c>
      <c r="G3323" s="12" t="inlineStr">
        <is>
          <t>JB-DMP-B-AI01</t>
        </is>
      </c>
      <c r="H3323" s="12" t="inlineStr">
        <is>
          <t>DMP-B: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Duct bank</t>
        </is>
      </c>
      <c r="T3323" s="16" t="n">
        <v>1074</v>
      </c>
      <c r="U3323" s="16" t="n">
        <v>189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G-I-0193</t>
        </is>
      </c>
      <c r="B3324" s="12" t="inlineStr">
        <is>
          <t>G</t>
        </is>
      </c>
      <c r="C3324" s="12" t="inlineStr">
        <is>
          <t>Carbon capture</t>
        </is>
      </c>
      <c r="D3324" s="12" t="inlineStr">
        <is>
          <t>Discrete device to JB JB-DMP-B-DI01: 16 x 1 pr (field cables)</t>
        </is>
      </c>
      <c r="E3324" s="12" t="inlineStr">
        <is>
          <t>DMP-B</t>
        </is>
      </c>
      <c r="F3324" s="12" t="inlineStr">
        <is>
          <t>DMP-B: diverter / bypass damper</t>
        </is>
      </c>
      <c r="G3324" s="12" t="inlineStr">
        <is>
          <t>JB-DMP-B-DI01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G-I-0194</t>
        </is>
      </c>
      <c r="B3325" s="12" t="inlineStr">
        <is>
          <t>G</t>
        </is>
      </c>
      <c r="C3325" s="12" t="inlineStr">
        <is>
          <t>Carbon capture</t>
        </is>
      </c>
      <c r="D3325" s="12" t="inlineStr">
        <is>
          <t>Home run JB-DMP-B-DI01 to the control / marshalling room</t>
        </is>
      </c>
      <c r="E3325" s="12" t="inlineStr"/>
      <c r="F3325" s="12" t="inlineStr">
        <is>
          <t>CCS F&amp;G / control</t>
        </is>
      </c>
      <c r="G3325" s="12" t="inlineStr">
        <is>
          <t>JB-DMP-B-DI01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G-I-0195</t>
        </is>
      </c>
      <c r="B3326" s="12" t="inlineStr">
        <is>
          <t>G</t>
        </is>
      </c>
      <c r="C3326" s="12" t="inlineStr">
        <is>
          <t>Carbon capture</t>
        </is>
      </c>
      <c r="D3326" s="12" t="inlineStr">
        <is>
          <t>Analog instrument to JB JB-DMP-C-AI01: 8 x 1 pr (field cables)</t>
        </is>
      </c>
      <c r="E3326" s="12" t="inlineStr">
        <is>
          <t>DMP-C</t>
        </is>
      </c>
      <c r="F3326" s="12" t="inlineStr">
        <is>
          <t>DMP-C: diverter / bypass damper</t>
        </is>
      </c>
      <c r="G3326" s="12" t="inlineStr">
        <is>
          <t>JB-DMP-C-AI01</t>
        </is>
      </c>
      <c r="H3326" s="12" t="inlineStr">
        <is>
          <t>DMP-C: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G-I-0196</t>
        </is>
      </c>
      <c r="B3327" s="12" t="inlineStr">
        <is>
          <t>G</t>
        </is>
      </c>
      <c r="C3327" s="12" t="inlineStr">
        <is>
          <t>Carbon capture</t>
        </is>
      </c>
      <c r="D3327" s="12" t="inlineStr">
        <is>
          <t>Home run JB-DMP-C-AI01 to the control / marshalling room</t>
        </is>
      </c>
      <c r="E3327" s="12" t="inlineStr"/>
      <c r="F3327" s="12" t="inlineStr">
        <is>
          <t>CCS F&amp;G / control</t>
        </is>
      </c>
      <c r="G3327" s="12" t="inlineStr">
        <is>
          <t>JB-DMP-C-AI01</t>
        </is>
      </c>
      <c r="H3327" s="12" t="inlineStr">
        <is>
          <t>DMP-C: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910</v>
      </c>
      <c r="U3327" s="16" t="n">
        <v>193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G-I-0197</t>
        </is>
      </c>
      <c r="B3328" s="12" t="inlineStr">
        <is>
          <t>G</t>
        </is>
      </c>
      <c r="C3328" s="12" t="inlineStr">
        <is>
          <t>Carbon capture</t>
        </is>
      </c>
      <c r="D3328" s="12" t="inlineStr">
        <is>
          <t>Discrete device to JB JB-DMP-C-DI01: 16 x 1 pr (field cables)</t>
        </is>
      </c>
      <c r="E3328" s="12" t="inlineStr">
        <is>
          <t>DMP-C</t>
        </is>
      </c>
      <c r="F3328" s="12" t="inlineStr">
        <is>
          <t>DMP-C: diverter / bypass damper</t>
        </is>
      </c>
      <c r="G3328" s="12" t="inlineStr">
        <is>
          <t>JB-DMP-C-DI01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G-I-0198</t>
        </is>
      </c>
      <c r="B3329" s="12" t="inlineStr">
        <is>
          <t>G</t>
        </is>
      </c>
      <c r="C3329" s="12" t="inlineStr">
        <is>
          <t>Carbon capture</t>
        </is>
      </c>
      <c r="D3329" s="12" t="inlineStr">
        <is>
          <t>Home run JB-DMP-C-DI01 to the control / marshalling room</t>
        </is>
      </c>
      <c r="E3329" s="12" t="inlineStr"/>
      <c r="F3329" s="12" t="inlineStr">
        <is>
          <t>CCS F&amp;G / control</t>
        </is>
      </c>
      <c r="G3329" s="12" t="inlineStr">
        <is>
          <t>JB-DMP-C-DI01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G-I-0199</t>
        </is>
      </c>
      <c r="B3330" s="12" t="inlineStr">
        <is>
          <t>G</t>
        </is>
      </c>
      <c r="C3330" s="12" t="inlineStr">
        <is>
          <t>Carbon capture</t>
        </is>
      </c>
      <c r="D3330" s="12" t="inlineStr">
        <is>
          <t>Analog instrument to JB JB-RB-A: reboiler (LP-AI01: 15 x 1 pr (field cables)</t>
        </is>
      </c>
      <c r="E3330" s="12" t="inlineStr"/>
      <c r="F3330" s="12" t="inlineStr">
        <is>
          <t>RB-A: reboiler (LP steam from ST extraction)</t>
        </is>
      </c>
      <c r="G3330" s="12" t="inlineStr">
        <is>
          <t>JB-RB-A: reboiler (LP-AI01</t>
        </is>
      </c>
      <c r="H3330" s="12" t="inlineStr">
        <is>
          <t>RB-A: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6" t="n">
        <v>80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G-I-0200</t>
        </is>
      </c>
      <c r="B3331" s="12" t="inlineStr">
        <is>
          <t>G</t>
        </is>
      </c>
      <c r="C3331" s="12" t="inlineStr">
        <is>
          <t>Carbon capture</t>
        </is>
      </c>
      <c r="D3331" s="12" t="inlineStr">
        <is>
          <t>Home run JB-RB-A: reboiler (LP-AI01 to the control / marshalling room</t>
        </is>
      </c>
      <c r="E3331" s="12" t="inlineStr"/>
      <c r="F3331" s="12" t="inlineStr">
        <is>
          <t>CCS F&amp;G / control</t>
        </is>
      </c>
      <c r="G3331" s="12" t="inlineStr">
        <is>
          <t>JB-RB-A: reboiler (LP-AI01</t>
        </is>
      </c>
      <c r="H3331" s="12" t="inlineStr">
        <is>
          <t>RB-A: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266</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G-I-0201</t>
        </is>
      </c>
      <c r="B3332" s="12" t="inlineStr">
        <is>
          <t>G</t>
        </is>
      </c>
      <c r="C3332" s="12" t="inlineStr">
        <is>
          <t>Carbon capture</t>
        </is>
      </c>
      <c r="D3332" s="12" t="inlineStr">
        <is>
          <t>Discrete device to JB JB-RB-A: reboiler (LP-DI01: 10 x 1 pr (field cables)</t>
        </is>
      </c>
      <c r="E3332" s="12" t="inlineStr"/>
      <c r="F3332" s="12" t="inlineStr">
        <is>
          <t>RB-A: reboiler (LP steam from ST extraction)</t>
        </is>
      </c>
      <c r="G3332" s="12" t="inlineStr">
        <is>
          <t>JB-RB-A: reboiler (LP-DI01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G-I-0202</t>
        </is>
      </c>
      <c r="B3333" s="12" t="inlineStr">
        <is>
          <t>G</t>
        </is>
      </c>
      <c r="C3333" s="12" t="inlineStr">
        <is>
          <t>Carbon capture</t>
        </is>
      </c>
      <c r="D3333" s="12" t="inlineStr">
        <is>
          <t>Home run JB-RB-A: reboiler (LP-DI01 to the control / marshalling room</t>
        </is>
      </c>
      <c r="E3333" s="12" t="inlineStr"/>
      <c r="F3333" s="12" t="inlineStr">
        <is>
          <t>CCS F&amp;G / control</t>
        </is>
      </c>
      <c r="G3333" s="12" t="inlineStr">
        <is>
          <t>JB-RB-A: reboiler (LP-DI01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G-I-0203</t>
        </is>
      </c>
      <c r="B3334" s="12" t="inlineStr">
        <is>
          <t>G</t>
        </is>
      </c>
      <c r="C3334" s="12" t="inlineStr">
        <is>
          <t>Carbon capture</t>
        </is>
      </c>
      <c r="D3334" s="12" t="inlineStr">
        <is>
          <t>Analog instrument to JB JB-RB-B: reboiler (LP-AI01: 15 x 1 pr (field cables)</t>
        </is>
      </c>
      <c r="E3334" s="12" t="inlineStr"/>
      <c r="F3334" s="12" t="inlineStr">
        <is>
          <t>RB-B: reboiler (LP steam from ST extraction)</t>
        </is>
      </c>
      <c r="G3334" s="12" t="inlineStr">
        <is>
          <t>JB-RB-B: reboiler (LP-AI01</t>
        </is>
      </c>
      <c r="H3334" s="12" t="inlineStr">
        <is>
          <t>RB-B: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G-I-0204</t>
        </is>
      </c>
      <c r="B3335" s="12" t="inlineStr">
        <is>
          <t>G</t>
        </is>
      </c>
      <c r="C3335" s="12" t="inlineStr">
        <is>
          <t>Carbon capture</t>
        </is>
      </c>
      <c r="D3335" s="12" t="inlineStr">
        <is>
          <t>Home run JB-RB-B: reboiler (LP-AI01 to the control / marshalling room</t>
        </is>
      </c>
      <c r="E3335" s="12" t="inlineStr"/>
      <c r="F3335" s="12" t="inlineStr">
        <is>
          <t>CCS F&amp;G / control</t>
        </is>
      </c>
      <c r="G3335" s="12" t="inlineStr">
        <is>
          <t>JB-RB-B: reboiler (LP-AI01</t>
        </is>
      </c>
      <c r="H3335" s="12" t="inlineStr">
        <is>
          <t>RB-B: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216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G-I-0205</t>
        </is>
      </c>
      <c r="B3336" s="12" t="inlineStr">
        <is>
          <t>G</t>
        </is>
      </c>
      <c r="C3336" s="12" t="inlineStr">
        <is>
          <t>Carbon capture</t>
        </is>
      </c>
      <c r="D3336" s="12" t="inlineStr">
        <is>
          <t>Discrete device to JB JB-RB-B: reboiler (LP-DI01: 10 x 1 pr (field cables)</t>
        </is>
      </c>
      <c r="E3336" s="12" t="inlineStr"/>
      <c r="F3336" s="12" t="inlineStr">
        <is>
          <t>RB-B: reboiler (LP steam from ST extraction)</t>
        </is>
      </c>
      <c r="G3336" s="12" t="inlineStr">
        <is>
          <t>JB-RB-B: reboiler (LP-DI01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G-I-0206</t>
        </is>
      </c>
      <c r="B3337" s="12" t="inlineStr">
        <is>
          <t>G</t>
        </is>
      </c>
      <c r="C3337" s="12" t="inlineStr">
        <is>
          <t>Carbon capture</t>
        </is>
      </c>
      <c r="D3337" s="12" t="inlineStr">
        <is>
          <t>Home run JB-RB-B: reboiler (LP-DI01 to the control / marshalling room</t>
        </is>
      </c>
      <c r="E3337" s="12" t="inlineStr"/>
      <c r="F3337" s="12" t="inlineStr">
        <is>
          <t>CCS F&amp;G / control</t>
        </is>
      </c>
      <c r="G3337" s="12" t="inlineStr">
        <is>
          <t>JB-RB-B: reboiler (LP-DI01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G-I-0207</t>
        </is>
      </c>
      <c r="B3338" s="12" t="inlineStr">
        <is>
          <t>G</t>
        </is>
      </c>
      <c r="C3338" s="12" t="inlineStr">
        <is>
          <t>Carbon capture</t>
        </is>
      </c>
      <c r="D3338" s="12" t="inlineStr">
        <is>
          <t>Analog instrument to JB JB-RB-C: reboiler (LP-AI01: 15 x 1 pr (field cables)</t>
        </is>
      </c>
      <c r="E3338" s="12" t="inlineStr"/>
      <c r="F3338" s="12" t="inlineStr">
        <is>
          <t>RB-C: reboiler (LP steam from ST extraction)</t>
        </is>
      </c>
      <c r="G3338" s="12" t="inlineStr">
        <is>
          <t>JB-RB-C: reboiler (LP-AI01</t>
        </is>
      </c>
      <c r="H3338" s="12" t="inlineStr">
        <is>
          <t>RB-C: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G-I-0208</t>
        </is>
      </c>
      <c r="B3339" s="12" t="inlineStr">
        <is>
          <t>G</t>
        </is>
      </c>
      <c r="C3339" s="12" t="inlineStr">
        <is>
          <t>Carbon capture</t>
        </is>
      </c>
      <c r="D3339" s="12" t="inlineStr">
        <is>
          <t>Home run JB-RB-C: reboiler (LP-AI01 to the control / marshalling room</t>
        </is>
      </c>
      <c r="E3339" s="12" t="inlineStr"/>
      <c r="F3339" s="12" t="inlineStr">
        <is>
          <t>CCS F&amp;G / control</t>
        </is>
      </c>
      <c r="G3339" s="12" t="inlineStr">
        <is>
          <t>JB-RB-C: reboiler (LP-AI01</t>
        </is>
      </c>
      <c r="H3339" s="12" t="inlineStr">
        <is>
          <t>RB-C: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161</v>
      </c>
      <c r="U3339" s="16" t="n">
        <v>116</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G-I-0209</t>
        </is>
      </c>
      <c r="B3340" s="12" t="inlineStr">
        <is>
          <t>G</t>
        </is>
      </c>
      <c r="C3340" s="12" t="inlineStr">
        <is>
          <t>Carbon capture</t>
        </is>
      </c>
      <c r="D3340" s="12" t="inlineStr">
        <is>
          <t>Discrete device to JB JB-RB-C: reboiler (LP-DI01: 10 x 1 pr (field cables)</t>
        </is>
      </c>
      <c r="E3340" s="12" t="inlineStr"/>
      <c r="F3340" s="12" t="inlineStr">
        <is>
          <t>RB-C: reboiler (LP steam from ST extraction)</t>
        </is>
      </c>
      <c r="G3340" s="12" t="inlineStr">
        <is>
          <t>JB-RB-C: reboiler (LP-DI01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G-I-0210</t>
        </is>
      </c>
      <c r="B3341" s="12" t="inlineStr">
        <is>
          <t>G</t>
        </is>
      </c>
      <c r="C3341" s="12" t="inlineStr">
        <is>
          <t>Carbon capture</t>
        </is>
      </c>
      <c r="D3341" s="12" t="inlineStr">
        <is>
          <t>Home run JB-RB-C: reboiler (LP-DI01 to the control / marshalling room</t>
        </is>
      </c>
      <c r="E3341" s="12" t="inlineStr"/>
      <c r="F3341" s="12" t="inlineStr">
        <is>
          <t>CCS F&amp;G / control</t>
        </is>
      </c>
      <c r="G3341" s="12" t="inlineStr">
        <is>
          <t>JB-RB-C: reboiler (LP-DI01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G-I-0211</t>
        </is>
      </c>
      <c r="B3342" s="12" t="inlineStr">
        <is>
          <t>G</t>
        </is>
      </c>
      <c r="C3342" s="12" t="inlineStr">
        <is>
          <t>Carbon capture</t>
        </is>
      </c>
      <c r="D3342" s="12" t="inlineStr">
        <is>
          <t>Analog instrument to JB JB-Reclaimer (thermal-AI01: 15 x 1 pr (field cables)</t>
        </is>
      </c>
      <c r="E3342" s="12" t="inlineStr"/>
      <c r="F3342" s="12" t="inlineStr">
        <is>
          <t>Reclaimer (thermal, intermittent)</t>
        </is>
      </c>
      <c r="G3342" s="12" t="inlineStr">
        <is>
          <t>JB-Reclaimer (thermal-AI01</t>
        </is>
      </c>
      <c r="H3342" s="12" t="inlineStr">
        <is>
          <t>Reclaimer (thermal, intermittent)</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15</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G-I-0212</t>
        </is>
      </c>
      <c r="B3343" s="12" t="inlineStr">
        <is>
          <t>G</t>
        </is>
      </c>
      <c r="C3343" s="12" t="inlineStr">
        <is>
          <t>Carbon capture</t>
        </is>
      </c>
      <c r="D3343" s="12" t="inlineStr">
        <is>
          <t>Home run JB-Reclaimer (thermal-AI01 to the control / marshalling room</t>
        </is>
      </c>
      <c r="E3343" s="12" t="inlineStr"/>
      <c r="F3343" s="12" t="inlineStr">
        <is>
          <t>CCS F&amp;G / control</t>
        </is>
      </c>
      <c r="G3343" s="12" t="inlineStr">
        <is>
          <t>JB-Reclaimer (thermal-AI01</t>
        </is>
      </c>
      <c r="H3343" s="12" t="inlineStr">
        <is>
          <t>Reclaimer (thermal, intermittent)</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130</v>
      </c>
      <c r="U3343" s="16" t="n">
        <v>102</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G-I-0213</t>
        </is>
      </c>
      <c r="B3344" s="12" t="inlineStr">
        <is>
          <t>G</t>
        </is>
      </c>
      <c r="C3344" s="12" t="inlineStr">
        <is>
          <t>Carbon capture</t>
        </is>
      </c>
      <c r="D3344" s="12" t="inlineStr">
        <is>
          <t>Discrete device to JB JB-Reclaimer (thermal-DI01: 10 x 1 pr (field cables)</t>
        </is>
      </c>
      <c r="E3344" s="12" t="inlineStr"/>
      <c r="F3344" s="12" t="inlineStr">
        <is>
          <t>Reclaimer (thermal, intermittent)</t>
        </is>
      </c>
      <c r="G3344" s="12" t="inlineStr">
        <is>
          <t>JB-Reclaimer (thermal-DI01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10</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G-I-0214</t>
        </is>
      </c>
      <c r="B3345" s="12" t="inlineStr">
        <is>
          <t>G</t>
        </is>
      </c>
      <c r="C3345" s="12" t="inlineStr">
        <is>
          <t>Carbon capture</t>
        </is>
      </c>
      <c r="D3345" s="12" t="inlineStr">
        <is>
          <t>Home run JB-Reclaimer (thermal-DI01 to the control / marshalling room</t>
        </is>
      </c>
      <c r="E3345" s="12" t="inlineStr"/>
      <c r="F3345" s="12" t="inlineStr">
        <is>
          <t>CCS F&amp;G / control</t>
        </is>
      </c>
      <c r="G3345" s="12" t="inlineStr">
        <is>
          <t>JB-Reclaimer (thermal-DI01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G-I-0215</t>
        </is>
      </c>
      <c r="B3346" s="12" t="inlineStr">
        <is>
          <t>G</t>
        </is>
      </c>
      <c r="C3346" s="12" t="inlineStr">
        <is>
          <t>Carbon capture</t>
        </is>
      </c>
      <c r="D3346" s="12" t="inlineStr">
        <is>
          <t>Analog instrument to JB JB-Rich/lean pumps, c-AI01: 20 x 1 pr (field cables)</t>
        </is>
      </c>
      <c r="E3346" s="12" t="inlineStr"/>
      <c r="F3346" s="12" t="inlineStr">
        <is>
          <t>Rich/lean pumps, cross exchanger, lean cooler A</t>
        </is>
      </c>
      <c r="G3346" s="12" t="inlineStr">
        <is>
          <t>JB-Rich/lean pumps, c-AI01</t>
        </is>
      </c>
      <c r="H3346" s="12" t="inlineStr">
        <is>
          <t>Rich/lean pumps, cross exchanger, lean cooler A</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84</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G-I-0216</t>
        </is>
      </c>
      <c r="B3347" s="12" t="inlineStr">
        <is>
          <t>G</t>
        </is>
      </c>
      <c r="C3347" s="12" t="inlineStr">
        <is>
          <t>Carbon capture</t>
        </is>
      </c>
      <c r="D3347" s="12" t="inlineStr">
        <is>
          <t>Home run JB-Rich/lean pumps, c-AI01 to the control / marshalling room</t>
        </is>
      </c>
      <c r="E3347" s="12" t="inlineStr"/>
      <c r="F3347" s="12" t="inlineStr">
        <is>
          <t>CCS F&amp;G / control</t>
        </is>
      </c>
      <c r="G3347" s="12" t="inlineStr">
        <is>
          <t>JB-Rich/lean pumps, c-AI01</t>
        </is>
      </c>
      <c r="H3347" s="12" t="inlineStr">
        <is>
          <t>Rich/lean pumps, cross exchanger, lean cooler A</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Tray</t>
        </is>
      </c>
      <c r="T3347" s="16" t="n">
        <v>834</v>
      </c>
      <c r="U3347" s="16" t="n">
        <v>181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G-I-0217</t>
        </is>
      </c>
      <c r="B3348" s="12" t="inlineStr">
        <is>
          <t>G</t>
        </is>
      </c>
      <c r="C3348" s="12" t="inlineStr">
        <is>
          <t>Carbon capture</t>
        </is>
      </c>
      <c r="D3348" s="12" t="inlineStr">
        <is>
          <t>Discrete device to JB JB-Rich/lean pumps, c-DI01: 20 x 1 pr (field cables)</t>
        </is>
      </c>
      <c r="E3348" s="12" t="inlineStr"/>
      <c r="F3348" s="12" t="inlineStr">
        <is>
          <t>Rich/lean pumps, cross exchanger, lean cooler A</t>
        </is>
      </c>
      <c r="G3348" s="12" t="inlineStr">
        <is>
          <t>JB-Rich/lean pumps, c-DI01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G-I-0218</t>
        </is>
      </c>
      <c r="B3349" s="12" t="inlineStr">
        <is>
          <t>G</t>
        </is>
      </c>
      <c r="C3349" s="12" t="inlineStr">
        <is>
          <t>Carbon capture</t>
        </is>
      </c>
      <c r="D3349" s="12" t="inlineStr">
        <is>
          <t>Home run JB-Rich/lean pumps, c-DI01 to the control / marshalling room</t>
        </is>
      </c>
      <c r="E3349" s="12" t="inlineStr"/>
      <c r="F3349" s="12" t="inlineStr">
        <is>
          <t>CCS F&amp;G / control</t>
        </is>
      </c>
      <c r="G3349" s="12" t="inlineStr">
        <is>
          <t>JB-Rich/lean pumps, c-DI01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G-I-0219</t>
        </is>
      </c>
      <c r="B3350" s="12" t="inlineStr">
        <is>
          <t>G</t>
        </is>
      </c>
      <c r="C3350" s="12" t="inlineStr">
        <is>
          <t>Carbon capture</t>
        </is>
      </c>
      <c r="D3350" s="12" t="inlineStr">
        <is>
          <t>RTD to JB JB-Rich/lean pumps, c-RTD01: 10 x 1 tri (field cables)</t>
        </is>
      </c>
      <c r="E3350" s="12" t="inlineStr"/>
      <c r="F3350" s="12" t="inlineStr">
        <is>
          <t>Rich/lean pumps, cross exchanger, lean cooler A</t>
        </is>
      </c>
      <c r="G3350" s="12" t="inlineStr">
        <is>
          <t>JB-Rich/lean pumps, c-RTD01</t>
        </is>
      </c>
      <c r="H3350" s="12" t="inlineStr">
        <is>
          <t>Rich/lean pumps, cross exchanger, lean cooler A</t>
        </is>
      </c>
      <c r="I3350" s="12" t="inlineStr">
        <is>
          <t>Instrumentation</t>
        </is>
      </c>
      <c r="J3350" s="12" t="inlineStr">
        <is>
          <t>RTD cable, #18 shielded triads, PLTC</t>
        </is>
      </c>
      <c r="K3350" s="12" t="inlineStr">
        <is>
          <t>RTD|1 tri|18</t>
        </is>
      </c>
      <c r="L3350" s="12" t="inlineStr">
        <is>
          <t>1 tri</t>
        </is>
      </c>
      <c r="M3350" s="12" t="inlineStr">
        <is>
          <t>18</t>
        </is>
      </c>
      <c r="N3350" s="12" t="n">
        <v>10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G-I-0220</t>
        </is>
      </c>
      <c r="B3351" s="12" t="inlineStr">
        <is>
          <t>G</t>
        </is>
      </c>
      <c r="C3351" s="12" t="inlineStr">
        <is>
          <t>Carbon capture</t>
        </is>
      </c>
      <c r="D3351" s="12" t="inlineStr">
        <is>
          <t>Home run JB-Rich/lean pumps, c-RTD01 to the control / marshalling room</t>
        </is>
      </c>
      <c r="E3351" s="12" t="inlineStr"/>
      <c r="F3351" s="12" t="inlineStr">
        <is>
          <t>CCS F&amp;G / control</t>
        </is>
      </c>
      <c r="G3351" s="12" t="inlineStr">
        <is>
          <t>JB-Rich/lean pumps, c-RTD01</t>
        </is>
      </c>
      <c r="H3351" s="12" t="inlineStr">
        <is>
          <t>Rich/lean pumps, cross exchanger, lean cooler A</t>
        </is>
      </c>
      <c r="I3351" s="12" t="inlineStr">
        <is>
          <t>Instrumentation</t>
        </is>
      </c>
      <c r="J3351" s="12" t="inlineStr">
        <is>
          <t>RTD cable, #18 shielded triads, PLTC</t>
        </is>
      </c>
      <c r="K3351" s="12" t="inlineStr">
        <is>
          <t>RTD|12 tri|18</t>
        </is>
      </c>
      <c r="L3351" s="12" t="inlineStr">
        <is>
          <t>12 tri</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G-I-0221</t>
        </is>
      </c>
      <c r="B3352" s="12" t="inlineStr">
        <is>
          <t>G</t>
        </is>
      </c>
      <c r="C3352" s="12" t="inlineStr">
        <is>
          <t>Carbon capture</t>
        </is>
      </c>
      <c r="D3352" s="12" t="inlineStr">
        <is>
          <t>RTD to JB JB-Rich/lean pumps, c-RTD02: 2 x 1 tri (field cables)</t>
        </is>
      </c>
      <c r="E3352" s="12" t="inlineStr"/>
      <c r="F3352" s="12" t="inlineStr">
        <is>
          <t>Rich/lean pumps, cross exchanger, lean cooler A</t>
        </is>
      </c>
      <c r="G3352" s="12" t="inlineStr">
        <is>
          <t>JB-Rich/lean pumps, c-RTD02</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2</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G-I-0222</t>
        </is>
      </c>
      <c r="B3353" s="12" t="inlineStr">
        <is>
          <t>G</t>
        </is>
      </c>
      <c r="C3353" s="12" t="inlineStr">
        <is>
          <t>Carbon capture</t>
        </is>
      </c>
      <c r="D3353" s="12" t="inlineStr">
        <is>
          <t>Home run JB-Rich/lean pumps, c-RTD02 to the control / marshalling room</t>
        </is>
      </c>
      <c r="E3353" s="12" t="inlineStr"/>
      <c r="F3353" s="12" t="inlineStr">
        <is>
          <t>CCS F&amp;G / control</t>
        </is>
      </c>
      <c r="G3353" s="12" t="inlineStr">
        <is>
          <t>JB-Rich/lean pumps, c-RTD02</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G-I-0223</t>
        </is>
      </c>
      <c r="B3354" s="12" t="inlineStr">
        <is>
          <t>G</t>
        </is>
      </c>
      <c r="C3354" s="12" t="inlineStr">
        <is>
          <t>Carbon capture</t>
        </is>
      </c>
      <c r="D3354" s="12" t="inlineStr">
        <is>
          <t>Analog instrument to JB JB-Rich/lean pumps, c-AI01: 20 x 1 pr (field cables)</t>
        </is>
      </c>
      <c r="E3354" s="12" t="inlineStr"/>
      <c r="F3354" s="12" t="inlineStr">
        <is>
          <t>Rich/lean pumps, cross exchanger, lean cooler B</t>
        </is>
      </c>
      <c r="G3354" s="12" t="inlineStr">
        <is>
          <t>JB-Rich/lean pumps, c-AI01</t>
        </is>
      </c>
      <c r="H3354" s="12" t="inlineStr">
        <is>
          <t>Rich/lean pumps, cross exchanger, lean cooler B</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G-I-0224</t>
        </is>
      </c>
      <c r="B3355" s="12" t="inlineStr">
        <is>
          <t>G</t>
        </is>
      </c>
      <c r="C3355" s="12" t="inlineStr">
        <is>
          <t>Carbon capture</t>
        </is>
      </c>
      <c r="D3355" s="12" t="inlineStr">
        <is>
          <t>Home run JB-Rich/lean pumps, c-AI01 to the control / marshalling room</t>
        </is>
      </c>
      <c r="E3355" s="12" t="inlineStr"/>
      <c r="F3355" s="12" t="inlineStr">
        <is>
          <t>CCS F&amp;G / control</t>
        </is>
      </c>
      <c r="G3355" s="12" t="inlineStr">
        <is>
          <t>JB-Rich/lean pumps, c-AI01</t>
        </is>
      </c>
      <c r="H3355" s="12" t="inlineStr">
        <is>
          <t>Rich/lean pumps, cross exchanger, lean cooler B</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674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G-I-0225</t>
        </is>
      </c>
      <c r="B3356" s="12" t="inlineStr">
        <is>
          <t>G</t>
        </is>
      </c>
      <c r="C3356" s="12" t="inlineStr">
        <is>
          <t>Carbon capture</t>
        </is>
      </c>
      <c r="D3356" s="12" t="inlineStr">
        <is>
          <t>Discrete device to JB JB-Rich/lean pumps, c-DI01: 20 x 1 pr (field cables)</t>
        </is>
      </c>
      <c r="E3356" s="12" t="inlineStr"/>
      <c r="F3356" s="12" t="inlineStr">
        <is>
          <t>Rich/lean pumps, cross exchanger, lean cooler B</t>
        </is>
      </c>
      <c r="G3356" s="12" t="inlineStr">
        <is>
          <t>JB-Rich/lean pumps, c-DI01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G-I-0226</t>
        </is>
      </c>
      <c r="B3357" s="12" t="inlineStr">
        <is>
          <t>G</t>
        </is>
      </c>
      <c r="C3357" s="12" t="inlineStr">
        <is>
          <t>Carbon capture</t>
        </is>
      </c>
      <c r="D3357" s="12" t="inlineStr">
        <is>
          <t>Home run JB-Rich/lean pumps, c-DI01 to the control / marshalling room</t>
        </is>
      </c>
      <c r="E3357" s="12" t="inlineStr"/>
      <c r="F3357" s="12" t="inlineStr">
        <is>
          <t>CCS F&amp;G / control</t>
        </is>
      </c>
      <c r="G3357" s="12" t="inlineStr">
        <is>
          <t>JB-Rich/lean pumps, c-DI01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G-I-0227</t>
        </is>
      </c>
      <c r="B3358" s="12" t="inlineStr">
        <is>
          <t>G</t>
        </is>
      </c>
      <c r="C3358" s="12" t="inlineStr">
        <is>
          <t>Carbon capture</t>
        </is>
      </c>
      <c r="D3358" s="12" t="inlineStr">
        <is>
          <t>RTD to JB JB-Rich/lean pumps, c-RTD01: 10 x 1 tri (field cables)</t>
        </is>
      </c>
      <c r="E3358" s="12" t="inlineStr"/>
      <c r="F3358" s="12" t="inlineStr">
        <is>
          <t>Rich/lean pumps, cross exchanger, lean cooler B</t>
        </is>
      </c>
      <c r="G3358" s="12" t="inlineStr">
        <is>
          <t>JB-Rich/lean pumps, c-RTD01</t>
        </is>
      </c>
      <c r="H3358" s="12" t="inlineStr">
        <is>
          <t>Rich/lean pumps, cross exchanger, lean cooler B</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G-I-0228</t>
        </is>
      </c>
      <c r="B3359" s="12" t="inlineStr">
        <is>
          <t>G</t>
        </is>
      </c>
      <c r="C3359" s="12" t="inlineStr">
        <is>
          <t>Carbon capture</t>
        </is>
      </c>
      <c r="D3359" s="12" t="inlineStr">
        <is>
          <t>Home run JB-Rich/lean pumps, c-RTD01 to the control / marshalling room</t>
        </is>
      </c>
      <c r="E3359" s="12" t="inlineStr"/>
      <c r="F3359" s="12" t="inlineStr">
        <is>
          <t>CCS F&amp;G / control</t>
        </is>
      </c>
      <c r="G3359" s="12" t="inlineStr">
        <is>
          <t>JB-Rich/lean pumps, c-RTD01</t>
        </is>
      </c>
      <c r="H3359" s="12" t="inlineStr">
        <is>
          <t>Rich/lean pumps, cross exchanger, lean cooler B</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G-I-0229</t>
        </is>
      </c>
      <c r="B3360" s="12" t="inlineStr">
        <is>
          <t>G</t>
        </is>
      </c>
      <c r="C3360" s="12" t="inlineStr">
        <is>
          <t>Carbon capture</t>
        </is>
      </c>
      <c r="D3360" s="12" t="inlineStr">
        <is>
          <t>RTD to JB JB-Rich/lean pumps, c-RTD02: 2 x 1 tri (field cables)</t>
        </is>
      </c>
      <c r="E3360" s="12" t="inlineStr"/>
      <c r="F3360" s="12" t="inlineStr">
        <is>
          <t>Rich/lean pumps, cross exchanger, lean cooler B</t>
        </is>
      </c>
      <c r="G3360" s="12" t="inlineStr">
        <is>
          <t>JB-Rich/lean pumps, c-RTD02</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G-I-0230</t>
        </is>
      </c>
      <c r="B3361" s="12" t="inlineStr">
        <is>
          <t>G</t>
        </is>
      </c>
      <c r="C3361" s="12" t="inlineStr">
        <is>
          <t>Carbon capture</t>
        </is>
      </c>
      <c r="D3361" s="12" t="inlineStr">
        <is>
          <t>Home run JB-Rich/lean pumps, c-RTD02 to the control / marshalling room</t>
        </is>
      </c>
      <c r="E3361" s="12" t="inlineStr"/>
      <c r="F3361" s="12" t="inlineStr">
        <is>
          <t>CCS F&amp;G / control</t>
        </is>
      </c>
      <c r="G3361" s="12" t="inlineStr">
        <is>
          <t>JB-Rich/lean pumps, c-RTD02</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G-I-0231</t>
        </is>
      </c>
      <c r="B3362" s="12" t="inlineStr">
        <is>
          <t>G</t>
        </is>
      </c>
      <c r="C3362" s="12" t="inlineStr">
        <is>
          <t>Carbon capture</t>
        </is>
      </c>
      <c r="D3362" s="12" t="inlineStr">
        <is>
          <t>Analog instrument to JB JB-Rich/lean pumps, c-AI01: 20 x 1 pr (field cables)</t>
        </is>
      </c>
      <c r="E3362" s="12" t="inlineStr"/>
      <c r="F3362" s="12" t="inlineStr">
        <is>
          <t>Rich/lean pumps, cross exchanger, lean cooler C</t>
        </is>
      </c>
      <c r="G3362" s="12" t="inlineStr">
        <is>
          <t>JB-Rich/lean pumps, c-AI01</t>
        </is>
      </c>
      <c r="H3362" s="12" t="inlineStr">
        <is>
          <t>Rich/lean pumps, cross exchanger, lean cooler C</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G-I-0232</t>
        </is>
      </c>
      <c r="B3363" s="12" t="inlineStr">
        <is>
          <t>G</t>
        </is>
      </c>
      <c r="C3363" s="12" t="inlineStr">
        <is>
          <t>Carbon capture</t>
        </is>
      </c>
      <c r="D3363" s="12" t="inlineStr">
        <is>
          <t>Home run JB-Rich/lean pumps, c-AI01 to the control / marshalling room</t>
        </is>
      </c>
      <c r="E3363" s="12" t="inlineStr"/>
      <c r="F3363" s="12" t="inlineStr">
        <is>
          <t>CCS F&amp;G / control</t>
        </is>
      </c>
      <c r="G3363" s="12" t="inlineStr">
        <is>
          <t>JB-Rich/lean pumps, c-AI01</t>
        </is>
      </c>
      <c r="H3363" s="12" t="inlineStr">
        <is>
          <t>Rich/lean pumps, cross exchanger, lean cooler C</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299</v>
      </c>
      <c r="U3363" s="16" t="n">
        <v>138</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G-I-0233</t>
        </is>
      </c>
      <c r="B3364" s="12" t="inlineStr">
        <is>
          <t>G</t>
        </is>
      </c>
      <c r="C3364" s="12" t="inlineStr">
        <is>
          <t>Carbon capture</t>
        </is>
      </c>
      <c r="D3364" s="12" t="inlineStr">
        <is>
          <t>Discrete device to JB JB-Rich/lean pumps, c-DI01: 20 x 1 pr (field cables)</t>
        </is>
      </c>
      <c r="E3364" s="12" t="inlineStr"/>
      <c r="F3364" s="12" t="inlineStr">
        <is>
          <t>Rich/lean pumps, cross exchanger, lean cooler C</t>
        </is>
      </c>
      <c r="G3364" s="12" t="inlineStr">
        <is>
          <t>JB-Rich/lean pumps, c-DI01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G-I-0234</t>
        </is>
      </c>
      <c r="B3365" s="12" t="inlineStr">
        <is>
          <t>G</t>
        </is>
      </c>
      <c r="C3365" s="12" t="inlineStr">
        <is>
          <t>Carbon capture</t>
        </is>
      </c>
      <c r="D3365" s="12" t="inlineStr">
        <is>
          <t>Home run JB-Rich/lean pumps, c-DI01 to the control / marshalling room</t>
        </is>
      </c>
      <c r="E3365" s="12" t="inlineStr"/>
      <c r="F3365" s="12" t="inlineStr">
        <is>
          <t>CCS F&amp;G / control</t>
        </is>
      </c>
      <c r="G3365" s="12" t="inlineStr">
        <is>
          <t>JB-Rich/lean pumps, c-DI01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G-I-0235</t>
        </is>
      </c>
      <c r="B3366" s="12" t="inlineStr">
        <is>
          <t>G</t>
        </is>
      </c>
      <c r="C3366" s="12" t="inlineStr">
        <is>
          <t>Carbon capture</t>
        </is>
      </c>
      <c r="D3366" s="12" t="inlineStr">
        <is>
          <t>RTD to JB JB-Rich/lean pumps, c-RTD01: 10 x 1 tri (field cables)</t>
        </is>
      </c>
      <c r="E3366" s="12" t="inlineStr"/>
      <c r="F3366" s="12" t="inlineStr">
        <is>
          <t>Rich/lean pumps, cross exchanger, lean cooler C</t>
        </is>
      </c>
      <c r="G3366" s="12" t="inlineStr">
        <is>
          <t>JB-Rich/lean pumps, c-RTD01</t>
        </is>
      </c>
      <c r="H3366" s="12" t="inlineStr">
        <is>
          <t>Rich/lean pumps, cross exchanger, lean cooler C</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G-I-0236</t>
        </is>
      </c>
      <c r="B3367" s="12" t="inlineStr">
        <is>
          <t>G</t>
        </is>
      </c>
      <c r="C3367" s="12" t="inlineStr">
        <is>
          <t>Carbon capture</t>
        </is>
      </c>
      <c r="D3367" s="12" t="inlineStr">
        <is>
          <t>Home run JB-Rich/lean pumps, c-RTD01 to the control / marshalling room</t>
        </is>
      </c>
      <c r="E3367" s="12" t="inlineStr"/>
      <c r="F3367" s="12" t="inlineStr">
        <is>
          <t>CCS F&amp;G / control</t>
        </is>
      </c>
      <c r="G3367" s="12" t="inlineStr">
        <is>
          <t>JB-Rich/lean pumps, c-RTD01</t>
        </is>
      </c>
      <c r="H3367" s="12" t="inlineStr">
        <is>
          <t>Rich/lean pumps, cross exchanger, lean cooler C</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G-I-0237</t>
        </is>
      </c>
      <c r="B3368" s="12" t="inlineStr">
        <is>
          <t>G</t>
        </is>
      </c>
      <c r="C3368" s="12" t="inlineStr">
        <is>
          <t>Carbon capture</t>
        </is>
      </c>
      <c r="D3368" s="12" t="inlineStr">
        <is>
          <t>RTD to JB JB-Rich/lean pumps, c-RTD02: 2 x 1 tri (field cables)</t>
        </is>
      </c>
      <c r="E3368" s="12" t="inlineStr"/>
      <c r="F3368" s="12" t="inlineStr">
        <is>
          <t>Rich/lean pumps, cross exchanger, lean cooler C</t>
        </is>
      </c>
      <c r="G3368" s="12" t="inlineStr">
        <is>
          <t>JB-Rich/lean pumps, c-RTD02</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2</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G-I-0238</t>
        </is>
      </c>
      <c r="B3369" s="12" t="inlineStr">
        <is>
          <t>G</t>
        </is>
      </c>
      <c r="C3369" s="12" t="inlineStr">
        <is>
          <t>Carbon capture</t>
        </is>
      </c>
      <c r="D3369" s="12" t="inlineStr">
        <is>
          <t>Home run JB-Rich/lean pumps, c-RTD02 to the control / marshalling room</t>
        </is>
      </c>
      <c r="E3369" s="12" t="inlineStr"/>
      <c r="F3369" s="12" t="inlineStr">
        <is>
          <t>CCS F&amp;G / control</t>
        </is>
      </c>
      <c r="G3369" s="12" t="inlineStr">
        <is>
          <t>JB-Rich/lean pumps, c-RTD02</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G-I-0239</t>
        </is>
      </c>
      <c r="B3370" s="12" t="inlineStr">
        <is>
          <t>G</t>
        </is>
      </c>
      <c r="C3370" s="12" t="inlineStr">
        <is>
          <t>Carbon capture</t>
        </is>
      </c>
      <c r="D3370" s="12" t="inlineStr">
        <is>
          <t>Analog instrument to JB JB-STR-A-AI01: 20 x 1 pr (field cables)</t>
        </is>
      </c>
      <c r="E3370" s="12" t="inlineStr">
        <is>
          <t>STR-A</t>
        </is>
      </c>
      <c r="F3370" s="12" t="inlineStr">
        <is>
          <t>STR-A: stripper / regenerator (45 ft dia x 207 ft)</t>
        </is>
      </c>
      <c r="G3370" s="12" t="inlineStr">
        <is>
          <t>JB-STR-A-AI01</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153</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G-I-0240</t>
        </is>
      </c>
      <c r="B3371" s="12" t="inlineStr">
        <is>
          <t>G</t>
        </is>
      </c>
      <c r="C3371" s="12" t="inlineStr">
        <is>
          <t>Carbon capture</t>
        </is>
      </c>
      <c r="D3371" s="12" t="inlineStr">
        <is>
          <t>Home run JB-STR-A-AI01 to the control / marshalling room</t>
        </is>
      </c>
      <c r="E3371" s="12" t="inlineStr"/>
      <c r="F3371" s="12" t="inlineStr">
        <is>
          <t>CCS F&amp;G / control</t>
        </is>
      </c>
      <c r="G3371" s="12" t="inlineStr">
        <is>
          <t>JB-STR-A-AI01</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329</v>
      </c>
      <c r="U3371" s="16" t="n">
        <v>106</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G-I-0241</t>
        </is>
      </c>
      <c r="B3372" s="12" t="inlineStr">
        <is>
          <t>G</t>
        </is>
      </c>
      <c r="C3372" s="12" t="inlineStr">
        <is>
          <t>Carbon capture</t>
        </is>
      </c>
      <c r="D3372" s="12" t="inlineStr">
        <is>
          <t>Analog instrument to JB JB-STR-A-AI02: 20 x 1 pr (field cables)</t>
        </is>
      </c>
      <c r="E3372" s="12" t="inlineStr">
        <is>
          <t>STR-A</t>
        </is>
      </c>
      <c r="F3372" s="12" t="inlineStr">
        <is>
          <t>STR-A: stripper / regenerator (45 ft dia x 207 ft)</t>
        </is>
      </c>
      <c r="G3372" s="12" t="inlineStr">
        <is>
          <t>JB-STR-A-AI02</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G-I-0242</t>
        </is>
      </c>
      <c r="B3373" s="12" t="inlineStr">
        <is>
          <t>G</t>
        </is>
      </c>
      <c r="C3373" s="12" t="inlineStr">
        <is>
          <t>Carbon capture</t>
        </is>
      </c>
      <c r="D3373" s="12" t="inlineStr">
        <is>
          <t>Home run JB-STR-A-AI02 to the control / marshalling room</t>
        </is>
      </c>
      <c r="E3373" s="12" t="inlineStr"/>
      <c r="F3373" s="12" t="inlineStr">
        <is>
          <t>CCS F&amp;G / control</t>
        </is>
      </c>
      <c r="G3373" s="12" t="inlineStr">
        <is>
          <t>JB-STR-A-AI02</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G-I-0243</t>
        </is>
      </c>
      <c r="B3374" s="12" t="inlineStr">
        <is>
          <t>G</t>
        </is>
      </c>
      <c r="C3374" s="12" t="inlineStr">
        <is>
          <t>Carbon capture</t>
        </is>
      </c>
      <c r="D3374" s="12" t="inlineStr">
        <is>
          <t>Analog instrument to JB JB-STR-A-AI03: 10 x 1 pr (field cables)</t>
        </is>
      </c>
      <c r="E3374" s="12" t="inlineStr">
        <is>
          <t>STR-A</t>
        </is>
      </c>
      <c r="F3374" s="12" t="inlineStr">
        <is>
          <t>STR-A: stripper / regenerator (45 ft dia x 207 ft)</t>
        </is>
      </c>
      <c r="G3374" s="12" t="inlineStr">
        <is>
          <t>JB-STR-A-AI03</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G-I-0244</t>
        </is>
      </c>
      <c r="B3375" s="12" t="inlineStr">
        <is>
          <t>G</t>
        </is>
      </c>
      <c r="C3375" s="12" t="inlineStr">
        <is>
          <t>Carbon capture</t>
        </is>
      </c>
      <c r="D3375" s="12" t="inlineStr">
        <is>
          <t>Home run JB-STR-A-AI03 to the control / marshalling room</t>
        </is>
      </c>
      <c r="E3375" s="12" t="inlineStr"/>
      <c r="F3375" s="12" t="inlineStr">
        <is>
          <t>CCS F&amp;G / control</t>
        </is>
      </c>
      <c r="G3375" s="12" t="inlineStr">
        <is>
          <t>JB-STR-A-AI03</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G-I-0245</t>
        </is>
      </c>
      <c r="B3376" s="12" t="inlineStr">
        <is>
          <t>G</t>
        </is>
      </c>
      <c r="C3376" s="12" t="inlineStr">
        <is>
          <t>Carbon capture</t>
        </is>
      </c>
      <c r="D3376" s="12" t="inlineStr">
        <is>
          <t>Discrete device to JB JB-STR-A-DI01: 20 x 1 pr (field cables)</t>
        </is>
      </c>
      <c r="E3376" s="12" t="inlineStr">
        <is>
          <t>STR-A</t>
        </is>
      </c>
      <c r="F3376" s="12" t="inlineStr">
        <is>
          <t>STR-A: stripper / regenerator (45 ft dia x 207 ft)</t>
        </is>
      </c>
      <c r="G3376" s="12" t="inlineStr">
        <is>
          <t>JB-STR-A-DI01</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G-I-0246</t>
        </is>
      </c>
      <c r="B3377" s="12" t="inlineStr">
        <is>
          <t>G</t>
        </is>
      </c>
      <c r="C3377" s="12" t="inlineStr">
        <is>
          <t>Carbon capture</t>
        </is>
      </c>
      <c r="D3377" s="12" t="inlineStr">
        <is>
          <t>Home run JB-STR-A-DI01 to the control / marshalling room</t>
        </is>
      </c>
      <c r="E3377" s="12" t="inlineStr"/>
      <c r="F3377" s="12" t="inlineStr">
        <is>
          <t>CCS F&amp;G / control</t>
        </is>
      </c>
      <c r="G3377" s="12" t="inlineStr">
        <is>
          <t>JB-STR-A-DI01</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G-I-0247</t>
        </is>
      </c>
      <c r="B3378" s="12" t="inlineStr">
        <is>
          <t>G</t>
        </is>
      </c>
      <c r="C3378" s="12" t="inlineStr">
        <is>
          <t>Carbon capture</t>
        </is>
      </c>
      <c r="D3378" s="12" t="inlineStr">
        <is>
          <t>Discrete device to JB JB-STR-A-DI02: 10 x 1 pr (field cables)</t>
        </is>
      </c>
      <c r="E3378" s="12" t="inlineStr">
        <is>
          <t>STR-A</t>
        </is>
      </c>
      <c r="F3378" s="12" t="inlineStr">
        <is>
          <t>STR-A: stripper / regenerator (45 ft dia x 207 ft)</t>
        </is>
      </c>
      <c r="G3378" s="12" t="inlineStr">
        <is>
          <t>JB-STR-A-DI02</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G-I-0248</t>
        </is>
      </c>
      <c r="B3379" s="12" t="inlineStr">
        <is>
          <t>G</t>
        </is>
      </c>
      <c r="C3379" s="12" t="inlineStr">
        <is>
          <t>Carbon capture</t>
        </is>
      </c>
      <c r="D3379" s="12" t="inlineStr">
        <is>
          <t>Home run JB-STR-A-DI02 to the control / marshalling room</t>
        </is>
      </c>
      <c r="E3379" s="12" t="inlineStr"/>
      <c r="F3379" s="12" t="inlineStr">
        <is>
          <t>CCS F&amp;G / control</t>
        </is>
      </c>
      <c r="G3379" s="12" t="inlineStr">
        <is>
          <t>JB-STR-A-DI02</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G-I-0249</t>
        </is>
      </c>
      <c r="B3380" s="12" t="inlineStr">
        <is>
          <t>G</t>
        </is>
      </c>
      <c r="C3380" s="12" t="inlineStr">
        <is>
          <t>Carbon capture</t>
        </is>
      </c>
      <c r="D3380" s="12" t="inlineStr">
        <is>
          <t>Analog instrument to JB JB-STR-B-AI01: 20 x 1 pr (field cables)</t>
        </is>
      </c>
      <c r="E3380" s="12" t="inlineStr">
        <is>
          <t>STR-B</t>
        </is>
      </c>
      <c r="F3380" s="12" t="inlineStr">
        <is>
          <t>STR-B: stripper / regenerator (45 ft dia x 207 ft)</t>
        </is>
      </c>
      <c r="G3380" s="12" t="inlineStr">
        <is>
          <t>JB-STR-B-AI01</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G-I-0250</t>
        </is>
      </c>
      <c r="B3381" s="12" t="inlineStr">
        <is>
          <t>G</t>
        </is>
      </c>
      <c r="C3381" s="12" t="inlineStr">
        <is>
          <t>Carbon capture</t>
        </is>
      </c>
      <c r="D3381" s="12" t="inlineStr">
        <is>
          <t>Home run JB-STR-B-AI01 to the control / marshalling room</t>
        </is>
      </c>
      <c r="E3381" s="12" t="inlineStr"/>
      <c r="F3381" s="12" t="inlineStr">
        <is>
          <t>CCS F&amp;G / control</t>
        </is>
      </c>
      <c r="G3381" s="12" t="inlineStr">
        <is>
          <t>JB-STR-B-AI01</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279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G-I-0251</t>
        </is>
      </c>
      <c r="B3382" s="12" t="inlineStr">
        <is>
          <t>G</t>
        </is>
      </c>
      <c r="C3382" s="12" t="inlineStr">
        <is>
          <t>Carbon capture</t>
        </is>
      </c>
      <c r="D3382" s="12" t="inlineStr">
        <is>
          <t>Analog instrument to JB JB-STR-B-AI02: 20 x 1 pr (field cables)</t>
        </is>
      </c>
      <c r="E3382" s="12" t="inlineStr">
        <is>
          <t>STR-B</t>
        </is>
      </c>
      <c r="F3382" s="12" t="inlineStr">
        <is>
          <t>STR-B: stripper / regenerator (45 ft dia x 207 ft)</t>
        </is>
      </c>
      <c r="G3382" s="12" t="inlineStr">
        <is>
          <t>JB-STR-B-AI02</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G-I-0252</t>
        </is>
      </c>
      <c r="B3383" s="12" t="inlineStr">
        <is>
          <t>G</t>
        </is>
      </c>
      <c r="C3383" s="12" t="inlineStr">
        <is>
          <t>Carbon capture</t>
        </is>
      </c>
      <c r="D3383" s="12" t="inlineStr">
        <is>
          <t>Home run JB-STR-B-AI02 to the control / marshalling room</t>
        </is>
      </c>
      <c r="E3383" s="12" t="inlineStr"/>
      <c r="F3383" s="12" t="inlineStr">
        <is>
          <t>CCS F&amp;G / control</t>
        </is>
      </c>
      <c r="G3383" s="12" t="inlineStr">
        <is>
          <t>JB-STR-B-AI02</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G-I-0253</t>
        </is>
      </c>
      <c r="B3384" s="12" t="inlineStr">
        <is>
          <t>G</t>
        </is>
      </c>
      <c r="C3384" s="12" t="inlineStr">
        <is>
          <t>Carbon capture</t>
        </is>
      </c>
      <c r="D3384" s="12" t="inlineStr">
        <is>
          <t>Analog instrument to JB JB-STR-B-AI03: 10 x 1 pr (field cables)</t>
        </is>
      </c>
      <c r="E3384" s="12" t="inlineStr">
        <is>
          <t>STR-B</t>
        </is>
      </c>
      <c r="F3384" s="12" t="inlineStr">
        <is>
          <t>STR-B: stripper / regenerator (45 ft dia x 207 ft)</t>
        </is>
      </c>
      <c r="G3384" s="12" t="inlineStr">
        <is>
          <t>JB-STR-B-AI03</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G-I-0254</t>
        </is>
      </c>
      <c r="B3385" s="12" t="inlineStr">
        <is>
          <t>G</t>
        </is>
      </c>
      <c r="C3385" s="12" t="inlineStr">
        <is>
          <t>Carbon capture</t>
        </is>
      </c>
      <c r="D3385" s="12" t="inlineStr">
        <is>
          <t>Home run JB-STR-B-AI03 to the control / marshalling room</t>
        </is>
      </c>
      <c r="E3385" s="12" t="inlineStr"/>
      <c r="F3385" s="12" t="inlineStr">
        <is>
          <t>CCS F&amp;G / control</t>
        </is>
      </c>
      <c r="G3385" s="12" t="inlineStr">
        <is>
          <t>JB-STR-B-AI03</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G-I-0255</t>
        </is>
      </c>
      <c r="B3386" s="12" t="inlineStr">
        <is>
          <t>G</t>
        </is>
      </c>
      <c r="C3386" s="12" t="inlineStr">
        <is>
          <t>Carbon capture</t>
        </is>
      </c>
      <c r="D3386" s="12" t="inlineStr">
        <is>
          <t>Discrete device to JB JB-STR-B-DI01: 20 x 1 pr (field cables)</t>
        </is>
      </c>
      <c r="E3386" s="12" t="inlineStr">
        <is>
          <t>STR-B</t>
        </is>
      </c>
      <c r="F3386" s="12" t="inlineStr">
        <is>
          <t>STR-B: stripper / regenerator (45 ft dia x 207 ft)</t>
        </is>
      </c>
      <c r="G3386" s="12" t="inlineStr">
        <is>
          <t>JB-STR-B-DI01</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G-I-0256</t>
        </is>
      </c>
      <c r="B3387" s="12" t="inlineStr">
        <is>
          <t>G</t>
        </is>
      </c>
      <c r="C3387" s="12" t="inlineStr">
        <is>
          <t>Carbon capture</t>
        </is>
      </c>
      <c r="D3387" s="12" t="inlineStr">
        <is>
          <t>Home run JB-STR-B-DI01 to the control / marshalling room</t>
        </is>
      </c>
      <c r="E3387" s="12" t="inlineStr"/>
      <c r="F3387" s="12" t="inlineStr">
        <is>
          <t>CCS F&amp;G / control</t>
        </is>
      </c>
      <c r="G3387" s="12" t="inlineStr">
        <is>
          <t>JB-STR-B-DI01</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G-I-0257</t>
        </is>
      </c>
      <c r="B3388" s="12" t="inlineStr">
        <is>
          <t>G</t>
        </is>
      </c>
      <c r="C3388" s="12" t="inlineStr">
        <is>
          <t>Carbon capture</t>
        </is>
      </c>
      <c r="D3388" s="12" t="inlineStr">
        <is>
          <t>Discrete device to JB JB-STR-B-DI02: 10 x 1 pr (field cables)</t>
        </is>
      </c>
      <c r="E3388" s="12" t="inlineStr">
        <is>
          <t>STR-B</t>
        </is>
      </c>
      <c r="F3388" s="12" t="inlineStr">
        <is>
          <t>STR-B: stripper / regenerator (45 ft dia x 207 ft)</t>
        </is>
      </c>
      <c r="G3388" s="12" t="inlineStr">
        <is>
          <t>JB-STR-B-DI02</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G-I-0258</t>
        </is>
      </c>
      <c r="B3389" s="12" t="inlineStr">
        <is>
          <t>G</t>
        </is>
      </c>
      <c r="C3389" s="12" t="inlineStr">
        <is>
          <t>Carbon capture</t>
        </is>
      </c>
      <c r="D3389" s="12" t="inlineStr">
        <is>
          <t>Home run JB-STR-B-DI02 to the control / marshalling room</t>
        </is>
      </c>
      <c r="E3389" s="12" t="inlineStr"/>
      <c r="F3389" s="12" t="inlineStr">
        <is>
          <t>CCS F&amp;G / control</t>
        </is>
      </c>
      <c r="G3389" s="12" t="inlineStr">
        <is>
          <t>JB-STR-B-DI02</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G-I-0259</t>
        </is>
      </c>
      <c r="B3390" s="12" t="inlineStr">
        <is>
          <t>G</t>
        </is>
      </c>
      <c r="C3390" s="12" t="inlineStr">
        <is>
          <t>Carbon capture</t>
        </is>
      </c>
      <c r="D3390" s="12" t="inlineStr">
        <is>
          <t>Analog instrument to JB JB-STR-C-AI01: 20 x 1 pr (field cables)</t>
        </is>
      </c>
      <c r="E3390" s="12" t="inlineStr">
        <is>
          <t>STR-C</t>
        </is>
      </c>
      <c r="F3390" s="12" t="inlineStr">
        <is>
          <t>STR-C: stripper / regenerator (45 ft dia x 207 ft)</t>
        </is>
      </c>
      <c r="G3390" s="12" t="inlineStr">
        <is>
          <t>JB-STR-C-AI01</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G-I-0260</t>
        </is>
      </c>
      <c r="B3391" s="12" t="inlineStr">
        <is>
          <t>G</t>
        </is>
      </c>
      <c r="C3391" s="12" t="inlineStr">
        <is>
          <t>Carbon capture</t>
        </is>
      </c>
      <c r="D3391" s="12" t="inlineStr">
        <is>
          <t>Home run JB-STR-C-AI01 to the control / marshalling room</t>
        </is>
      </c>
      <c r="E3391" s="12" t="inlineStr"/>
      <c r="F3391" s="12" t="inlineStr">
        <is>
          <t>CCS F&amp;G / control</t>
        </is>
      </c>
      <c r="G3391" s="12" t="inlineStr">
        <is>
          <t>JB-STR-C-AI01</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195</v>
      </c>
      <c r="U3391" s="16" t="n">
        <v>162</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G-I-0261</t>
        </is>
      </c>
      <c r="B3392" s="12" t="inlineStr">
        <is>
          <t>G</t>
        </is>
      </c>
      <c r="C3392" s="12" t="inlineStr">
        <is>
          <t>Carbon capture</t>
        </is>
      </c>
      <c r="D3392" s="12" t="inlineStr">
        <is>
          <t>Analog instrument to JB JB-STR-C-AI02: 20 x 1 pr (field cables)</t>
        </is>
      </c>
      <c r="E3392" s="12" t="inlineStr">
        <is>
          <t>STR-C</t>
        </is>
      </c>
      <c r="F3392" s="12" t="inlineStr">
        <is>
          <t>STR-C: stripper / regenerator (45 ft dia x 207 ft)</t>
        </is>
      </c>
      <c r="G3392" s="12" t="inlineStr">
        <is>
          <t>JB-STR-C-AI02</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G-I-0262</t>
        </is>
      </c>
      <c r="B3393" s="12" t="inlineStr">
        <is>
          <t>G</t>
        </is>
      </c>
      <c r="C3393" s="12" t="inlineStr">
        <is>
          <t>Carbon capture</t>
        </is>
      </c>
      <c r="D3393" s="12" t="inlineStr">
        <is>
          <t>Home run JB-STR-C-AI02 to the control / marshalling room</t>
        </is>
      </c>
      <c r="E3393" s="12" t="inlineStr"/>
      <c r="F3393" s="12" t="inlineStr">
        <is>
          <t>CCS F&amp;G / control</t>
        </is>
      </c>
      <c r="G3393" s="12" t="inlineStr">
        <is>
          <t>JB-STR-C-AI02</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G-I-0263</t>
        </is>
      </c>
      <c r="B3394" s="12" t="inlineStr">
        <is>
          <t>G</t>
        </is>
      </c>
      <c r="C3394" s="12" t="inlineStr">
        <is>
          <t>Carbon capture</t>
        </is>
      </c>
      <c r="D3394" s="12" t="inlineStr">
        <is>
          <t>Analog instrument to JB JB-STR-C-AI03: 10 x 1 pr (field cables)</t>
        </is>
      </c>
      <c r="E3394" s="12" t="inlineStr">
        <is>
          <t>STR-C</t>
        </is>
      </c>
      <c r="F3394" s="12" t="inlineStr">
        <is>
          <t>STR-C: stripper / regenerator (45 ft dia x 207 ft)</t>
        </is>
      </c>
      <c r="G3394" s="12" t="inlineStr">
        <is>
          <t>JB-STR-C-AI03</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G-I-0264</t>
        </is>
      </c>
      <c r="B3395" s="12" t="inlineStr">
        <is>
          <t>G</t>
        </is>
      </c>
      <c r="C3395" s="12" t="inlineStr">
        <is>
          <t>Carbon capture</t>
        </is>
      </c>
      <c r="D3395" s="12" t="inlineStr">
        <is>
          <t>Home run JB-STR-C-AI03 to the control / marshalling room</t>
        </is>
      </c>
      <c r="E3395" s="12" t="inlineStr"/>
      <c r="F3395" s="12" t="inlineStr">
        <is>
          <t>CCS F&amp;G / control</t>
        </is>
      </c>
      <c r="G3395" s="12" t="inlineStr">
        <is>
          <t>JB-STR-C-AI03</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G-I-0265</t>
        </is>
      </c>
      <c r="B3396" s="12" t="inlineStr">
        <is>
          <t>G</t>
        </is>
      </c>
      <c r="C3396" s="12" t="inlineStr">
        <is>
          <t>Carbon capture</t>
        </is>
      </c>
      <c r="D3396" s="12" t="inlineStr">
        <is>
          <t>Discrete device to JB JB-STR-C-DI01: 20 x 1 pr (field cables)</t>
        </is>
      </c>
      <c r="E3396" s="12" t="inlineStr">
        <is>
          <t>STR-C</t>
        </is>
      </c>
      <c r="F3396" s="12" t="inlineStr">
        <is>
          <t>STR-C: stripper / regenerator (45 ft dia x 207 ft)</t>
        </is>
      </c>
      <c r="G3396" s="12" t="inlineStr">
        <is>
          <t>JB-STR-C-DI01</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G-I-0266</t>
        </is>
      </c>
      <c r="B3397" s="12" t="inlineStr">
        <is>
          <t>G</t>
        </is>
      </c>
      <c r="C3397" s="12" t="inlineStr">
        <is>
          <t>Carbon capture</t>
        </is>
      </c>
      <c r="D3397" s="12" t="inlineStr">
        <is>
          <t>Home run JB-STR-C-DI01 to the control / marshalling room</t>
        </is>
      </c>
      <c r="E3397" s="12" t="inlineStr"/>
      <c r="F3397" s="12" t="inlineStr">
        <is>
          <t>CCS F&amp;G / control</t>
        </is>
      </c>
      <c r="G3397" s="12" t="inlineStr">
        <is>
          <t>JB-STR-C-DI01</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G-I-0267</t>
        </is>
      </c>
      <c r="B3398" s="12" t="inlineStr">
        <is>
          <t>G</t>
        </is>
      </c>
      <c r="C3398" s="12" t="inlineStr">
        <is>
          <t>Carbon capture</t>
        </is>
      </c>
      <c r="D3398" s="12" t="inlineStr">
        <is>
          <t>Discrete device to JB JB-STR-C-DI02: 10 x 1 pr (field cables)</t>
        </is>
      </c>
      <c r="E3398" s="12" t="inlineStr">
        <is>
          <t>STR-C</t>
        </is>
      </c>
      <c r="F3398" s="12" t="inlineStr">
        <is>
          <t>STR-C: stripper / regenerator (45 ft dia x 207 ft)</t>
        </is>
      </c>
      <c r="G3398" s="12" t="inlineStr">
        <is>
          <t>JB-STR-C-DI02</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G-I-0268</t>
        </is>
      </c>
      <c r="B3399" s="12" t="inlineStr">
        <is>
          <t>G</t>
        </is>
      </c>
      <c r="C3399" s="12" t="inlineStr">
        <is>
          <t>Carbon capture</t>
        </is>
      </c>
      <c r="D3399" s="12" t="inlineStr">
        <is>
          <t>Home run JB-STR-C-DI02 to the control / marshalling room</t>
        </is>
      </c>
      <c r="E3399" s="12" t="inlineStr"/>
      <c r="F3399" s="12" t="inlineStr">
        <is>
          <t>CCS F&amp;G / control</t>
        </is>
      </c>
      <c r="G3399" s="12" t="inlineStr">
        <is>
          <t>JB-STR-C-DI02</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G-I-0269</t>
        </is>
      </c>
      <c r="B3400" s="12" t="inlineStr">
        <is>
          <t>G</t>
        </is>
      </c>
      <c r="C3400" s="12" t="inlineStr">
        <is>
          <t>Carbon capture</t>
        </is>
      </c>
      <c r="D3400" s="12" t="inlineStr">
        <is>
          <t>Analog instrument to JB JB-Solvent + NaOH sto-AI01: 10 x 1 pr (field cables)</t>
        </is>
      </c>
      <c r="E3400" s="12" t="inlineStr"/>
      <c r="F3400" s="12" t="inlineStr">
        <is>
          <t>Solvent + NaOH storage</t>
        </is>
      </c>
      <c r="G3400" s="12" t="inlineStr">
        <is>
          <t>JB-Solvent + NaOH sto-AI01</t>
        </is>
      </c>
      <c r="H3400" s="12" t="inlineStr">
        <is>
          <t>Solvent + NaOH storage</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113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G-I-0270</t>
        </is>
      </c>
      <c r="B3401" s="12" t="inlineStr">
        <is>
          <t>G</t>
        </is>
      </c>
      <c r="C3401" s="12" t="inlineStr">
        <is>
          <t>Carbon capture</t>
        </is>
      </c>
      <c r="D3401" s="12" t="inlineStr">
        <is>
          <t>Home run JB-Solvent + NaOH sto-AI01 to the control / marshalling room</t>
        </is>
      </c>
      <c r="E3401" s="12" t="inlineStr"/>
      <c r="F3401" s="12" t="inlineStr">
        <is>
          <t>CCS F&amp;G / control</t>
        </is>
      </c>
      <c r="G3401" s="12" t="inlineStr">
        <is>
          <t>JB-Solvent + NaOH sto-AI01</t>
        </is>
      </c>
      <c r="H3401" s="12" t="inlineStr">
        <is>
          <t>Solvent + NaOH storage</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146</v>
      </c>
      <c r="U3401" s="16" t="n">
        <v>106</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G-I-0271</t>
        </is>
      </c>
      <c r="B3402" s="12" t="inlineStr">
        <is>
          <t>G</t>
        </is>
      </c>
      <c r="C3402" s="12" t="inlineStr">
        <is>
          <t>Carbon capture</t>
        </is>
      </c>
      <c r="D3402" s="12" t="inlineStr">
        <is>
          <t>Discrete device to JB JB-Solvent + NaOH sto-DI01: 10 x 1 pr (field cables)</t>
        </is>
      </c>
      <c r="E3402" s="12" t="inlineStr"/>
      <c r="F3402" s="12" t="inlineStr">
        <is>
          <t>Solvent + NaOH storage</t>
        </is>
      </c>
      <c r="G3402" s="12" t="inlineStr">
        <is>
          <t>JB-Solvent + NaOH sto-DI01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G-I-0272</t>
        </is>
      </c>
      <c r="B3403" s="12" t="inlineStr">
        <is>
          <t>G</t>
        </is>
      </c>
      <c r="C3403" s="12" t="inlineStr">
        <is>
          <t>Carbon capture</t>
        </is>
      </c>
      <c r="D3403" s="12" t="inlineStr">
        <is>
          <t>Home run JB-Solvent + NaOH sto-DI01 to the control / marshalling room</t>
        </is>
      </c>
      <c r="E3403" s="12" t="inlineStr"/>
      <c r="F3403" s="12" t="inlineStr">
        <is>
          <t>CCS F&amp;G / control</t>
        </is>
      </c>
      <c r="G3403" s="12" t="inlineStr">
        <is>
          <t>JB-Solvent + NaOH sto-DI01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G-I-0273</t>
        </is>
      </c>
      <c r="B3404" s="12" t="inlineStr">
        <is>
          <t>G</t>
        </is>
      </c>
      <c r="C3404" s="12" t="inlineStr">
        <is>
          <t>Carbon capture</t>
        </is>
      </c>
      <c r="D3404" s="12" t="inlineStr">
        <is>
          <t>Analog instrument to JB JB-Water-wash pumps A-AI01: 8 x 1 pr (field cables)</t>
        </is>
      </c>
      <c r="E3404" s="12" t="inlineStr"/>
      <c r="F3404" s="12" t="inlineStr">
        <is>
          <t>Water-wash pumps A</t>
        </is>
      </c>
      <c r="G3404" s="12" t="inlineStr">
        <is>
          <t>JB-Water-wash pumps A-AI01</t>
        </is>
      </c>
      <c r="H3404" s="12" t="inlineStr">
        <is>
          <t>Water-wash pumps A</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6" t="n">
        <v>66</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G-I-0274</t>
        </is>
      </c>
      <c r="B3405" s="12" t="inlineStr">
        <is>
          <t>G</t>
        </is>
      </c>
      <c r="C3405" s="12" t="inlineStr">
        <is>
          <t>Carbon capture</t>
        </is>
      </c>
      <c r="D3405" s="12" t="inlineStr">
        <is>
          <t>Home run JB-Water-wash pumps A-AI01 to the control / marshalling room</t>
        </is>
      </c>
      <c r="E3405" s="12" t="inlineStr"/>
      <c r="F3405" s="12" t="inlineStr">
        <is>
          <t>CCS F&amp;G / control</t>
        </is>
      </c>
      <c r="G3405" s="12" t="inlineStr">
        <is>
          <t>JB-Water-wash pumps A-AI01</t>
        </is>
      </c>
      <c r="H3405" s="12" t="inlineStr">
        <is>
          <t>Water-wash pumps A</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834</v>
      </c>
      <c r="U3405" s="16" t="n">
        <v>165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G-I-0275</t>
        </is>
      </c>
      <c r="B3406" s="12" t="inlineStr">
        <is>
          <t>G</t>
        </is>
      </c>
      <c r="C3406" s="12" t="inlineStr">
        <is>
          <t>Carbon capture</t>
        </is>
      </c>
      <c r="D3406" s="12" t="inlineStr">
        <is>
          <t>Discrete device to JB JB-Water-wash pumps A-DI01: 8 x 1 pr (field cables)</t>
        </is>
      </c>
      <c r="E3406" s="12" t="inlineStr"/>
      <c r="F3406" s="12" t="inlineStr">
        <is>
          <t>Water-wash pumps A</t>
        </is>
      </c>
      <c r="G3406" s="12" t="inlineStr">
        <is>
          <t>JB-Water-wash pumps A-DI01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G-I-0276</t>
        </is>
      </c>
      <c r="B3407" s="12" t="inlineStr">
        <is>
          <t>G</t>
        </is>
      </c>
      <c r="C3407" s="12" t="inlineStr">
        <is>
          <t>Carbon capture</t>
        </is>
      </c>
      <c r="D3407" s="12" t="inlineStr">
        <is>
          <t>Home run JB-Water-wash pumps A-DI01 to the control / marshalling room</t>
        </is>
      </c>
      <c r="E3407" s="12" t="inlineStr"/>
      <c r="F3407" s="12" t="inlineStr">
        <is>
          <t>CCS F&amp;G / control</t>
        </is>
      </c>
      <c r="G3407" s="12" t="inlineStr">
        <is>
          <t>JB-Water-wash pumps A-DI01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G-I-0277</t>
        </is>
      </c>
      <c r="B3408" s="12" t="inlineStr">
        <is>
          <t>G</t>
        </is>
      </c>
      <c r="C3408" s="12" t="inlineStr">
        <is>
          <t>Carbon capture</t>
        </is>
      </c>
      <c r="D3408" s="12" t="inlineStr">
        <is>
          <t>Analog instrument to JB JB-Water-wash pumps B-AI01: 8 x 1 pr (field cables)</t>
        </is>
      </c>
      <c r="E3408" s="12" t="inlineStr"/>
      <c r="F3408" s="12" t="inlineStr">
        <is>
          <t>Water-wash pumps B</t>
        </is>
      </c>
      <c r="G3408" s="12" t="inlineStr">
        <is>
          <t>JB-Water-wash pumps B-AI01</t>
        </is>
      </c>
      <c r="H3408" s="12" t="inlineStr">
        <is>
          <t>Water-wash pumps B</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G-I-0278</t>
        </is>
      </c>
      <c r="B3409" s="12" t="inlineStr">
        <is>
          <t>G</t>
        </is>
      </c>
      <c r="C3409" s="12" t="inlineStr">
        <is>
          <t>Carbon capture</t>
        </is>
      </c>
      <c r="D3409" s="12" t="inlineStr">
        <is>
          <t>Home run JB-Water-wash pumps B-AI01 to the control / marshalling room</t>
        </is>
      </c>
      <c r="E3409" s="12" t="inlineStr"/>
      <c r="F3409" s="12" t="inlineStr">
        <is>
          <t>CCS F&amp;G / control</t>
        </is>
      </c>
      <c r="G3409" s="12" t="inlineStr">
        <is>
          <t>JB-Water-wash pumps B-AI01</t>
        </is>
      </c>
      <c r="H3409" s="12" t="inlineStr">
        <is>
          <t>Water-wash pumps B</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674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G-I-0279</t>
        </is>
      </c>
      <c r="B3410" s="12" t="inlineStr">
        <is>
          <t>G</t>
        </is>
      </c>
      <c r="C3410" s="12" t="inlineStr">
        <is>
          <t>Carbon capture</t>
        </is>
      </c>
      <c r="D3410" s="12" t="inlineStr">
        <is>
          <t>Discrete device to JB JB-Water-wash pumps B-DI01: 8 x 1 pr (field cables)</t>
        </is>
      </c>
      <c r="E3410" s="12" t="inlineStr"/>
      <c r="F3410" s="12" t="inlineStr">
        <is>
          <t>Water-wash pumps B</t>
        </is>
      </c>
      <c r="G3410" s="12" t="inlineStr">
        <is>
          <t>JB-Water-wash pumps B-DI01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G-I-0280</t>
        </is>
      </c>
      <c r="B3411" s="12" t="inlineStr">
        <is>
          <t>G</t>
        </is>
      </c>
      <c r="C3411" s="12" t="inlineStr">
        <is>
          <t>Carbon capture</t>
        </is>
      </c>
      <c r="D3411" s="12" t="inlineStr">
        <is>
          <t>Home run JB-Water-wash pumps B-DI01 to the control / marshalling room</t>
        </is>
      </c>
      <c r="E3411" s="12" t="inlineStr"/>
      <c r="F3411" s="12" t="inlineStr">
        <is>
          <t>CCS F&amp;G / control</t>
        </is>
      </c>
      <c r="G3411" s="12" t="inlineStr">
        <is>
          <t>JB-Water-wash pumps B-DI01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G-I-0281</t>
        </is>
      </c>
      <c r="B3412" s="12" t="inlineStr">
        <is>
          <t>G</t>
        </is>
      </c>
      <c r="C3412" s="12" t="inlineStr">
        <is>
          <t>Carbon capture</t>
        </is>
      </c>
      <c r="D3412" s="12" t="inlineStr">
        <is>
          <t>Analog instrument to JB JB-Water-wash pumps C-AI01: 8 x 1 pr (field cables)</t>
        </is>
      </c>
      <c r="E3412" s="12" t="inlineStr"/>
      <c r="F3412" s="12" t="inlineStr">
        <is>
          <t>Water-wash pumps C</t>
        </is>
      </c>
      <c r="G3412" s="12" t="inlineStr">
        <is>
          <t>JB-Water-wash pumps C-AI01</t>
        </is>
      </c>
      <c r="H3412" s="12" t="inlineStr">
        <is>
          <t>Water-wash pumps C</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G-I-0282</t>
        </is>
      </c>
      <c r="B3413" s="12" t="inlineStr">
        <is>
          <t>G</t>
        </is>
      </c>
      <c r="C3413" s="12" t="inlineStr">
        <is>
          <t>Carbon capture</t>
        </is>
      </c>
      <c r="D3413" s="12" t="inlineStr">
        <is>
          <t>Home run JB-Water-wash pumps C-AI01 to the control / marshalling room</t>
        </is>
      </c>
      <c r="E3413" s="12" t="inlineStr"/>
      <c r="F3413" s="12" t="inlineStr">
        <is>
          <t>CCS F&amp;G / control</t>
        </is>
      </c>
      <c r="G3413" s="12" t="inlineStr">
        <is>
          <t>JB-Water-wash pumps C-AI01</t>
        </is>
      </c>
      <c r="H3413" s="12" t="inlineStr">
        <is>
          <t>Water-wash pumps C</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514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G-I-0283</t>
        </is>
      </c>
      <c r="B3414" s="12" t="inlineStr">
        <is>
          <t>G</t>
        </is>
      </c>
      <c r="C3414" s="12" t="inlineStr">
        <is>
          <t>Carbon capture</t>
        </is>
      </c>
      <c r="D3414" s="12" t="inlineStr">
        <is>
          <t>Discrete device to JB JB-Water-wash pumps C-DI01: 8 x 1 pr (field cables)</t>
        </is>
      </c>
      <c r="E3414" s="12" t="inlineStr"/>
      <c r="F3414" s="12" t="inlineStr">
        <is>
          <t>Water-wash pumps C</t>
        </is>
      </c>
      <c r="G3414" s="12" t="inlineStr">
        <is>
          <t>JB-Water-wash pumps C-DI01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G-I-0284</t>
        </is>
      </c>
      <c r="B3415" s="12" t="inlineStr">
        <is>
          <t>G</t>
        </is>
      </c>
      <c r="C3415" s="12" t="inlineStr">
        <is>
          <t>Carbon capture</t>
        </is>
      </c>
      <c r="D3415" s="12" t="inlineStr">
        <is>
          <t>Home run JB-Water-wash pumps C-DI01 to the control / marshalling room</t>
        </is>
      </c>
      <c r="E3415" s="12" t="inlineStr"/>
      <c r="F3415" s="12" t="inlineStr">
        <is>
          <t>CCS F&amp;G / control</t>
        </is>
      </c>
      <c r="G3415" s="12" t="inlineStr">
        <is>
          <t>JB-Water-wash pumps C-DI01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G-P-0001</t>
        </is>
      </c>
      <c r="B3416" s="12" t="inlineStr">
        <is>
          <t>G</t>
        </is>
      </c>
      <c r="C3416" s="12" t="inlineStr">
        <is>
          <t>Carbon capture</t>
        </is>
      </c>
      <c r="D3416" s="12" t="inlineStr">
        <is>
          <t>MOV 1: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6" t="n">
        <v>570</v>
      </c>
      <c r="U3416" s="16" t="n">
        <v>80</v>
      </c>
      <c r="V3416" s="16">
        <f>ROUNDUP((T3416+U3416+2*'Read Me'!$B$13)*(1+'Read Me'!$B$12),-1)</f>
        <v/>
      </c>
      <c r="W3416" s="16">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G-P-0002</t>
        </is>
      </c>
      <c r="B3417" s="12" t="inlineStr">
        <is>
          <t>G</t>
        </is>
      </c>
      <c r="C3417" s="12" t="inlineStr">
        <is>
          <t>Carbon capture</t>
        </is>
      </c>
      <c r="D3417" s="12" t="inlineStr">
        <is>
          <t>MOV 2: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6" t="n">
        <v>570</v>
      </c>
      <c r="U3417" s="16" t="n">
        <v>80</v>
      </c>
      <c r="V3417" s="16">
        <f>ROUNDUP((T3417+U3417+2*'Read Me'!$B$13)*(1+'Read Me'!$B$12),-1)</f>
        <v/>
      </c>
      <c r="W3417" s="16">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G-P-0003</t>
        </is>
      </c>
      <c r="B3418" s="12" t="inlineStr">
        <is>
          <t>G</t>
        </is>
      </c>
      <c r="C3418" s="12" t="inlineStr">
        <is>
          <t>Carbon capture</t>
        </is>
      </c>
      <c r="D3418" s="12" t="inlineStr">
        <is>
          <t>MOV 3: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G-P-0004</t>
        </is>
      </c>
      <c r="B3419" s="12" t="inlineStr">
        <is>
          <t>G</t>
        </is>
      </c>
      <c r="C3419" s="12" t="inlineStr">
        <is>
          <t>Carbon capture</t>
        </is>
      </c>
      <c r="D3419" s="12" t="inlineStr">
        <is>
          <t>MOV 4: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G-P-0005</t>
        </is>
      </c>
      <c r="B3420" s="12" t="inlineStr">
        <is>
          <t>G</t>
        </is>
      </c>
      <c r="C3420" s="12" t="inlineStr">
        <is>
          <t>Carbon capture</t>
        </is>
      </c>
      <c r="D3420" s="12" t="inlineStr">
        <is>
          <t>MOV 5: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G-P-0006</t>
        </is>
      </c>
      <c r="B3421" s="12" t="inlineStr">
        <is>
          <t>G</t>
        </is>
      </c>
      <c r="C3421" s="12" t="inlineStr">
        <is>
          <t>Carbon capture</t>
        </is>
      </c>
      <c r="D3421" s="12" t="inlineStr">
        <is>
          <t>MOV 6: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G-P-0007</t>
        </is>
      </c>
      <c r="B3422" s="12" t="inlineStr">
        <is>
          <t>G</t>
        </is>
      </c>
      <c r="C3422" s="12" t="inlineStr">
        <is>
          <t>Carbon capture</t>
        </is>
      </c>
      <c r="D3422" s="12" t="inlineStr">
        <is>
          <t>MOV 7: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G-P-0008</t>
        </is>
      </c>
      <c r="B3423" s="12" t="inlineStr">
        <is>
          <t>G</t>
        </is>
      </c>
      <c r="C3423" s="12" t="inlineStr">
        <is>
          <t>Carbon capture</t>
        </is>
      </c>
      <c r="D3423" s="12" t="inlineStr">
        <is>
          <t>MOV 8: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G-P-0009</t>
        </is>
      </c>
      <c r="B3424" s="12" t="inlineStr">
        <is>
          <t>G</t>
        </is>
      </c>
      <c r="C3424" s="12" t="inlineStr">
        <is>
          <t>Carbon capture</t>
        </is>
      </c>
      <c r="D3424" s="12" t="inlineStr">
        <is>
          <t>MOV 9: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G-P-0010</t>
        </is>
      </c>
      <c r="B3425" s="12" t="inlineStr">
        <is>
          <t>G</t>
        </is>
      </c>
      <c r="C3425" s="12" t="inlineStr">
        <is>
          <t>Carbon capture</t>
        </is>
      </c>
      <c r="D3425" s="12" t="inlineStr">
        <is>
          <t>MOV 10: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G-P-0011</t>
        </is>
      </c>
      <c r="B3426" s="12" t="inlineStr">
        <is>
          <t>G</t>
        </is>
      </c>
      <c r="C3426" s="12" t="inlineStr">
        <is>
          <t>Carbon capture</t>
        </is>
      </c>
      <c r="D3426" s="12" t="inlineStr">
        <is>
          <t>LV power feeder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LV|3/C+G|2</t>
        </is>
      </c>
      <c r="L3426" s="12" t="inlineStr">
        <is>
          <t>3/C+G</t>
        </is>
      </c>
      <c r="M3426" s="12" t="inlineStr">
        <is>
          <t>2</t>
        </is>
      </c>
      <c r="N3426" s="12" t="n">
        <v>1</v>
      </c>
      <c r="O3426" s="12" t="n">
        <v>1</v>
      </c>
      <c r="P3426" s="12" t="n">
        <v>480</v>
      </c>
      <c r="Q3426" s="12" t="n">
        <v>40</v>
      </c>
      <c r="R3426" s="12" t="n">
        <v>56.6</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2.8 %</t>
        </is>
      </c>
      <c r="AA3426" s="12">
        <f>N3426*O3426</f>
        <v/>
      </c>
    </row>
    <row r="3427">
      <c r="A3427" s="12" t="inlineStr">
        <is>
          <t>G-P-0012</t>
        </is>
      </c>
      <c r="B3427" s="12" t="inlineStr">
        <is>
          <t>G</t>
        </is>
      </c>
      <c r="C3427" s="12" t="inlineStr">
        <is>
          <t>Carbon capture</t>
        </is>
      </c>
      <c r="D3427" s="12" t="inlineStr">
        <is>
          <t>Area / platform lighting circuit 1 (12 fixtures)</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3</v>
      </c>
      <c r="R3427" s="12" t="n">
        <v>5</v>
      </c>
      <c r="S3427" s="12" t="inlineStr">
        <is>
          <t>Tray</t>
        </is>
      </c>
      <c r="T3427" s="16" t="n">
        <v>870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fixture-to-fixture run included</t>
        </is>
      </c>
      <c r="AA3427" s="12">
        <f>N3427*O3427</f>
        <v/>
      </c>
    </row>
    <row r="3428">
      <c r="A3428" s="12" t="inlineStr">
        <is>
          <t>G-P-0013</t>
        </is>
      </c>
      <c r="B3428" s="12" t="inlineStr">
        <is>
          <t>G</t>
        </is>
      </c>
      <c r="C3428" s="12" t="inlineStr">
        <is>
          <t>Carbon capture</t>
        </is>
      </c>
      <c r="D3428" s="12" t="inlineStr">
        <is>
          <t>Area / platform lighting circuit 2 (12 fixtures)</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3</v>
      </c>
      <c r="R3428" s="12" t="n">
        <v>5</v>
      </c>
      <c r="S3428" s="12" t="inlineStr">
        <is>
          <t>Tray</t>
        </is>
      </c>
      <c r="T3428" s="16" t="n">
        <v>870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fixture-to-fixture run included</t>
        </is>
      </c>
      <c r="AA3428" s="12">
        <f>N3428*O3428</f>
        <v/>
      </c>
    </row>
    <row r="3429">
      <c r="A3429" s="12" t="inlineStr">
        <is>
          <t>G-P-0014</t>
        </is>
      </c>
      <c r="B3429" s="12" t="inlineStr">
        <is>
          <t>G</t>
        </is>
      </c>
      <c r="C3429" s="12" t="inlineStr">
        <is>
          <t>Carbon capture</t>
        </is>
      </c>
      <c r="D3429" s="12" t="inlineStr">
        <is>
          <t>Area / platform lighting circuit 3 (6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G-P-0015</t>
        </is>
      </c>
      <c r="B3430" s="12" t="inlineStr">
        <is>
          <t>G</t>
        </is>
      </c>
      <c r="C3430" s="12" t="inlineStr">
        <is>
          <t>Carbon capture</t>
        </is>
      </c>
      <c r="D3430" s="12" t="inlineStr">
        <is>
          <t>480 V welding receptacle 1</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60</v>
      </c>
      <c r="R3430" s="12" t="n">
        <v>76</v>
      </c>
      <c r="S3430" s="12" t="inlineStr">
        <is>
          <t>Tray</t>
        </is>
      </c>
      <c r="T3430" s="16" t="n">
        <v>570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VD 2.4 %</t>
        </is>
      </c>
      <c r="AA3430" s="12">
        <f>N3430*O3430</f>
        <v/>
      </c>
    </row>
    <row r="3431">
      <c r="A3431" s="12" t="inlineStr">
        <is>
          <t>G-P-0016</t>
        </is>
      </c>
      <c r="B3431" s="12" t="inlineStr">
        <is>
          <t>G</t>
        </is>
      </c>
      <c r="C3431" s="12" t="inlineStr">
        <is>
          <t>Carbon capture</t>
        </is>
      </c>
      <c r="D3431" s="12" t="inlineStr">
        <is>
          <t>480 V welding receptacle 2</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60</v>
      </c>
      <c r="R3431" s="12" t="n">
        <v>76</v>
      </c>
      <c r="S3431" s="12" t="inlineStr">
        <is>
          <t>Tray</t>
        </is>
      </c>
      <c r="T3431" s="16" t="n">
        <v>570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VD 2.4 %</t>
        </is>
      </c>
      <c r="AA3431" s="12">
        <f>N3431*O3431</f>
        <v/>
      </c>
    </row>
    <row r="3432">
      <c r="A3432" s="12" t="inlineStr">
        <is>
          <t>G-P-0017</t>
        </is>
      </c>
      <c r="B3432" s="12" t="inlineStr">
        <is>
          <t>G</t>
        </is>
      </c>
      <c r="C3432" s="12" t="inlineStr">
        <is>
          <t>Carbon capture</t>
        </is>
      </c>
      <c r="D3432" s="12" t="inlineStr">
        <is>
          <t>480 V welding receptacle 3</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G-P-0018</t>
        </is>
      </c>
      <c r="B3433" s="12" t="inlineStr">
        <is>
          <t>G</t>
        </is>
      </c>
      <c r="C3433" s="12" t="inlineStr">
        <is>
          <t>Carbon capture</t>
        </is>
      </c>
      <c r="D3433" s="12" t="inlineStr">
        <is>
          <t>480 V welding receptacle 4</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G-P-0019</t>
        </is>
      </c>
      <c r="B3434" s="12" t="inlineStr">
        <is>
          <t>G</t>
        </is>
      </c>
      <c r="C3434" s="12" t="inlineStr">
        <is>
          <t>Carbon capture</t>
        </is>
      </c>
      <c r="D3434" s="12" t="inlineStr">
        <is>
          <t>Motor 1 of 2, 150 kW</t>
        </is>
      </c>
      <c r="E3434" s="12" t="inlineStr"/>
      <c r="F3434" s="12" t="inlineStr">
        <is>
          <t>CCS MV switchgear building (VFDs)</t>
        </is>
      </c>
      <c r="G3434" s="12" t="inlineStr"/>
      <c r="H3434" s="12" t="inlineStr">
        <is>
          <t>Absorber A intercooler (pumps + plate exchanger)</t>
        </is>
      </c>
      <c r="I3434" s="12" t="inlineStr">
        <is>
          <t>LV 600 V</t>
        </is>
      </c>
      <c r="J3434" s="12" t="inlineStr">
        <is>
          <t>Type TC-ER 600 V 3/C Cu XHHW-2 + ground, PVC jacket</t>
        </is>
      </c>
      <c r="K3434" s="12" t="inlineStr">
        <is>
          <t>LV|3/C+G|350</t>
        </is>
      </c>
      <c r="L3434" s="12" t="inlineStr">
        <is>
          <t>3/C+G</t>
        </is>
      </c>
      <c r="M3434" s="12" t="inlineStr">
        <is>
          <t>350 kcmil</t>
        </is>
      </c>
      <c r="N3434" s="12" t="n">
        <v>1</v>
      </c>
      <c r="O3434" s="12" t="n">
        <v>1</v>
      </c>
      <c r="P3434" s="12" t="n">
        <v>480</v>
      </c>
      <c r="Q3434" s="12" t="n">
        <v>150</v>
      </c>
      <c r="R3434" s="12" t="n">
        <v>212.3</v>
      </c>
      <c r="S3434" s="12" t="inlineStr">
        <is>
          <t>Tray</t>
        </is>
      </c>
      <c r="T3434" s="16" t="n">
        <v>552</v>
      </c>
      <c r="U3434" s="16" t="n">
        <v>81</v>
      </c>
      <c r="V3434" s="16">
        <f>ROUNDUP((T3434+U3434+2*'Read Me'!$B$13)*(1+'Read Me'!$B$12),-1)</f>
        <v/>
      </c>
      <c r="W3434" s="16">
        <f>V3434*N3434*O3434</f>
        <v/>
      </c>
      <c r="X3434" s="12">
        <f>IF(LEFT(I3434,2)="MV",2*N3434*IF(L3434="1/C",O3434,1),0)</f>
        <v/>
      </c>
      <c r="Y3434" s="12">
        <f>IF(OR(LEFT(K3434,4)="LVAX",LEFT(K3434,6)="MV15AX",LEFT(K3434,4)="CTAX",LEFT(K3434,2)="W|"),2*N3434*O3434,0)</f>
        <v/>
      </c>
      <c r="Z3434" s="12" t="inlineStr">
        <is>
          <t>VD 2.0 %</t>
        </is>
      </c>
      <c r="AA3434" s="12">
        <f>N3434*O3434</f>
        <v/>
      </c>
    </row>
    <row r="3435">
      <c r="A3435" s="12" t="inlineStr">
        <is>
          <t>G-P-0020</t>
        </is>
      </c>
      <c r="B3435" s="12" t="inlineStr">
        <is>
          <t>G</t>
        </is>
      </c>
      <c r="C3435" s="12" t="inlineStr">
        <is>
          <t>Carbon capture</t>
        </is>
      </c>
      <c r="D3435" s="12" t="inlineStr">
        <is>
          <t>Motor 2 of 2, 150 kW</t>
        </is>
      </c>
      <c r="E3435" s="12" t="inlineStr"/>
      <c r="F3435" s="12" t="inlineStr">
        <is>
          <t>CCS MV switchgear building (VFDs)</t>
        </is>
      </c>
      <c r="G3435" s="12" t="inlineStr"/>
      <c r="H3435" s="12" t="inlineStr">
        <is>
          <t>Absorber A intercooler (pumps + plate exchanger)</t>
        </is>
      </c>
      <c r="I3435" s="12" t="inlineStr">
        <is>
          <t>LV 600 V</t>
        </is>
      </c>
      <c r="J3435" s="12" t="inlineStr">
        <is>
          <t>Type TC-ER 600 V 3/C Cu XHHW-2 + ground, PVC jacket</t>
        </is>
      </c>
      <c r="K3435" s="12" t="inlineStr">
        <is>
          <t>LV|3/C+G|350</t>
        </is>
      </c>
      <c r="L3435" s="12" t="inlineStr">
        <is>
          <t>3/C+G</t>
        </is>
      </c>
      <c r="M3435" s="12" t="inlineStr">
        <is>
          <t>350 kcmil</t>
        </is>
      </c>
      <c r="N3435" s="12" t="n">
        <v>1</v>
      </c>
      <c r="O3435" s="12" t="n">
        <v>1</v>
      </c>
      <c r="P3435" s="12" t="n">
        <v>480</v>
      </c>
      <c r="Q3435" s="12" t="n">
        <v>150</v>
      </c>
      <c r="R3435" s="12" t="n">
        <v>212.3</v>
      </c>
      <c r="S3435" s="12" t="inlineStr">
        <is>
          <t>Tray</t>
        </is>
      </c>
      <c r="T3435" s="16" t="n">
        <v>552</v>
      </c>
      <c r="U3435" s="16" t="n">
        <v>81</v>
      </c>
      <c r="V3435" s="16">
        <f>ROUNDUP((T3435+U3435+2*'Read Me'!$B$13)*(1+'Read Me'!$B$12),-1)</f>
        <v/>
      </c>
      <c r="W3435" s="16">
        <f>V3435*N3435*O3435</f>
        <v/>
      </c>
      <c r="X3435" s="12">
        <f>IF(LEFT(I3435,2)="MV",2*N3435*IF(L3435="1/C",O3435,1),0)</f>
        <v/>
      </c>
      <c r="Y3435" s="12">
        <f>IF(OR(LEFT(K3435,4)="LVAX",LEFT(K3435,6)="MV15AX",LEFT(K3435,4)="CTAX",LEFT(K3435,2)="W|"),2*N3435*O3435,0)</f>
        <v/>
      </c>
      <c r="Z3435" s="12" t="inlineStr">
        <is>
          <t>VD 2.0 %</t>
        </is>
      </c>
      <c r="AA3435" s="12">
        <f>N3435*O3435</f>
        <v/>
      </c>
    </row>
    <row r="3436">
      <c r="A3436" s="12" t="inlineStr">
        <is>
          <t>G-P-0021</t>
        </is>
      </c>
      <c r="B3436" s="12" t="inlineStr">
        <is>
          <t>G</t>
        </is>
      </c>
      <c r="C3436" s="12" t="inlineStr">
        <is>
          <t>Carbon capture</t>
        </is>
      </c>
      <c r="D3436" s="12" t="inlineStr">
        <is>
          <t>MOV 1: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6" t="n">
        <v>410</v>
      </c>
      <c r="U3436" s="16" t="n">
        <v>80</v>
      </c>
      <c r="V3436" s="16">
        <f>ROUNDUP((T3436+U3436+2*'Read Me'!$B$13)*(1+'Read Me'!$B$12),-1)</f>
        <v/>
      </c>
      <c r="W3436" s="16">
        <f>V3436*N3436*O3436</f>
        <v/>
      </c>
      <c r="X3436" s="12">
        <f>IF(LEFT(I3436,2)="MV",2*N3436*IF(L3436="1/C",O3436,1),0)</f>
        <v/>
      </c>
      <c r="Y3436" s="12">
        <f>IF(OR(LEFT(K3436,4)="LVAX",LEFT(K3436,6)="MV15AX",LEFT(K3436,4)="CTAX",LEFT(K3436,2)="W|"),2*N3436*O3436,0)</f>
        <v/>
      </c>
      <c r="Z3436" s="12" t="inlineStr">
        <is>
          <t>VD 0.8 %</t>
        </is>
      </c>
      <c r="AA3436" s="12">
        <f>N3436*O3436</f>
        <v/>
      </c>
    </row>
    <row r="3437">
      <c r="A3437" s="12" t="inlineStr">
        <is>
          <t>G-P-0022</t>
        </is>
      </c>
      <c r="B3437" s="12" t="inlineStr">
        <is>
          <t>G</t>
        </is>
      </c>
      <c r="C3437" s="12" t="inlineStr">
        <is>
          <t>Carbon capture</t>
        </is>
      </c>
      <c r="D3437" s="12" t="inlineStr">
        <is>
          <t>MOV 2: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6" t="n">
        <v>410</v>
      </c>
      <c r="U3437" s="16" t="n">
        <v>80</v>
      </c>
      <c r="V3437" s="16">
        <f>ROUNDUP((T3437+U3437+2*'Read Me'!$B$13)*(1+'Read Me'!$B$12),-1)</f>
        <v/>
      </c>
      <c r="W3437" s="16">
        <f>V3437*N3437*O3437</f>
        <v/>
      </c>
      <c r="X3437" s="12">
        <f>IF(LEFT(I3437,2)="MV",2*N3437*IF(L3437="1/C",O3437,1),0)</f>
        <v/>
      </c>
      <c r="Y3437" s="12">
        <f>IF(OR(LEFT(K3437,4)="LVAX",LEFT(K3437,6)="MV15AX",LEFT(K3437,4)="CTAX",LEFT(K3437,2)="W|"),2*N3437*O3437,0)</f>
        <v/>
      </c>
      <c r="Z3437" s="12" t="inlineStr">
        <is>
          <t>VD 0.8 %</t>
        </is>
      </c>
      <c r="AA3437" s="12">
        <f>N3437*O3437</f>
        <v/>
      </c>
    </row>
    <row r="3438">
      <c r="A3438" s="12" t="inlineStr">
        <is>
          <t>G-P-0023</t>
        </is>
      </c>
      <c r="B3438" s="12" t="inlineStr">
        <is>
          <t>G</t>
        </is>
      </c>
      <c r="C3438" s="12" t="inlineStr">
        <is>
          <t>Carbon capture</t>
        </is>
      </c>
      <c r="D3438" s="12" t="inlineStr">
        <is>
          <t>MOV 3: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G-P-0024</t>
        </is>
      </c>
      <c r="B3439" s="12" t="inlineStr">
        <is>
          <t>G</t>
        </is>
      </c>
      <c r="C3439" s="12" t="inlineStr">
        <is>
          <t>Carbon capture</t>
        </is>
      </c>
      <c r="D3439" s="12" t="inlineStr">
        <is>
          <t>MOV 4: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G-P-0025</t>
        </is>
      </c>
      <c r="B3440" s="12" t="inlineStr">
        <is>
          <t>G</t>
        </is>
      </c>
      <c r="C3440" s="12" t="inlineStr">
        <is>
          <t>Carbon capture</t>
        </is>
      </c>
      <c r="D3440" s="12" t="inlineStr">
        <is>
          <t>MOV 5: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G-P-0026</t>
        </is>
      </c>
      <c r="B3441" s="12" t="inlineStr">
        <is>
          <t>G</t>
        </is>
      </c>
      <c r="C3441" s="12" t="inlineStr">
        <is>
          <t>Carbon capture</t>
        </is>
      </c>
      <c r="D3441" s="12" t="inlineStr">
        <is>
          <t>MOV 6: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G-P-0027</t>
        </is>
      </c>
      <c r="B3442" s="12" t="inlineStr">
        <is>
          <t>G</t>
        </is>
      </c>
      <c r="C3442" s="12" t="inlineStr">
        <is>
          <t>Carbon capture</t>
        </is>
      </c>
      <c r="D3442" s="12" t="inlineStr">
        <is>
          <t>MOV 7: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G-P-0028</t>
        </is>
      </c>
      <c r="B3443" s="12" t="inlineStr">
        <is>
          <t>G</t>
        </is>
      </c>
      <c r="C3443" s="12" t="inlineStr">
        <is>
          <t>Carbon capture</t>
        </is>
      </c>
      <c r="D3443" s="12" t="inlineStr">
        <is>
          <t>MOV 8: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G-P-0029</t>
        </is>
      </c>
      <c r="B3444" s="12" t="inlineStr">
        <is>
          <t>G</t>
        </is>
      </c>
      <c r="C3444" s="12" t="inlineStr">
        <is>
          <t>Carbon capture</t>
        </is>
      </c>
      <c r="D3444" s="12" t="inlineStr">
        <is>
          <t>MOV 9: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G-P-0030</t>
        </is>
      </c>
      <c r="B3445" s="12" t="inlineStr">
        <is>
          <t>G</t>
        </is>
      </c>
      <c r="C3445" s="12" t="inlineStr">
        <is>
          <t>Carbon capture</t>
        </is>
      </c>
      <c r="D3445" s="12" t="inlineStr">
        <is>
          <t>MOV 10: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G-P-0031</t>
        </is>
      </c>
      <c r="B3446" s="12" t="inlineStr">
        <is>
          <t>G</t>
        </is>
      </c>
      <c r="C3446" s="12" t="inlineStr">
        <is>
          <t>Carbon capture</t>
        </is>
      </c>
      <c r="D3446" s="12" t="inlineStr">
        <is>
          <t>LV power feeder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LV|3/C+G|2</t>
        </is>
      </c>
      <c r="L3446" s="12" t="inlineStr">
        <is>
          <t>3/C+G</t>
        </is>
      </c>
      <c r="M3446" s="12" t="inlineStr">
        <is>
          <t>2</t>
        </is>
      </c>
      <c r="N3446" s="12" t="n">
        <v>1</v>
      </c>
      <c r="O3446" s="12" t="n">
        <v>1</v>
      </c>
      <c r="P3446" s="12" t="n">
        <v>480</v>
      </c>
      <c r="Q3446" s="12" t="n">
        <v>40</v>
      </c>
      <c r="R3446" s="12" t="n">
        <v>56.6</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2.1 %</t>
        </is>
      </c>
      <c r="AA3446" s="12">
        <f>N3446*O3446</f>
        <v/>
      </c>
    </row>
    <row r="3447">
      <c r="A3447" s="12" t="inlineStr">
        <is>
          <t>G-P-0032</t>
        </is>
      </c>
      <c r="B3447" s="12" t="inlineStr">
        <is>
          <t>G</t>
        </is>
      </c>
      <c r="C3447" s="12" t="inlineStr">
        <is>
          <t>Carbon capture</t>
        </is>
      </c>
      <c r="D3447" s="12" t="inlineStr">
        <is>
          <t>Area / platform lighting circuit 1 (12 fixtures)</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6" t="n">
        <v>710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G-P-0033</t>
        </is>
      </c>
      <c r="B3448" s="12" t="inlineStr">
        <is>
          <t>G</t>
        </is>
      </c>
      <c r="C3448" s="12" t="inlineStr">
        <is>
          <t>Carbon capture</t>
        </is>
      </c>
      <c r="D3448" s="12" t="inlineStr">
        <is>
          <t>Area / platform lighting circuit 2 (12 fixtures)</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3</v>
      </c>
      <c r="R3448" s="12" t="n">
        <v>5</v>
      </c>
      <c r="S3448" s="12" t="inlineStr">
        <is>
          <t>Tray</t>
        </is>
      </c>
      <c r="T3448" s="16" t="n">
        <v>710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fixture-to-fixture run included</t>
        </is>
      </c>
      <c r="AA3448" s="12">
        <f>N3448*O3448</f>
        <v/>
      </c>
    </row>
    <row r="3449">
      <c r="A3449" s="12" t="inlineStr">
        <is>
          <t>G-P-0034</t>
        </is>
      </c>
      <c r="B3449" s="12" t="inlineStr">
        <is>
          <t>G</t>
        </is>
      </c>
      <c r="C3449" s="12" t="inlineStr">
        <is>
          <t>Carbon capture</t>
        </is>
      </c>
      <c r="D3449" s="12" t="inlineStr">
        <is>
          <t>Area / platform lighting circuit 3 (6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G-P-0035</t>
        </is>
      </c>
      <c r="B3450" s="12" t="inlineStr">
        <is>
          <t>G</t>
        </is>
      </c>
      <c r="C3450" s="12" t="inlineStr">
        <is>
          <t>Carbon capture</t>
        </is>
      </c>
      <c r="D3450" s="12" t="inlineStr">
        <is>
          <t>480 V welding receptacle 1</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LV|3/C+G|2</t>
        </is>
      </c>
      <c r="L3450" s="12" t="inlineStr">
        <is>
          <t>3/C+G</t>
        </is>
      </c>
      <c r="M3450" s="12" t="inlineStr">
        <is>
          <t>2</t>
        </is>
      </c>
      <c r="N3450" s="12" t="n">
        <v>1</v>
      </c>
      <c r="O3450" s="12" t="n">
        <v>1</v>
      </c>
      <c r="P3450" s="12" t="n">
        <v>480</v>
      </c>
      <c r="Q3450" s="12" t="n">
        <v>60</v>
      </c>
      <c r="R3450" s="12" t="n">
        <v>76</v>
      </c>
      <c r="S3450" s="12" t="inlineStr">
        <is>
          <t>Tray</t>
        </is>
      </c>
      <c r="T3450" s="16" t="n">
        <v>410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VD 2.9 %</t>
        </is>
      </c>
      <c r="AA3450" s="12">
        <f>N3450*O3450</f>
        <v/>
      </c>
    </row>
    <row r="3451">
      <c r="A3451" s="12" t="inlineStr">
        <is>
          <t>G-P-0036</t>
        </is>
      </c>
      <c r="B3451" s="12" t="inlineStr">
        <is>
          <t>G</t>
        </is>
      </c>
      <c r="C3451" s="12" t="inlineStr">
        <is>
          <t>Carbon capture</t>
        </is>
      </c>
      <c r="D3451" s="12" t="inlineStr">
        <is>
          <t>480 V welding receptacle 2</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LV|3/C+G|2</t>
        </is>
      </c>
      <c r="L3451" s="12" t="inlineStr">
        <is>
          <t>3/C+G</t>
        </is>
      </c>
      <c r="M3451" s="12" t="inlineStr">
        <is>
          <t>2</t>
        </is>
      </c>
      <c r="N3451" s="12" t="n">
        <v>1</v>
      </c>
      <c r="O3451" s="12" t="n">
        <v>1</v>
      </c>
      <c r="P3451" s="12" t="n">
        <v>480</v>
      </c>
      <c r="Q3451" s="12" t="n">
        <v>60</v>
      </c>
      <c r="R3451" s="12" t="n">
        <v>76</v>
      </c>
      <c r="S3451" s="12" t="inlineStr">
        <is>
          <t>Tray</t>
        </is>
      </c>
      <c r="T3451" s="16" t="n">
        <v>410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VD 2.9 %</t>
        </is>
      </c>
      <c r="AA3451" s="12">
        <f>N3451*O3451</f>
        <v/>
      </c>
    </row>
    <row r="3452">
      <c r="A3452" s="12" t="inlineStr">
        <is>
          <t>G-P-0037</t>
        </is>
      </c>
      <c r="B3452" s="12" t="inlineStr">
        <is>
          <t>G</t>
        </is>
      </c>
      <c r="C3452" s="12" t="inlineStr">
        <is>
          <t>Carbon capture</t>
        </is>
      </c>
      <c r="D3452" s="12" t="inlineStr">
        <is>
          <t>480 V welding receptacle 3</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G-P-0038</t>
        </is>
      </c>
      <c r="B3453" s="12" t="inlineStr">
        <is>
          <t>G</t>
        </is>
      </c>
      <c r="C3453" s="12" t="inlineStr">
        <is>
          <t>Carbon capture</t>
        </is>
      </c>
      <c r="D3453" s="12" t="inlineStr">
        <is>
          <t>480 V welding receptacle 4</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G-P-0039</t>
        </is>
      </c>
      <c r="B3454" s="12" t="inlineStr">
        <is>
          <t>G</t>
        </is>
      </c>
      <c r="C3454" s="12" t="inlineStr">
        <is>
          <t>Carbon capture</t>
        </is>
      </c>
      <c r="D3454" s="12" t="inlineStr">
        <is>
          <t>Motor 1 of 2, 150 kW</t>
        </is>
      </c>
      <c r="E3454" s="12" t="inlineStr"/>
      <c r="F3454" s="12" t="inlineStr">
        <is>
          <t>CCS MV switchgear building (VFDs)</t>
        </is>
      </c>
      <c r="G3454" s="12" t="inlineStr"/>
      <c r="H3454" s="12" t="inlineStr">
        <is>
          <t>Absorber B intercooler (pumps + plate exchanger)</t>
        </is>
      </c>
      <c r="I3454" s="12" t="inlineStr">
        <is>
          <t>LV 600 V</t>
        </is>
      </c>
      <c r="J3454" s="12" t="inlineStr">
        <is>
          <t>Type TC-ER 600 V 3/C Cu XHHW-2 + ground, PVC jacket</t>
        </is>
      </c>
      <c r="K3454" s="12" t="inlineStr">
        <is>
          <t>LV|3/C+G|350</t>
        </is>
      </c>
      <c r="L3454" s="12" t="inlineStr">
        <is>
          <t>3/C+G</t>
        </is>
      </c>
      <c r="M3454" s="12" t="inlineStr">
        <is>
          <t>350 kcmil</t>
        </is>
      </c>
      <c r="N3454" s="12" t="n">
        <v>1</v>
      </c>
      <c r="O3454" s="12" t="n">
        <v>1</v>
      </c>
      <c r="P3454" s="12" t="n">
        <v>480</v>
      </c>
      <c r="Q3454" s="12" t="n">
        <v>150</v>
      </c>
      <c r="R3454" s="12" t="n">
        <v>212.3</v>
      </c>
      <c r="S3454" s="12" t="inlineStr">
        <is>
          <t>Tray</t>
        </is>
      </c>
      <c r="T3454" s="16" t="n">
        <v>392</v>
      </c>
      <c r="U3454" s="16" t="n">
        <v>81</v>
      </c>
      <c r="V3454" s="16">
        <f>ROUNDUP((T3454+U3454+2*'Read Me'!$B$13)*(1+'Read Me'!$B$12),-1)</f>
        <v/>
      </c>
      <c r="W3454" s="16">
        <f>V3454*N3454*O3454</f>
        <v/>
      </c>
      <c r="X3454" s="12">
        <f>IF(LEFT(I3454,2)="MV",2*N3454*IF(L3454="1/C",O3454,1),0)</f>
        <v/>
      </c>
      <c r="Y3454" s="12">
        <f>IF(OR(LEFT(K3454,4)="LVAX",LEFT(K3454,6)="MV15AX",LEFT(K3454,4)="CTAX",LEFT(K3454,2)="W|"),2*N3454*O3454,0)</f>
        <v/>
      </c>
      <c r="Z3454" s="12" t="inlineStr">
        <is>
          <t>VD 1.5 %</t>
        </is>
      </c>
      <c r="AA3454" s="12">
        <f>N3454*O3454</f>
        <v/>
      </c>
    </row>
    <row r="3455">
      <c r="A3455" s="12" t="inlineStr">
        <is>
          <t>G-P-0040</t>
        </is>
      </c>
      <c r="B3455" s="12" t="inlineStr">
        <is>
          <t>G</t>
        </is>
      </c>
      <c r="C3455" s="12" t="inlineStr">
        <is>
          <t>Carbon capture</t>
        </is>
      </c>
      <c r="D3455" s="12" t="inlineStr">
        <is>
          <t>Motor 2 of 2, 150 kW</t>
        </is>
      </c>
      <c r="E3455" s="12" t="inlineStr"/>
      <c r="F3455" s="12" t="inlineStr">
        <is>
          <t>CCS MV switchgear building (VFDs)</t>
        </is>
      </c>
      <c r="G3455" s="12" t="inlineStr"/>
      <c r="H3455" s="12" t="inlineStr">
        <is>
          <t>Absorber B intercooler (pumps + plate exchanger)</t>
        </is>
      </c>
      <c r="I3455" s="12" t="inlineStr">
        <is>
          <t>LV 600 V</t>
        </is>
      </c>
      <c r="J3455" s="12" t="inlineStr">
        <is>
          <t>Type TC-ER 600 V 3/C Cu XHHW-2 + ground, PVC jacket</t>
        </is>
      </c>
      <c r="K3455" s="12" t="inlineStr">
        <is>
          <t>LV|3/C+G|350</t>
        </is>
      </c>
      <c r="L3455" s="12" t="inlineStr">
        <is>
          <t>3/C+G</t>
        </is>
      </c>
      <c r="M3455" s="12" t="inlineStr">
        <is>
          <t>350 kcmil</t>
        </is>
      </c>
      <c r="N3455" s="12" t="n">
        <v>1</v>
      </c>
      <c r="O3455" s="12" t="n">
        <v>1</v>
      </c>
      <c r="P3455" s="12" t="n">
        <v>480</v>
      </c>
      <c r="Q3455" s="12" t="n">
        <v>150</v>
      </c>
      <c r="R3455" s="12" t="n">
        <v>212.3</v>
      </c>
      <c r="S3455" s="12" t="inlineStr">
        <is>
          <t>Tray</t>
        </is>
      </c>
      <c r="T3455" s="16" t="n">
        <v>392</v>
      </c>
      <c r="U3455" s="16" t="n">
        <v>81</v>
      </c>
      <c r="V3455" s="16">
        <f>ROUNDUP((T3455+U3455+2*'Read Me'!$B$13)*(1+'Read Me'!$B$12),-1)</f>
        <v/>
      </c>
      <c r="W3455" s="16">
        <f>V3455*N3455*O3455</f>
        <v/>
      </c>
      <c r="X3455" s="12">
        <f>IF(LEFT(I3455,2)="MV",2*N3455*IF(L3455="1/C",O3455,1),0)</f>
        <v/>
      </c>
      <c r="Y3455" s="12">
        <f>IF(OR(LEFT(K3455,4)="LVAX",LEFT(K3455,6)="MV15AX",LEFT(K3455,4)="CTAX",LEFT(K3455,2)="W|"),2*N3455*O3455,0)</f>
        <v/>
      </c>
      <c r="Z3455" s="12" t="inlineStr">
        <is>
          <t>VD 1.5 %</t>
        </is>
      </c>
      <c r="AA3455" s="12">
        <f>N3455*O3455</f>
        <v/>
      </c>
    </row>
    <row r="3456">
      <c r="A3456" s="12" t="inlineStr">
        <is>
          <t>G-P-0041</t>
        </is>
      </c>
      <c r="B3456" s="12" t="inlineStr">
        <is>
          <t>G</t>
        </is>
      </c>
      <c r="C3456" s="12" t="inlineStr">
        <is>
          <t>Carbon capture</t>
        </is>
      </c>
      <c r="D3456" s="12" t="inlineStr">
        <is>
          <t>MOV 1: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6" t="n">
        <v>250</v>
      </c>
      <c r="U3456" s="16" t="n">
        <v>80</v>
      </c>
      <c r="V3456" s="16">
        <f>ROUNDUP((T3456+U3456+2*'Read Me'!$B$13)*(1+'Read Me'!$B$12),-1)</f>
        <v/>
      </c>
      <c r="W3456" s="16">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G-P-0042</t>
        </is>
      </c>
      <c r="B3457" s="12" t="inlineStr">
        <is>
          <t>G</t>
        </is>
      </c>
      <c r="C3457" s="12" t="inlineStr">
        <is>
          <t>Carbon capture</t>
        </is>
      </c>
      <c r="D3457" s="12" t="inlineStr">
        <is>
          <t>MOV 2: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6" t="n">
        <v>250</v>
      </c>
      <c r="U3457" s="16" t="n">
        <v>80</v>
      </c>
      <c r="V3457" s="16">
        <f>ROUNDUP((T3457+U3457+2*'Read Me'!$B$13)*(1+'Read Me'!$B$12),-1)</f>
        <v/>
      </c>
      <c r="W3457" s="16">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G-P-0043</t>
        </is>
      </c>
      <c r="B3458" s="12" t="inlineStr">
        <is>
          <t>G</t>
        </is>
      </c>
      <c r="C3458" s="12" t="inlineStr">
        <is>
          <t>Carbon capture</t>
        </is>
      </c>
      <c r="D3458" s="12" t="inlineStr">
        <is>
          <t>MOV 3: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G-P-0044</t>
        </is>
      </c>
      <c r="B3459" s="12" t="inlineStr">
        <is>
          <t>G</t>
        </is>
      </c>
      <c r="C3459" s="12" t="inlineStr">
        <is>
          <t>Carbon capture</t>
        </is>
      </c>
      <c r="D3459" s="12" t="inlineStr">
        <is>
          <t>MOV 4: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G-P-0045</t>
        </is>
      </c>
      <c r="B3460" s="12" t="inlineStr">
        <is>
          <t>G</t>
        </is>
      </c>
      <c r="C3460" s="12" t="inlineStr">
        <is>
          <t>Carbon capture</t>
        </is>
      </c>
      <c r="D3460" s="12" t="inlineStr">
        <is>
          <t>MOV 5: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G-P-0046</t>
        </is>
      </c>
      <c r="B3461" s="12" t="inlineStr">
        <is>
          <t>G</t>
        </is>
      </c>
      <c r="C3461" s="12" t="inlineStr">
        <is>
          <t>Carbon capture</t>
        </is>
      </c>
      <c r="D3461" s="12" t="inlineStr">
        <is>
          <t>MOV 6: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G-P-0047</t>
        </is>
      </c>
      <c r="B3462" s="12" t="inlineStr">
        <is>
          <t>G</t>
        </is>
      </c>
      <c r="C3462" s="12" t="inlineStr">
        <is>
          <t>Carbon capture</t>
        </is>
      </c>
      <c r="D3462" s="12" t="inlineStr">
        <is>
          <t>MOV 7: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G-P-0048</t>
        </is>
      </c>
      <c r="B3463" s="12" t="inlineStr">
        <is>
          <t>G</t>
        </is>
      </c>
      <c r="C3463" s="12" t="inlineStr">
        <is>
          <t>Carbon capture</t>
        </is>
      </c>
      <c r="D3463" s="12" t="inlineStr">
        <is>
          <t>MOV 8: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G-P-0049</t>
        </is>
      </c>
      <c r="B3464" s="12" t="inlineStr">
        <is>
          <t>G</t>
        </is>
      </c>
      <c r="C3464" s="12" t="inlineStr">
        <is>
          <t>Carbon capture</t>
        </is>
      </c>
      <c r="D3464" s="12" t="inlineStr">
        <is>
          <t>MOV 9: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G-P-0050</t>
        </is>
      </c>
      <c r="B3465" s="12" t="inlineStr">
        <is>
          <t>G</t>
        </is>
      </c>
      <c r="C3465" s="12" t="inlineStr">
        <is>
          <t>Carbon capture</t>
        </is>
      </c>
      <c r="D3465" s="12" t="inlineStr">
        <is>
          <t>MOV 10: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G-P-0051</t>
        </is>
      </c>
      <c r="B3466" s="12" t="inlineStr">
        <is>
          <t>G</t>
        </is>
      </c>
      <c r="C3466" s="12" t="inlineStr">
        <is>
          <t>Carbon capture</t>
        </is>
      </c>
      <c r="D3466" s="12" t="inlineStr">
        <is>
          <t>LV power feeder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LV|3/C+G|4</t>
        </is>
      </c>
      <c r="L3466" s="12" t="inlineStr">
        <is>
          <t>3/C+G</t>
        </is>
      </c>
      <c r="M3466" s="12" t="inlineStr">
        <is>
          <t>4</t>
        </is>
      </c>
      <c r="N3466" s="12" t="n">
        <v>1</v>
      </c>
      <c r="O3466" s="12" t="n">
        <v>1</v>
      </c>
      <c r="P3466" s="12" t="n">
        <v>480</v>
      </c>
      <c r="Q3466" s="12" t="n">
        <v>40</v>
      </c>
      <c r="R3466" s="12" t="n">
        <v>56.6</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2.3 %</t>
        </is>
      </c>
      <c r="AA3466" s="12">
        <f>N3466*O3466</f>
        <v/>
      </c>
    </row>
    <row r="3467">
      <c r="A3467" s="12" t="inlineStr">
        <is>
          <t>G-P-0052</t>
        </is>
      </c>
      <c r="B3467" s="12" t="inlineStr">
        <is>
          <t>G</t>
        </is>
      </c>
      <c r="C3467" s="12" t="inlineStr">
        <is>
          <t>Carbon capture</t>
        </is>
      </c>
      <c r="D3467" s="12" t="inlineStr">
        <is>
          <t>Area / platform lighting circuit 1 (12 fixtures)</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6" t="n">
        <v>550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G-P-0053</t>
        </is>
      </c>
      <c r="B3468" s="12" t="inlineStr">
        <is>
          <t>G</t>
        </is>
      </c>
      <c r="C3468" s="12" t="inlineStr">
        <is>
          <t>Carbon capture</t>
        </is>
      </c>
      <c r="D3468" s="12" t="inlineStr">
        <is>
          <t>Area / platform lighting circuit 2 (12 fixtures)</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3</v>
      </c>
      <c r="R3468" s="12" t="n">
        <v>5</v>
      </c>
      <c r="S3468" s="12" t="inlineStr">
        <is>
          <t>Tray</t>
        </is>
      </c>
      <c r="T3468" s="16" t="n">
        <v>550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fixture-to-fixture run included</t>
        </is>
      </c>
      <c r="AA3468" s="12">
        <f>N3468*O3468</f>
        <v/>
      </c>
    </row>
    <row r="3469">
      <c r="A3469" s="12" t="inlineStr">
        <is>
          <t>G-P-0054</t>
        </is>
      </c>
      <c r="B3469" s="12" t="inlineStr">
        <is>
          <t>G</t>
        </is>
      </c>
      <c r="C3469" s="12" t="inlineStr">
        <is>
          <t>Carbon capture</t>
        </is>
      </c>
      <c r="D3469" s="12" t="inlineStr">
        <is>
          <t>Area / platform lighting circuit 3 (6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G-P-0055</t>
        </is>
      </c>
      <c r="B3470" s="12" t="inlineStr">
        <is>
          <t>G</t>
        </is>
      </c>
      <c r="C3470" s="12" t="inlineStr">
        <is>
          <t>Carbon capture</t>
        </is>
      </c>
      <c r="D3470" s="12" t="inlineStr">
        <is>
          <t>480 V welding receptacle 1</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6" t="n">
        <v>250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VD 1.9 %</t>
        </is>
      </c>
      <c r="AA3470" s="12">
        <f>N3470*O3470</f>
        <v/>
      </c>
    </row>
    <row r="3471">
      <c r="A3471" s="12" t="inlineStr">
        <is>
          <t>G-P-0056</t>
        </is>
      </c>
      <c r="B3471" s="12" t="inlineStr">
        <is>
          <t>G</t>
        </is>
      </c>
      <c r="C3471" s="12" t="inlineStr">
        <is>
          <t>Carbon capture</t>
        </is>
      </c>
      <c r="D3471" s="12" t="inlineStr">
        <is>
          <t>480 V welding receptacle 2</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6" t="n">
        <v>250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VD 1.9 %</t>
        </is>
      </c>
      <c r="AA3471" s="12">
        <f>N3471*O3471</f>
        <v/>
      </c>
    </row>
    <row r="3472">
      <c r="A3472" s="12" t="inlineStr">
        <is>
          <t>G-P-0057</t>
        </is>
      </c>
      <c r="B3472" s="12" t="inlineStr">
        <is>
          <t>G</t>
        </is>
      </c>
      <c r="C3472" s="12" t="inlineStr">
        <is>
          <t>Carbon capture</t>
        </is>
      </c>
      <c r="D3472" s="12" t="inlineStr">
        <is>
          <t>480 V welding receptacle 3</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G-P-0058</t>
        </is>
      </c>
      <c r="B3473" s="12" t="inlineStr">
        <is>
          <t>G</t>
        </is>
      </c>
      <c r="C3473" s="12" t="inlineStr">
        <is>
          <t>Carbon capture</t>
        </is>
      </c>
      <c r="D3473" s="12" t="inlineStr">
        <is>
          <t>480 V welding receptacle 4</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G-P-0059</t>
        </is>
      </c>
      <c r="B3474" s="12" t="inlineStr">
        <is>
          <t>G</t>
        </is>
      </c>
      <c r="C3474" s="12" t="inlineStr">
        <is>
          <t>Carbon capture</t>
        </is>
      </c>
      <c r="D3474" s="12" t="inlineStr">
        <is>
          <t>Motor 1 of 2, 150 kW</t>
        </is>
      </c>
      <c r="E3474" s="12" t="inlineStr"/>
      <c r="F3474" s="12" t="inlineStr">
        <is>
          <t>CCS MV switchgear building (VFDs)</t>
        </is>
      </c>
      <c r="G3474" s="12" t="inlineStr"/>
      <c r="H3474" s="12" t="inlineStr">
        <is>
          <t>Absorber C intercooler (pumps + plate exchanger)</t>
        </is>
      </c>
      <c r="I3474" s="12" t="inlineStr">
        <is>
          <t>LV 600 V</t>
        </is>
      </c>
      <c r="J3474" s="12" t="inlineStr">
        <is>
          <t>Type TC-ER 600 V 3/C Cu XHHW-2 + ground, PVC jacket</t>
        </is>
      </c>
      <c r="K3474" s="12" t="inlineStr">
        <is>
          <t>LV|3/C+G|350</t>
        </is>
      </c>
      <c r="L3474" s="12" t="inlineStr">
        <is>
          <t>3/C+G</t>
        </is>
      </c>
      <c r="M3474" s="12" t="inlineStr">
        <is>
          <t>350 kcmil</t>
        </is>
      </c>
      <c r="N3474" s="12" t="n">
        <v>1</v>
      </c>
      <c r="O3474" s="12" t="n">
        <v>1</v>
      </c>
      <c r="P3474" s="12" t="n">
        <v>480</v>
      </c>
      <c r="Q3474" s="12" t="n">
        <v>150</v>
      </c>
      <c r="R3474" s="12" t="n">
        <v>212.3</v>
      </c>
      <c r="S3474" s="12" t="inlineStr">
        <is>
          <t>Tray</t>
        </is>
      </c>
      <c r="T3474" s="16" t="n">
        <v>232</v>
      </c>
      <c r="U3474" s="16" t="n">
        <v>81</v>
      </c>
      <c r="V3474" s="16">
        <f>ROUNDUP((T3474+U3474+2*'Read Me'!$B$13)*(1+'Read Me'!$B$12),-1)</f>
        <v/>
      </c>
      <c r="W3474" s="16">
        <f>V3474*N3474*O3474</f>
        <v/>
      </c>
      <c r="X3474" s="12">
        <f>IF(LEFT(I3474,2)="MV",2*N3474*IF(L3474="1/C",O3474,1),0)</f>
        <v/>
      </c>
      <c r="Y3474" s="12">
        <f>IF(OR(LEFT(K3474,4)="LVAX",LEFT(K3474,6)="MV15AX",LEFT(K3474,4)="CTAX",LEFT(K3474,2)="W|"),2*N3474*O3474,0)</f>
        <v/>
      </c>
      <c r="Z3474" s="12" t="inlineStr">
        <is>
          <t>VD 1.0 %</t>
        </is>
      </c>
      <c r="AA3474" s="12">
        <f>N3474*O3474</f>
        <v/>
      </c>
    </row>
    <row r="3475">
      <c r="A3475" s="12" t="inlineStr">
        <is>
          <t>G-P-0060</t>
        </is>
      </c>
      <c r="B3475" s="12" t="inlineStr">
        <is>
          <t>G</t>
        </is>
      </c>
      <c r="C3475" s="12" t="inlineStr">
        <is>
          <t>Carbon capture</t>
        </is>
      </c>
      <c r="D3475" s="12" t="inlineStr">
        <is>
          <t>Motor 2 of 2, 150 kW</t>
        </is>
      </c>
      <c r="E3475" s="12" t="inlineStr"/>
      <c r="F3475" s="12" t="inlineStr">
        <is>
          <t>CCS MV switchgear building (VFDs)</t>
        </is>
      </c>
      <c r="G3475" s="12" t="inlineStr"/>
      <c r="H3475" s="12" t="inlineStr">
        <is>
          <t>Absorber C intercooler (pumps + plate exchanger)</t>
        </is>
      </c>
      <c r="I3475" s="12" t="inlineStr">
        <is>
          <t>LV 600 V</t>
        </is>
      </c>
      <c r="J3475" s="12" t="inlineStr">
        <is>
          <t>Type TC-ER 600 V 3/C Cu XHHW-2 + ground, PVC jacket</t>
        </is>
      </c>
      <c r="K3475" s="12" t="inlineStr">
        <is>
          <t>LV|3/C+G|350</t>
        </is>
      </c>
      <c r="L3475" s="12" t="inlineStr">
        <is>
          <t>3/C+G</t>
        </is>
      </c>
      <c r="M3475" s="12" t="inlineStr">
        <is>
          <t>350 kcmil</t>
        </is>
      </c>
      <c r="N3475" s="12" t="n">
        <v>1</v>
      </c>
      <c r="O3475" s="12" t="n">
        <v>1</v>
      </c>
      <c r="P3475" s="12" t="n">
        <v>480</v>
      </c>
      <c r="Q3475" s="12" t="n">
        <v>150</v>
      </c>
      <c r="R3475" s="12" t="n">
        <v>212.3</v>
      </c>
      <c r="S3475" s="12" t="inlineStr">
        <is>
          <t>Tray</t>
        </is>
      </c>
      <c r="T3475" s="16" t="n">
        <v>232</v>
      </c>
      <c r="U3475" s="16" t="n">
        <v>81</v>
      </c>
      <c r="V3475" s="16">
        <f>ROUNDUP((T3475+U3475+2*'Read Me'!$B$13)*(1+'Read Me'!$B$12),-1)</f>
        <v/>
      </c>
      <c r="W3475" s="16">
        <f>V3475*N3475*O3475</f>
        <v/>
      </c>
      <c r="X3475" s="12">
        <f>IF(LEFT(I3475,2)="MV",2*N3475*IF(L3475="1/C",O3475,1),0)</f>
        <v/>
      </c>
      <c r="Y3475" s="12">
        <f>IF(OR(LEFT(K3475,4)="LVAX",LEFT(K3475,6)="MV15AX",LEFT(K3475,4)="CTAX",LEFT(K3475,2)="W|"),2*N3475*O3475,0)</f>
        <v/>
      </c>
      <c r="Z3475" s="12" t="inlineStr">
        <is>
          <t>VD 1.0 %</t>
        </is>
      </c>
      <c r="AA3475" s="12">
        <f>N3475*O3475</f>
        <v/>
      </c>
    </row>
    <row r="3476">
      <c r="A3476" s="12" t="inlineStr">
        <is>
          <t>G-P-0061</t>
        </is>
      </c>
      <c r="B3476" s="12" t="inlineStr">
        <is>
          <t>G</t>
        </is>
      </c>
      <c r="C3476" s="12" t="inlineStr">
        <is>
          <t>Carbon capture</t>
        </is>
      </c>
      <c r="D3476" s="12" t="inlineStr">
        <is>
          <t>LV power feeder</t>
        </is>
      </c>
      <c r="E3476" s="12" t="inlineStr"/>
      <c r="F3476" s="12" t="inlineStr">
        <is>
          <t>CCS MV switchgear building (VFDs)</t>
        </is>
      </c>
      <c r="G3476" s="12" t="inlineStr"/>
      <c r="H3476" s="12" t="inlineStr">
        <is>
          <t>Activated-carbon filter</t>
        </is>
      </c>
      <c r="I3476" s="12" t="inlineStr">
        <is>
          <t>LV 600 V</t>
        </is>
      </c>
      <c r="J3476" s="12" t="inlineStr">
        <is>
          <t>Type TC-ER 600 V 3/C Cu XHHW-2 + ground, PVC jacket</t>
        </is>
      </c>
      <c r="K3476" s="12" t="inlineStr">
        <is>
          <t>LV|3/C+G|8</t>
        </is>
      </c>
      <c r="L3476" s="12" t="inlineStr">
        <is>
          <t>3/C+G</t>
        </is>
      </c>
      <c r="M3476" s="12" t="inlineStr">
        <is>
          <t>8</t>
        </is>
      </c>
      <c r="N3476" s="12" t="n">
        <v>1</v>
      </c>
      <c r="O3476" s="12" t="n">
        <v>1</v>
      </c>
      <c r="P3476" s="12" t="n">
        <v>480</v>
      </c>
      <c r="Q3476" s="12" t="n">
        <v>15</v>
      </c>
      <c r="R3476" s="12" t="n">
        <v>21.2</v>
      </c>
      <c r="S3476" s="12" t="inlineStr">
        <is>
          <t>Duct bank</t>
        </is>
      </c>
      <c r="T3476" s="16" t="n">
        <v>289</v>
      </c>
      <c r="U3476" s="16" t="n">
        <v>43</v>
      </c>
      <c r="V3476" s="16">
        <f>ROUNDUP((T3476+U3476+2*'Read Me'!$B$13)*(1+'Read Me'!$B$12),-1)</f>
        <v/>
      </c>
      <c r="W3476" s="16">
        <f>V3476*N3476*O3476</f>
        <v/>
      </c>
      <c r="X3476" s="12">
        <f>IF(LEFT(I3476,2)="MV",2*N3476*IF(L3476="1/C",O3476,1),0)</f>
        <v/>
      </c>
      <c r="Y3476" s="12">
        <f>IF(OR(LEFT(K3476,4)="LVAX",LEFT(K3476,6)="MV15AX",LEFT(K3476,4)="CTAX",LEFT(K3476,2)="W|"),2*N3476*O3476,0)</f>
        <v/>
      </c>
      <c r="Z3476" s="12" t="inlineStr">
        <is>
          <t>VD 2.1 %</t>
        </is>
      </c>
      <c r="AA3476" s="12">
        <f>N3476*O3476</f>
        <v/>
      </c>
    </row>
    <row r="3477">
      <c r="A3477" s="12" t="inlineStr">
        <is>
          <t>G-P-0062</t>
        </is>
      </c>
      <c r="B3477" s="12" t="inlineStr">
        <is>
          <t>G</t>
        </is>
      </c>
      <c r="C3477" s="12" t="inlineStr">
        <is>
          <t>Carbon capture</t>
        </is>
      </c>
      <c r="D3477" s="12" t="inlineStr">
        <is>
          <t>Motor 1 of 4, 15 kW</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LV|3/C+G|6</t>
        </is>
      </c>
      <c r="L3477" s="12" t="inlineStr">
        <is>
          <t>3/C+G</t>
        </is>
      </c>
      <c r="M3477" s="12" t="inlineStr">
        <is>
          <t>6</t>
        </is>
      </c>
      <c r="N3477" s="12" t="n">
        <v>1</v>
      </c>
      <c r="O3477" s="12" t="n">
        <v>1</v>
      </c>
      <c r="P3477" s="12" t="n">
        <v>480</v>
      </c>
      <c r="Q3477" s="12" t="n">
        <v>15</v>
      </c>
      <c r="R3477" s="12" t="n">
        <v>21.2</v>
      </c>
      <c r="S3477" s="12" t="inlineStr">
        <is>
          <t>Duct bank</t>
        </is>
      </c>
      <c r="T3477" s="16" t="n">
        <v>460</v>
      </c>
      <c r="U3477" s="16" t="n">
        <v>32</v>
      </c>
      <c r="V3477" s="16">
        <f>ROUNDUP((T3477+U3477+2*'Read Me'!$B$13)*(1+'Read Me'!$B$12),-1)</f>
        <v/>
      </c>
      <c r="W3477" s="16">
        <f>V3477*N3477*O3477</f>
        <v/>
      </c>
      <c r="X3477" s="12">
        <f>IF(LEFT(I3477,2)="MV",2*N3477*IF(L3477="1/C",O3477,1),0)</f>
        <v/>
      </c>
      <c r="Y3477" s="12">
        <f>IF(OR(LEFT(K3477,4)="LVAX",LEFT(K3477,6)="MV15AX",LEFT(K3477,4)="CTAX",LEFT(K3477,2)="W|"),2*N3477*O3477,0)</f>
        <v/>
      </c>
      <c r="Z3477" s="12" t="inlineStr">
        <is>
          <t>VD 2.0 %</t>
        </is>
      </c>
      <c r="AA3477" s="12">
        <f>N3477*O3477</f>
        <v/>
      </c>
    </row>
    <row r="3478">
      <c r="A3478" s="12" t="inlineStr">
        <is>
          <t>G-P-0063</t>
        </is>
      </c>
      <c r="B3478" s="12" t="inlineStr">
        <is>
          <t>G</t>
        </is>
      </c>
      <c r="C3478" s="12" t="inlineStr">
        <is>
          <t>Carbon capture</t>
        </is>
      </c>
      <c r="D3478" s="12" t="inlineStr">
        <is>
          <t>Motor 2 of 4, 15 kW</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LV|3/C+G|6</t>
        </is>
      </c>
      <c r="L3478" s="12" t="inlineStr">
        <is>
          <t>3/C+G</t>
        </is>
      </c>
      <c r="M3478" s="12" t="inlineStr">
        <is>
          <t>6</t>
        </is>
      </c>
      <c r="N3478" s="12" t="n">
        <v>1</v>
      </c>
      <c r="O3478" s="12" t="n">
        <v>1</v>
      </c>
      <c r="P3478" s="12" t="n">
        <v>480</v>
      </c>
      <c r="Q3478" s="12" t="n">
        <v>15</v>
      </c>
      <c r="R3478" s="12" t="n">
        <v>21.2</v>
      </c>
      <c r="S3478" s="12" t="inlineStr">
        <is>
          <t>Duct bank</t>
        </is>
      </c>
      <c r="T3478" s="16" t="n">
        <v>460</v>
      </c>
      <c r="U3478" s="16" t="n">
        <v>32</v>
      </c>
      <c r="V3478" s="16">
        <f>ROUNDUP((T3478+U3478+2*'Read Me'!$B$13)*(1+'Read Me'!$B$12),-1)</f>
        <v/>
      </c>
      <c r="W3478" s="16">
        <f>V3478*N3478*O3478</f>
        <v/>
      </c>
      <c r="X3478" s="12">
        <f>IF(LEFT(I3478,2)="MV",2*N3478*IF(L3478="1/C",O3478,1),0)</f>
        <v/>
      </c>
      <c r="Y3478" s="12">
        <f>IF(OR(LEFT(K3478,4)="LVAX",LEFT(K3478,6)="MV15AX",LEFT(K3478,4)="CTAX",LEFT(K3478,2)="W|"),2*N3478*O3478,0)</f>
        <v/>
      </c>
      <c r="Z3478" s="12" t="inlineStr">
        <is>
          <t>VD 2.0 %</t>
        </is>
      </c>
      <c r="AA3478" s="12">
        <f>N3478*O3478</f>
        <v/>
      </c>
    </row>
    <row r="3479">
      <c r="A3479" s="12" t="inlineStr">
        <is>
          <t>G-P-0064</t>
        </is>
      </c>
      <c r="B3479" s="12" t="inlineStr">
        <is>
          <t>G</t>
        </is>
      </c>
      <c r="C3479" s="12" t="inlineStr">
        <is>
          <t>Carbon capture</t>
        </is>
      </c>
      <c r="D3479" s="12" t="inlineStr">
        <is>
          <t>Motor 3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G-P-0065</t>
        </is>
      </c>
      <c r="B3480" s="12" t="inlineStr">
        <is>
          <t>G</t>
        </is>
      </c>
      <c r="C3480" s="12" t="inlineStr">
        <is>
          <t>Carbon capture</t>
        </is>
      </c>
      <c r="D3480" s="12" t="inlineStr">
        <is>
          <t>Motor 4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G-P-0066</t>
        </is>
      </c>
      <c r="B3481" s="12" t="inlineStr">
        <is>
          <t>G</t>
        </is>
      </c>
      <c r="C3481" s="12" t="inlineStr">
        <is>
          <t>Carbon capture</t>
        </is>
      </c>
      <c r="D3481" s="12" t="inlineStr">
        <is>
          <t>480 V welding receptacle 1</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60</v>
      </c>
      <c r="R3481" s="12" t="n">
        <v>76</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2.9 %</t>
        </is>
      </c>
      <c r="AA3481" s="12">
        <f>N3481*O3481</f>
        <v/>
      </c>
    </row>
    <row r="3482">
      <c r="A3482" s="12" t="inlineStr">
        <is>
          <t>G-P-0067</t>
        </is>
      </c>
      <c r="B3482" s="12" t="inlineStr">
        <is>
          <t>G</t>
        </is>
      </c>
      <c r="C3482" s="12" t="inlineStr">
        <is>
          <t>Carbon capture</t>
        </is>
      </c>
      <c r="D3482" s="12" t="inlineStr">
        <is>
          <t>480 V welding receptacle 2</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LV|3/C+G|2</t>
        </is>
      </c>
      <c r="L3482" s="12" t="inlineStr">
        <is>
          <t>3/C+G</t>
        </is>
      </c>
      <c r="M3482" s="12" t="inlineStr">
        <is>
          <t>2</t>
        </is>
      </c>
      <c r="N3482" s="12" t="n">
        <v>1</v>
      </c>
      <c r="O3482" s="12" t="n">
        <v>1</v>
      </c>
      <c r="P3482" s="12" t="n">
        <v>480</v>
      </c>
      <c r="Q3482" s="12" t="n">
        <v>60</v>
      </c>
      <c r="R3482" s="12" t="n">
        <v>76</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2.9 %</t>
        </is>
      </c>
      <c r="AA3482" s="12">
        <f>N3482*O3482</f>
        <v/>
      </c>
    </row>
    <row r="3483">
      <c r="A3483" s="12" t="inlineStr">
        <is>
          <t>G-P-0068</t>
        </is>
      </c>
      <c r="B3483" s="12" t="inlineStr">
        <is>
          <t>G</t>
        </is>
      </c>
      <c r="C3483" s="12" t="inlineStr">
        <is>
          <t>Carbon capture</t>
        </is>
      </c>
      <c r="D3483" s="12" t="inlineStr">
        <is>
          <t>480 V welding receptacle 3</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G-P-0069</t>
        </is>
      </c>
      <c r="B3484" s="12" t="inlineStr">
        <is>
          <t>G</t>
        </is>
      </c>
      <c r="C3484" s="12" t="inlineStr">
        <is>
          <t>Carbon capture</t>
        </is>
      </c>
      <c r="D3484" s="12" t="inlineStr">
        <is>
          <t>480 V welding receptacle 4</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G-P-0070</t>
        </is>
      </c>
      <c r="B3485" s="12" t="inlineStr">
        <is>
          <t>G</t>
        </is>
      </c>
      <c r="C3485" s="12" t="inlineStr">
        <is>
          <t>Carbon capture</t>
        </is>
      </c>
      <c r="D3485" s="12" t="inlineStr">
        <is>
          <t>Motor 1 of 4, 15 kW</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LV|3/C+G|8</t>
        </is>
      </c>
      <c r="L3485" s="12" t="inlineStr">
        <is>
          <t>3/C+G</t>
        </is>
      </c>
      <c r="M3485" s="12" t="inlineStr">
        <is>
          <t>8</t>
        </is>
      </c>
      <c r="N3485" s="12" t="n">
        <v>1</v>
      </c>
      <c r="O3485" s="12" t="n">
        <v>1</v>
      </c>
      <c r="P3485" s="12" t="n">
        <v>480</v>
      </c>
      <c r="Q3485" s="12" t="n">
        <v>15</v>
      </c>
      <c r="R3485" s="12" t="n">
        <v>21.2</v>
      </c>
      <c r="S3485" s="12" t="inlineStr">
        <is>
          <t>Duct bank</t>
        </is>
      </c>
      <c r="T3485" s="16" t="n">
        <v>300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2.1 %</t>
        </is>
      </c>
      <c r="AA3485" s="12">
        <f>N3485*O3485</f>
        <v/>
      </c>
    </row>
    <row r="3486">
      <c r="A3486" s="12" t="inlineStr">
        <is>
          <t>G-P-0071</t>
        </is>
      </c>
      <c r="B3486" s="12" t="inlineStr">
        <is>
          <t>G</t>
        </is>
      </c>
      <c r="C3486" s="12" t="inlineStr">
        <is>
          <t>Carbon capture</t>
        </is>
      </c>
      <c r="D3486" s="12" t="inlineStr">
        <is>
          <t>Motor 2 of 4, 15 kW</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LV|3/C+G|8</t>
        </is>
      </c>
      <c r="L3486" s="12" t="inlineStr">
        <is>
          <t>3/C+G</t>
        </is>
      </c>
      <c r="M3486" s="12" t="inlineStr">
        <is>
          <t>8</t>
        </is>
      </c>
      <c r="N3486" s="12" t="n">
        <v>1</v>
      </c>
      <c r="O3486" s="12" t="n">
        <v>1</v>
      </c>
      <c r="P3486" s="12" t="n">
        <v>480</v>
      </c>
      <c r="Q3486" s="12" t="n">
        <v>15</v>
      </c>
      <c r="R3486" s="12" t="n">
        <v>21.2</v>
      </c>
      <c r="S3486" s="12" t="inlineStr">
        <is>
          <t>Duct bank</t>
        </is>
      </c>
      <c r="T3486" s="16" t="n">
        <v>300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2.1 %</t>
        </is>
      </c>
      <c r="AA3486" s="12">
        <f>N3486*O3486</f>
        <v/>
      </c>
    </row>
    <row r="3487">
      <c r="A3487" s="12" t="inlineStr">
        <is>
          <t>G-P-0072</t>
        </is>
      </c>
      <c r="B3487" s="12" t="inlineStr">
        <is>
          <t>G</t>
        </is>
      </c>
      <c r="C3487" s="12" t="inlineStr">
        <is>
          <t>Carbon capture</t>
        </is>
      </c>
      <c r="D3487" s="12" t="inlineStr">
        <is>
          <t>Motor 3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G-P-0073</t>
        </is>
      </c>
      <c r="B3488" s="12" t="inlineStr">
        <is>
          <t>G</t>
        </is>
      </c>
      <c r="C3488" s="12" t="inlineStr">
        <is>
          <t>Carbon capture</t>
        </is>
      </c>
      <c r="D3488" s="12" t="inlineStr">
        <is>
          <t>Motor 4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G-P-0074</t>
        </is>
      </c>
      <c r="B3489" s="12" t="inlineStr">
        <is>
          <t>G</t>
        </is>
      </c>
      <c r="C3489" s="12" t="inlineStr">
        <is>
          <t>Carbon capture</t>
        </is>
      </c>
      <c r="D3489" s="12" t="inlineStr">
        <is>
          <t>480 V welding receptacle 1</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G-P-0075</t>
        </is>
      </c>
      <c r="B3490" s="12" t="inlineStr">
        <is>
          <t>G</t>
        </is>
      </c>
      <c r="C3490" s="12" t="inlineStr">
        <is>
          <t>Carbon capture</t>
        </is>
      </c>
      <c r="D3490" s="12" t="inlineStr">
        <is>
          <t>480 V welding receptacle 2</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G-P-0076</t>
        </is>
      </c>
      <c r="B3491" s="12" t="inlineStr">
        <is>
          <t>G</t>
        </is>
      </c>
      <c r="C3491" s="12" t="inlineStr">
        <is>
          <t>Carbon capture</t>
        </is>
      </c>
      <c r="D3491" s="12" t="inlineStr">
        <is>
          <t>480 V welding receptacle 3</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G-P-0077</t>
        </is>
      </c>
      <c r="B3492" s="12" t="inlineStr">
        <is>
          <t>G</t>
        </is>
      </c>
      <c r="C3492" s="12" t="inlineStr">
        <is>
          <t>Carbon capture</t>
        </is>
      </c>
      <c r="D3492" s="12" t="inlineStr">
        <is>
          <t>480 V welding receptacle 4</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G-P-0078</t>
        </is>
      </c>
      <c r="B3493" s="12" t="inlineStr">
        <is>
          <t>G</t>
        </is>
      </c>
      <c r="C3493" s="12" t="inlineStr">
        <is>
          <t>Carbon capture</t>
        </is>
      </c>
      <c r="D3493" s="12" t="inlineStr">
        <is>
          <t>Motor 1 of 4, 15 kW</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15</v>
      </c>
      <c r="R3493" s="12" t="n">
        <v>21.2</v>
      </c>
      <c r="S3493" s="12" t="inlineStr">
        <is>
          <t>Tray</t>
        </is>
      </c>
      <c r="T3493" s="16" t="n">
        <v>16</v>
      </c>
      <c r="U3493" s="16" t="n">
        <v>150</v>
      </c>
      <c r="V3493" s="16">
        <f>ROUNDUP((T3493+U3493+2*'Read Me'!$B$13)*(1+'Read Me'!$B$12),-1)</f>
        <v/>
      </c>
      <c r="W3493" s="16">
        <f>V3493*N3493*O3493</f>
        <v/>
      </c>
      <c r="X3493" s="12">
        <f>IF(LEFT(I3493,2)="MV",2*N3493*IF(L3493="1/C",O3493,1),0)</f>
        <v/>
      </c>
      <c r="Y3493" s="12">
        <f>IF(OR(LEFT(K3493,4)="LVAX",LEFT(K3493,6)="MV15AX",LEFT(K3493,4)="CTAX",LEFT(K3493,2)="W|"),2*N3493*O3493,0)</f>
        <v/>
      </c>
      <c r="Z3493" s="12" t="inlineStr">
        <is>
          <t>VD 1.7 %</t>
        </is>
      </c>
      <c r="AA3493" s="12">
        <f>N3493*O3493</f>
        <v/>
      </c>
    </row>
    <row r="3494">
      <c r="A3494" s="12" t="inlineStr">
        <is>
          <t>G-P-0079</t>
        </is>
      </c>
      <c r="B3494" s="12" t="inlineStr">
        <is>
          <t>G</t>
        </is>
      </c>
      <c r="C3494" s="12" t="inlineStr">
        <is>
          <t>Carbon capture</t>
        </is>
      </c>
      <c r="D3494" s="12" t="inlineStr">
        <is>
          <t>Motor 2 of 4, 15 kW</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15</v>
      </c>
      <c r="R3494" s="12" t="n">
        <v>21.2</v>
      </c>
      <c r="S3494" s="12" t="inlineStr">
        <is>
          <t>Tray</t>
        </is>
      </c>
      <c r="T3494" s="16" t="n">
        <v>16</v>
      </c>
      <c r="U3494" s="16" t="n">
        <v>150</v>
      </c>
      <c r="V3494" s="16">
        <f>ROUNDUP((T3494+U3494+2*'Read Me'!$B$13)*(1+'Read Me'!$B$12),-1)</f>
        <v/>
      </c>
      <c r="W3494" s="16">
        <f>V3494*N3494*O3494</f>
        <v/>
      </c>
      <c r="X3494" s="12">
        <f>IF(LEFT(I3494,2)="MV",2*N3494*IF(L3494="1/C",O3494,1),0)</f>
        <v/>
      </c>
      <c r="Y3494" s="12">
        <f>IF(OR(LEFT(K3494,4)="LVAX",LEFT(K3494,6)="MV15AX",LEFT(K3494,4)="CTAX",LEFT(K3494,2)="W|"),2*N3494*O3494,0)</f>
        <v/>
      </c>
      <c r="Z3494" s="12" t="inlineStr">
        <is>
          <t>VD 1.7 %</t>
        </is>
      </c>
      <c r="AA3494" s="12">
        <f>N3494*O3494</f>
        <v/>
      </c>
    </row>
    <row r="3495">
      <c r="A3495" s="12" t="inlineStr">
        <is>
          <t>G-P-0080</t>
        </is>
      </c>
      <c r="B3495" s="12" t="inlineStr">
        <is>
          <t>G</t>
        </is>
      </c>
      <c r="C3495" s="12" t="inlineStr">
        <is>
          <t>Carbon capture</t>
        </is>
      </c>
      <c r="D3495" s="12" t="inlineStr">
        <is>
          <t>Motor 3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G-P-0081</t>
        </is>
      </c>
      <c r="B3496" s="12" t="inlineStr">
        <is>
          <t>G</t>
        </is>
      </c>
      <c r="C3496" s="12" t="inlineStr">
        <is>
          <t>Carbon capture</t>
        </is>
      </c>
      <c r="D3496" s="12" t="inlineStr">
        <is>
          <t>Motor 4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G-P-0082</t>
        </is>
      </c>
      <c r="B3497" s="12" t="inlineStr">
        <is>
          <t>G</t>
        </is>
      </c>
      <c r="C3497" s="12" t="inlineStr">
        <is>
          <t>Carbon capture</t>
        </is>
      </c>
      <c r="D3497" s="12" t="inlineStr">
        <is>
          <t>480 V welding receptacle 1</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LV|3/C+G|2</t>
        </is>
      </c>
      <c r="L3497" s="12" t="inlineStr">
        <is>
          <t>3/C+G</t>
        </is>
      </c>
      <c r="M3497" s="12" t="inlineStr">
        <is>
          <t>2</t>
        </is>
      </c>
      <c r="N3497" s="12" t="n">
        <v>1</v>
      </c>
      <c r="O3497" s="12" t="n">
        <v>1</v>
      </c>
      <c r="P3497" s="12" t="n">
        <v>480</v>
      </c>
      <c r="Q3497" s="12" t="n">
        <v>60</v>
      </c>
      <c r="R3497" s="12" t="n">
        <v>76</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1.0 %</t>
        </is>
      </c>
      <c r="AA3497" s="12">
        <f>N3497*O3497</f>
        <v/>
      </c>
    </row>
    <row r="3498">
      <c r="A3498" s="12" t="inlineStr">
        <is>
          <t>G-P-0083</t>
        </is>
      </c>
      <c r="B3498" s="12" t="inlineStr">
        <is>
          <t>G</t>
        </is>
      </c>
      <c r="C3498" s="12" t="inlineStr">
        <is>
          <t>Carbon capture</t>
        </is>
      </c>
      <c r="D3498" s="12" t="inlineStr">
        <is>
          <t>480 V welding receptacle 2</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LV|3/C+G|2</t>
        </is>
      </c>
      <c r="L3498" s="12" t="inlineStr">
        <is>
          <t>3/C+G</t>
        </is>
      </c>
      <c r="M3498" s="12" t="inlineStr">
        <is>
          <t>2</t>
        </is>
      </c>
      <c r="N3498" s="12" t="n">
        <v>1</v>
      </c>
      <c r="O3498" s="12" t="n">
        <v>1</v>
      </c>
      <c r="P3498" s="12" t="n">
        <v>480</v>
      </c>
      <c r="Q3498" s="12" t="n">
        <v>60</v>
      </c>
      <c r="R3498" s="12" t="n">
        <v>76</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1.0 %</t>
        </is>
      </c>
      <c r="AA3498" s="12">
        <f>N3498*O3498</f>
        <v/>
      </c>
    </row>
    <row r="3499">
      <c r="A3499" s="12" t="inlineStr">
        <is>
          <t>G-P-0084</t>
        </is>
      </c>
      <c r="B3499" s="12" t="inlineStr">
        <is>
          <t>G</t>
        </is>
      </c>
      <c r="C3499" s="12" t="inlineStr">
        <is>
          <t>Carbon capture</t>
        </is>
      </c>
      <c r="D3499" s="12" t="inlineStr">
        <is>
          <t>480 V welding receptacle 3</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G-P-0085</t>
        </is>
      </c>
      <c r="B3500" s="12" t="inlineStr">
        <is>
          <t>G</t>
        </is>
      </c>
      <c r="C3500" s="12" t="inlineStr">
        <is>
          <t>Carbon capture</t>
        </is>
      </c>
      <c r="D3500" s="12" t="inlineStr">
        <is>
          <t>480 V welding receptacle 4</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G-P-0086</t>
        </is>
      </c>
      <c r="B3501" s="12" t="inlineStr">
        <is>
          <t>G</t>
        </is>
      </c>
      <c r="C3501" s="12" t="inlineStr">
        <is>
          <t>Carbon capture</t>
        </is>
      </c>
      <c r="D3501" s="12" t="inlineStr">
        <is>
          <t>LV panel / distribution feeder</t>
        </is>
      </c>
      <c r="E3501" s="12" t="inlineStr"/>
      <c r="F3501" s="12" t="inlineStr">
        <is>
          <t>CCS MV switchgear building (VFDs)</t>
        </is>
      </c>
      <c r="G3501" s="12" t="inlineStr"/>
      <c r="H3501" s="12" t="inlineStr">
        <is>
          <t>CCS F&amp;G / control</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Duct bank</t>
        </is>
      </c>
      <c r="T3501" s="16" t="n">
        <v>206</v>
      </c>
      <c r="U3501" s="16" t="n">
        <v>101</v>
      </c>
      <c r="V3501" s="16">
        <f>ROUNDUP((T3501+U3501+2*'Read Me'!$B$13)*(1+'Read Me'!$B$12),-1)</f>
        <v/>
      </c>
      <c r="W3501" s="16">
        <f>V3501*N3501*O3501</f>
        <v/>
      </c>
      <c r="X3501" s="12">
        <f>IF(LEFT(I3501,2)="MV",2*N3501*IF(L3501="1/C",O3501,1),0)</f>
        <v/>
      </c>
      <c r="Y3501" s="12">
        <f>IF(OR(LEFT(K3501,4)="LVAX",LEFT(K3501,6)="MV15AX",LEFT(K3501,4)="CTAX",LEFT(K3501,2)="W|"),2*N3501*O3501,0)</f>
        <v/>
      </c>
      <c r="Z3501" s="12" t="inlineStr">
        <is>
          <t>VD 2.1 %</t>
        </is>
      </c>
      <c r="AA3501" s="12">
        <f>N3501*O3501</f>
        <v/>
      </c>
    </row>
    <row r="3502">
      <c r="A3502" s="12" t="inlineStr">
        <is>
          <t>G-P-0087</t>
        </is>
      </c>
      <c r="B3502" s="12" t="inlineStr">
        <is>
          <t>G</t>
        </is>
      </c>
      <c r="C3502" s="12" t="inlineStr">
        <is>
          <t>Carbon capture</t>
        </is>
      </c>
      <c r="D3502" s="12" t="inlineStr">
        <is>
          <t>LV panel / distribution feeder</t>
        </is>
      </c>
      <c r="E3502" s="12" t="inlineStr"/>
      <c r="F3502" s="12" t="inlineStr">
        <is>
          <t>CCS MV switchgear building (VFDs)</t>
        </is>
      </c>
      <c r="G3502" s="12" t="inlineStr"/>
      <c r="H3502" s="12" t="inlineStr">
        <is>
          <t>CCS MV switchgear building (VFDs)</t>
        </is>
      </c>
      <c r="I3502" s="12" t="inlineStr">
        <is>
          <t>LV 600 V</t>
        </is>
      </c>
      <c r="J3502" s="12" t="inlineStr">
        <is>
          <t>Type TC-ER 600 V 3/C Cu XHHW-2 + ground, PVC jacket</t>
        </is>
      </c>
      <c r="K3502" s="12" t="inlineStr">
        <is>
          <t>LV|3/C+G|3/0</t>
        </is>
      </c>
      <c r="L3502" s="12" t="inlineStr">
        <is>
          <t>3/C+G</t>
        </is>
      </c>
      <c r="M3502" s="12" t="inlineStr">
        <is>
          <t>3/0</t>
        </is>
      </c>
      <c r="N3502" s="12" t="n">
        <v>1</v>
      </c>
      <c r="O3502" s="12" t="n">
        <v>1</v>
      </c>
      <c r="P3502" s="12" t="n">
        <v>480</v>
      </c>
      <c r="Q3502" s="12" t="n">
        <v>109</v>
      </c>
      <c r="R3502" s="12" t="n">
        <v>154.2</v>
      </c>
      <c r="S3502" s="12" t="inlineStr">
        <is>
          <t>Tray</t>
        </is>
      </c>
      <c r="T3502" s="16" t="n">
        <v>0</v>
      </c>
      <c r="U3502" s="16" t="n">
        <v>32</v>
      </c>
      <c r="V3502" s="16">
        <f>ROUNDUP((T3502+U3502+2*'Read Me'!$B$13)*(1+'Read Me'!$B$12),-1)</f>
        <v/>
      </c>
      <c r="W3502" s="16">
        <f>V3502*N3502*O3502</f>
        <v/>
      </c>
      <c r="X3502" s="12">
        <f>IF(LEFT(I3502,2)="MV",2*N3502*IF(L3502="1/C",O3502,1),0)</f>
        <v/>
      </c>
      <c r="Y3502" s="12">
        <f>IF(OR(LEFT(K3502,4)="LVAX",LEFT(K3502,6)="MV15AX",LEFT(K3502,4)="CTAX",LEFT(K3502,2)="W|"),2*N3502*O3502,0)</f>
        <v/>
      </c>
      <c r="Z3502" s="12" t="inlineStr">
        <is>
          <t>VD 0.2 %</t>
        </is>
      </c>
      <c r="AA3502" s="12">
        <f>N3502*O3502</f>
        <v/>
      </c>
    </row>
    <row r="3503">
      <c r="A3503" s="12" t="inlineStr">
        <is>
          <t>G-P-0088</t>
        </is>
      </c>
      <c r="B3503" s="12" t="inlineStr">
        <is>
          <t>G</t>
        </is>
      </c>
      <c r="C3503" s="12" t="inlineStr">
        <is>
          <t>Carbon capture</t>
        </is>
      </c>
      <c r="D3503" s="12" t="inlineStr">
        <is>
          <t>Motor 1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6" t="n">
        <v>361</v>
      </c>
      <c r="U3503" s="16" t="n">
        <v>32</v>
      </c>
      <c r="V3503" s="16">
        <f>ROUNDUP((T3503+U3503+2*'Read Me'!$B$13)*(1+'Read Me'!$B$12),-1)</f>
        <v/>
      </c>
      <c r="W3503" s="16">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G-P-0089</t>
        </is>
      </c>
      <c r="B3504" s="12" t="inlineStr">
        <is>
          <t>G</t>
        </is>
      </c>
      <c r="C3504" s="12" t="inlineStr">
        <is>
          <t>Carbon capture</t>
        </is>
      </c>
      <c r="D3504" s="12" t="inlineStr">
        <is>
          <t>Motor 2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6" t="n">
        <v>361</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G-P-0090</t>
        </is>
      </c>
      <c r="B3505" s="12" t="inlineStr">
        <is>
          <t>G</t>
        </is>
      </c>
      <c r="C3505" s="12" t="inlineStr">
        <is>
          <t>Carbon capture</t>
        </is>
      </c>
      <c r="D3505" s="12" t="inlineStr">
        <is>
          <t>Motor 3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G-P-0091</t>
        </is>
      </c>
      <c r="B3506" s="12" t="inlineStr">
        <is>
          <t>G</t>
        </is>
      </c>
      <c r="C3506" s="12" t="inlineStr">
        <is>
          <t>Carbon capture</t>
        </is>
      </c>
      <c r="D3506" s="12" t="inlineStr">
        <is>
          <t>Motor 4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G-P-0092</t>
        </is>
      </c>
      <c r="B3507" s="12" t="inlineStr">
        <is>
          <t>G</t>
        </is>
      </c>
      <c r="C3507" s="12" t="inlineStr">
        <is>
          <t>Carbon capture</t>
        </is>
      </c>
      <c r="D3507" s="12" t="inlineStr">
        <is>
          <t>Motor 5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G-P-0093</t>
        </is>
      </c>
      <c r="B3508" s="12" t="inlineStr">
        <is>
          <t>G</t>
        </is>
      </c>
      <c r="C3508" s="12" t="inlineStr">
        <is>
          <t>Carbon capture</t>
        </is>
      </c>
      <c r="D3508" s="12" t="inlineStr">
        <is>
          <t>Motor 6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G-P-0094</t>
        </is>
      </c>
      <c r="B3509" s="12" t="inlineStr">
        <is>
          <t>G</t>
        </is>
      </c>
      <c r="C3509" s="12" t="inlineStr">
        <is>
          <t>Carbon capture</t>
        </is>
      </c>
      <c r="D3509" s="12" t="inlineStr">
        <is>
          <t>Motor 1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409</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G-P-0095</t>
        </is>
      </c>
      <c r="B3510" s="12" t="inlineStr">
        <is>
          <t>G</t>
        </is>
      </c>
      <c r="C3510" s="12" t="inlineStr">
        <is>
          <t>Carbon capture</t>
        </is>
      </c>
      <c r="D3510" s="12" t="inlineStr">
        <is>
          <t>Motor 2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409</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G-P-0096</t>
        </is>
      </c>
      <c r="B3511" s="12" t="inlineStr">
        <is>
          <t>G</t>
        </is>
      </c>
      <c r="C3511" s="12" t="inlineStr">
        <is>
          <t>Carbon capture</t>
        </is>
      </c>
      <c r="D3511" s="12" t="inlineStr">
        <is>
          <t>Motor 3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G-P-0097</t>
        </is>
      </c>
      <c r="B3512" s="12" t="inlineStr">
        <is>
          <t>G</t>
        </is>
      </c>
      <c r="C3512" s="12" t="inlineStr">
        <is>
          <t>Carbon capture</t>
        </is>
      </c>
      <c r="D3512" s="12" t="inlineStr">
        <is>
          <t>Motor 4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G-P-0098</t>
        </is>
      </c>
      <c r="B3513" s="12" t="inlineStr">
        <is>
          <t>G</t>
        </is>
      </c>
      <c r="C3513" s="12" t="inlineStr">
        <is>
          <t>Carbon capture</t>
        </is>
      </c>
      <c r="D3513" s="12" t="inlineStr">
        <is>
          <t>Motor 5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G-P-0099</t>
        </is>
      </c>
      <c r="B3514" s="12" t="inlineStr">
        <is>
          <t>G</t>
        </is>
      </c>
      <c r="C3514" s="12" t="inlineStr">
        <is>
          <t>Carbon capture</t>
        </is>
      </c>
      <c r="D3514" s="12" t="inlineStr">
        <is>
          <t>Motor 6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G-P-0100</t>
        </is>
      </c>
      <c r="B3515" s="12" t="inlineStr">
        <is>
          <t>G</t>
        </is>
      </c>
      <c r="C3515" s="12" t="inlineStr">
        <is>
          <t>Carbon capture</t>
        </is>
      </c>
      <c r="D3515" s="12" t="inlineStr">
        <is>
          <t>Motor 1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6" t="n">
        <v>250</v>
      </c>
      <c r="U3515" s="16" t="n">
        <v>42</v>
      </c>
      <c r="V3515" s="16">
        <f>ROUNDUP((T3515+U3515+2*'Read Me'!$B$13)*(1+'Read Me'!$B$12),-1)</f>
        <v/>
      </c>
      <c r="W3515" s="16">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G-P-0101</t>
        </is>
      </c>
      <c r="B3516" s="12" t="inlineStr">
        <is>
          <t>G</t>
        </is>
      </c>
      <c r="C3516" s="12" t="inlineStr">
        <is>
          <t>Carbon capture</t>
        </is>
      </c>
      <c r="D3516" s="12" t="inlineStr">
        <is>
          <t>Motor 2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6" t="n">
        <v>250</v>
      </c>
      <c r="U3516" s="16" t="n">
        <v>42</v>
      </c>
      <c r="V3516" s="16">
        <f>ROUNDUP((T3516+U3516+2*'Read Me'!$B$13)*(1+'Read Me'!$B$12),-1)</f>
        <v/>
      </c>
      <c r="W3516" s="16">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G-P-0102</t>
        </is>
      </c>
      <c r="B3517" s="12" t="inlineStr">
        <is>
          <t>G</t>
        </is>
      </c>
      <c r="C3517" s="12" t="inlineStr">
        <is>
          <t>Carbon capture</t>
        </is>
      </c>
      <c r="D3517" s="12" t="inlineStr">
        <is>
          <t>Motor 3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G-P-0103</t>
        </is>
      </c>
      <c r="B3518" s="12" t="inlineStr">
        <is>
          <t>G</t>
        </is>
      </c>
      <c r="C3518" s="12" t="inlineStr">
        <is>
          <t>Carbon capture</t>
        </is>
      </c>
      <c r="D3518" s="12" t="inlineStr">
        <is>
          <t>Motor 4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G-P-0104</t>
        </is>
      </c>
      <c r="B3519" s="12" t="inlineStr">
        <is>
          <t>G</t>
        </is>
      </c>
      <c r="C3519" s="12" t="inlineStr">
        <is>
          <t>Carbon capture</t>
        </is>
      </c>
      <c r="D3519" s="12" t="inlineStr">
        <is>
          <t>Motor 5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G-P-0105</t>
        </is>
      </c>
      <c r="B3520" s="12" t="inlineStr">
        <is>
          <t>G</t>
        </is>
      </c>
      <c r="C3520" s="12" t="inlineStr">
        <is>
          <t>Carbon capture</t>
        </is>
      </c>
      <c r="D3520" s="12" t="inlineStr">
        <is>
          <t>Motor 6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G-P-0106</t>
        </is>
      </c>
      <c r="B3521" s="12" t="inlineStr">
        <is>
          <t>G</t>
        </is>
      </c>
      <c r="C3521" s="12" t="inlineStr">
        <is>
          <t>Carbon capture</t>
        </is>
      </c>
      <c r="D3521" s="12" t="inlineStr">
        <is>
          <t>Motor 7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G-P-0107</t>
        </is>
      </c>
      <c r="B3522" s="12" t="inlineStr">
        <is>
          <t>G</t>
        </is>
      </c>
      <c r="C3522" s="12" t="inlineStr">
        <is>
          <t>Carbon capture</t>
        </is>
      </c>
      <c r="D3522" s="12" t="inlineStr">
        <is>
          <t>Motor 8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G-P-0108</t>
        </is>
      </c>
      <c r="B3523" s="12" t="inlineStr">
        <is>
          <t>G</t>
        </is>
      </c>
      <c r="C3523" s="12" t="inlineStr">
        <is>
          <t>Carbon capture</t>
        </is>
      </c>
      <c r="D3523" s="12" t="inlineStr">
        <is>
          <t>Motor 9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G-P-0109</t>
        </is>
      </c>
      <c r="B3524" s="12" t="inlineStr">
        <is>
          <t>G</t>
        </is>
      </c>
      <c r="C3524" s="12" t="inlineStr">
        <is>
          <t>Carbon capture</t>
        </is>
      </c>
      <c r="D3524" s="12" t="inlineStr">
        <is>
          <t>Motor 10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G-P-0110</t>
        </is>
      </c>
      <c r="B3525" s="12" t="inlineStr">
        <is>
          <t>G</t>
        </is>
      </c>
      <c r="C3525" s="12" t="inlineStr">
        <is>
          <t>Carbon capture</t>
        </is>
      </c>
      <c r="D3525" s="12" t="inlineStr">
        <is>
          <t>Motor 11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G-P-0111</t>
        </is>
      </c>
      <c r="B3526" s="12" t="inlineStr">
        <is>
          <t>G</t>
        </is>
      </c>
      <c r="C3526" s="12" t="inlineStr">
        <is>
          <t>Carbon capture</t>
        </is>
      </c>
      <c r="D3526" s="12" t="inlineStr">
        <is>
          <t>Motor 12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G-P-0112</t>
        </is>
      </c>
      <c r="B3527" s="12" t="inlineStr">
        <is>
          <t>G</t>
        </is>
      </c>
      <c r="C3527" s="12" t="inlineStr">
        <is>
          <t>Carbon capture</t>
        </is>
      </c>
      <c r="D3527" s="12" t="inlineStr">
        <is>
          <t>Motor 13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G-P-0113</t>
        </is>
      </c>
      <c r="B3528" s="12" t="inlineStr">
        <is>
          <t>G</t>
        </is>
      </c>
      <c r="C3528" s="12" t="inlineStr">
        <is>
          <t>Carbon capture</t>
        </is>
      </c>
      <c r="D3528" s="12" t="inlineStr">
        <is>
          <t>Motor 14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G-P-0114</t>
        </is>
      </c>
      <c r="B3529" s="12" t="inlineStr">
        <is>
          <t>G</t>
        </is>
      </c>
      <c r="C3529" s="12" t="inlineStr">
        <is>
          <t>Carbon capture</t>
        </is>
      </c>
      <c r="D3529" s="12" t="inlineStr">
        <is>
          <t>Motor 15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G-P-0115</t>
        </is>
      </c>
      <c r="B3530" s="12" t="inlineStr">
        <is>
          <t>G</t>
        </is>
      </c>
      <c r="C3530" s="12" t="inlineStr">
        <is>
          <t>Carbon capture</t>
        </is>
      </c>
      <c r="D3530" s="12" t="inlineStr">
        <is>
          <t>Motor 16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G-P-0116</t>
        </is>
      </c>
      <c r="B3531" s="12" t="inlineStr">
        <is>
          <t>G</t>
        </is>
      </c>
      <c r="C3531" s="12" t="inlineStr">
        <is>
          <t>Carbon capture</t>
        </is>
      </c>
      <c r="D3531" s="12" t="inlineStr">
        <is>
          <t>Motor 17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G-P-0117</t>
        </is>
      </c>
      <c r="B3532" s="12" t="inlineStr">
        <is>
          <t>G</t>
        </is>
      </c>
      <c r="C3532" s="12" t="inlineStr">
        <is>
          <t>Carbon capture</t>
        </is>
      </c>
      <c r="D3532" s="12" t="inlineStr">
        <is>
          <t>Motor 18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G-P-0118</t>
        </is>
      </c>
      <c r="B3533" s="12" t="inlineStr">
        <is>
          <t>G</t>
        </is>
      </c>
      <c r="C3533" s="12" t="inlineStr">
        <is>
          <t>Carbon capture</t>
        </is>
      </c>
      <c r="D3533" s="12" t="inlineStr">
        <is>
          <t>Motor 19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G-P-0119</t>
        </is>
      </c>
      <c r="B3534" s="12" t="inlineStr">
        <is>
          <t>G</t>
        </is>
      </c>
      <c r="C3534" s="12" t="inlineStr">
        <is>
          <t>Carbon capture</t>
        </is>
      </c>
      <c r="D3534" s="12" t="inlineStr">
        <is>
          <t>Motor 20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G-P-0120</t>
        </is>
      </c>
      <c r="B3535" s="12" t="inlineStr">
        <is>
          <t>G</t>
        </is>
      </c>
      <c r="C3535" s="12" t="inlineStr">
        <is>
          <t>Carbon capture</t>
        </is>
      </c>
      <c r="D3535" s="12" t="inlineStr">
        <is>
          <t>Motor 21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G-P-0121</t>
        </is>
      </c>
      <c r="B3536" s="12" t="inlineStr">
        <is>
          <t>G</t>
        </is>
      </c>
      <c r="C3536" s="12" t="inlineStr">
        <is>
          <t>Carbon capture</t>
        </is>
      </c>
      <c r="D3536" s="12" t="inlineStr">
        <is>
          <t>Motor 22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G-P-0122</t>
        </is>
      </c>
      <c r="B3537" s="12" t="inlineStr">
        <is>
          <t>G</t>
        </is>
      </c>
      <c r="C3537" s="12" t="inlineStr">
        <is>
          <t>Carbon capture</t>
        </is>
      </c>
      <c r="D3537" s="12" t="inlineStr">
        <is>
          <t>Motor 23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G-P-0123</t>
        </is>
      </c>
      <c r="B3538" s="12" t="inlineStr">
        <is>
          <t>G</t>
        </is>
      </c>
      <c r="C3538" s="12" t="inlineStr">
        <is>
          <t>Carbon capture</t>
        </is>
      </c>
      <c r="D3538" s="12" t="inlineStr">
        <is>
          <t>Motor 24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G-P-0124</t>
        </is>
      </c>
      <c r="B3539" s="12" t="inlineStr">
        <is>
          <t>G</t>
        </is>
      </c>
      <c r="C3539" s="12" t="inlineStr">
        <is>
          <t>Carbon capture</t>
        </is>
      </c>
      <c r="D3539" s="12" t="inlineStr">
        <is>
          <t>Motor 25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G-P-0125</t>
        </is>
      </c>
      <c r="B3540" s="12" t="inlineStr">
        <is>
          <t>G</t>
        </is>
      </c>
      <c r="C3540" s="12" t="inlineStr">
        <is>
          <t>Carbon capture</t>
        </is>
      </c>
      <c r="D3540" s="12" t="inlineStr">
        <is>
          <t>Motor 26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G-P-0126</t>
        </is>
      </c>
      <c r="B3541" s="12" t="inlineStr">
        <is>
          <t>G</t>
        </is>
      </c>
      <c r="C3541" s="12" t="inlineStr">
        <is>
          <t>Carbon capture</t>
        </is>
      </c>
      <c r="D3541" s="12" t="inlineStr">
        <is>
          <t>Motor 27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G-P-0127</t>
        </is>
      </c>
      <c r="B3542" s="12" t="inlineStr">
        <is>
          <t>G</t>
        </is>
      </c>
      <c r="C3542" s="12" t="inlineStr">
        <is>
          <t>Carbon capture</t>
        </is>
      </c>
      <c r="D3542" s="12" t="inlineStr">
        <is>
          <t>Motor 28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G-P-0128</t>
        </is>
      </c>
      <c r="B3543" s="12" t="inlineStr">
        <is>
          <t>G</t>
        </is>
      </c>
      <c r="C3543" s="12" t="inlineStr">
        <is>
          <t>Carbon capture</t>
        </is>
      </c>
      <c r="D3543" s="12" t="inlineStr">
        <is>
          <t>Motor 29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G-P-0129</t>
        </is>
      </c>
      <c r="B3544" s="12" t="inlineStr">
        <is>
          <t>G</t>
        </is>
      </c>
      <c r="C3544" s="12" t="inlineStr">
        <is>
          <t>Carbon capture</t>
        </is>
      </c>
      <c r="D3544" s="12" t="inlineStr">
        <is>
          <t>Motor 30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G-P-0130</t>
        </is>
      </c>
      <c r="B3545" s="12" t="inlineStr">
        <is>
          <t>G</t>
        </is>
      </c>
      <c r="C3545" s="12" t="inlineStr">
        <is>
          <t>Carbon capture</t>
        </is>
      </c>
      <c r="D3545" s="12" t="inlineStr">
        <is>
          <t>Area / platform lighting circuit 1 (12 fixtures)</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300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G-P-0131</t>
        </is>
      </c>
      <c r="B3546" s="12" t="inlineStr">
        <is>
          <t>G</t>
        </is>
      </c>
      <c r="C3546" s="12" t="inlineStr">
        <is>
          <t>Carbon capture</t>
        </is>
      </c>
      <c r="D3546" s="12" t="inlineStr">
        <is>
          <t>Area / platform lighting circuit 2 (12 fixtures)</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300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G-P-0132</t>
        </is>
      </c>
      <c r="B3547" s="12" t="inlineStr">
        <is>
          <t>G</t>
        </is>
      </c>
      <c r="C3547" s="12" t="inlineStr">
        <is>
          <t>Carbon capture</t>
        </is>
      </c>
      <c r="D3547" s="12" t="inlineStr">
        <is>
          <t>Area / platform lighting circuit 3 (6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G-P-0133</t>
        </is>
      </c>
      <c r="B3548" s="12" t="inlineStr">
        <is>
          <t>G</t>
        </is>
      </c>
      <c r="C3548" s="12" t="inlineStr">
        <is>
          <t>Carbon capture</t>
        </is>
      </c>
      <c r="D3548" s="12" t="inlineStr">
        <is>
          <t>Motor 1 of 2, 250 kW</t>
        </is>
      </c>
      <c r="E3548" s="12" t="inlineStr"/>
      <c r="F3548" s="12" t="inlineStr">
        <is>
          <t>CCS MV switchgear building (VFDs)</t>
        </is>
      </c>
      <c r="G3548" s="12" t="inlineStr"/>
      <c r="H3548" s="12" t="inlineStr">
        <is>
          <t>CCS instrument air</t>
        </is>
      </c>
      <c r="I3548" s="12" t="inlineStr">
        <is>
          <t>LV 600 V</t>
        </is>
      </c>
      <c r="J3548" s="12" t="inlineStr">
        <is>
          <t>Type TC-ER 600 V 3/C Cu XHHW-2 + ground, PVC jacket</t>
        </is>
      </c>
      <c r="K3548" s="12" t="inlineStr">
        <is>
          <t>LV|3/C+G|4/0</t>
        </is>
      </c>
      <c r="L3548" s="12" t="inlineStr">
        <is>
          <t>3/C+G</t>
        </is>
      </c>
      <c r="M3548" s="12" t="inlineStr">
        <is>
          <t>4/0</t>
        </is>
      </c>
      <c r="N3548" s="12" t="n">
        <v>2</v>
      </c>
      <c r="O3548" s="12" t="n">
        <v>1</v>
      </c>
      <c r="P3548" s="12" t="n">
        <v>480</v>
      </c>
      <c r="Q3548" s="12" t="n">
        <v>250</v>
      </c>
      <c r="R3548" s="12" t="n">
        <v>353.8</v>
      </c>
      <c r="S3548" s="12" t="inlineStr">
        <is>
          <t>Duct bank</t>
        </is>
      </c>
      <c r="T3548" s="16" t="n">
        <v>206</v>
      </c>
      <c r="U3548" s="16" t="n">
        <v>51</v>
      </c>
      <c r="V3548" s="16">
        <f>ROUNDUP((T3548+U3548+2*'Read Me'!$B$13)*(1+'Read Me'!$B$12),-1)</f>
        <v/>
      </c>
      <c r="W3548" s="16">
        <f>V3548*N3548*O3548</f>
        <v/>
      </c>
      <c r="X3548" s="12">
        <f>IF(LEFT(I3548,2)="MV",2*N3548*IF(L3548="1/C",O3548,1),0)</f>
        <v/>
      </c>
      <c r="Y3548" s="12">
        <f>IF(OR(LEFT(K3548,4)="LVAX",LEFT(K3548,6)="MV15AX",LEFT(K3548,4)="CTAX",LEFT(K3548,2)="W|"),2*N3548*O3548,0)</f>
        <v/>
      </c>
      <c r="Z3548" s="12" t="inlineStr">
        <is>
          <t>VD 1.1 %</t>
        </is>
      </c>
      <c r="AA3548" s="12">
        <f>N3548*O3548</f>
        <v/>
      </c>
    </row>
    <row r="3549">
      <c r="A3549" s="12" t="inlineStr">
        <is>
          <t>G-P-0134</t>
        </is>
      </c>
      <c r="B3549" s="12" t="inlineStr">
        <is>
          <t>G</t>
        </is>
      </c>
      <c r="C3549" s="12" t="inlineStr">
        <is>
          <t>Carbon capture</t>
        </is>
      </c>
      <c r="D3549" s="12" t="inlineStr">
        <is>
          <t>Motor 2 of 2, 250 kW</t>
        </is>
      </c>
      <c r="E3549" s="12" t="inlineStr"/>
      <c r="F3549" s="12" t="inlineStr">
        <is>
          <t>CCS MV switchgear building (VFDs)</t>
        </is>
      </c>
      <c r="G3549" s="12" t="inlineStr"/>
      <c r="H3549" s="12" t="inlineStr">
        <is>
          <t>CCS instrument air</t>
        </is>
      </c>
      <c r="I3549" s="12" t="inlineStr">
        <is>
          <t>LV 600 V</t>
        </is>
      </c>
      <c r="J3549" s="12" t="inlineStr">
        <is>
          <t>Type TC-ER 600 V 3/C Cu XHHW-2 + ground, PVC jacket</t>
        </is>
      </c>
      <c r="K3549" s="12" t="inlineStr">
        <is>
          <t>LV|3/C+G|4/0</t>
        </is>
      </c>
      <c r="L3549" s="12" t="inlineStr">
        <is>
          <t>3/C+G</t>
        </is>
      </c>
      <c r="M3549" s="12" t="inlineStr">
        <is>
          <t>4/0</t>
        </is>
      </c>
      <c r="N3549" s="12" t="n">
        <v>2</v>
      </c>
      <c r="O3549" s="12" t="n">
        <v>1</v>
      </c>
      <c r="P3549" s="12" t="n">
        <v>480</v>
      </c>
      <c r="Q3549" s="12" t="n">
        <v>250</v>
      </c>
      <c r="R3549" s="12" t="n">
        <v>353.8</v>
      </c>
      <c r="S3549" s="12" t="inlineStr">
        <is>
          <t>Duct bank</t>
        </is>
      </c>
      <c r="T3549" s="16" t="n">
        <v>206</v>
      </c>
      <c r="U3549" s="16" t="n">
        <v>51</v>
      </c>
      <c r="V3549" s="16">
        <f>ROUNDUP((T3549+U3549+2*'Read Me'!$B$13)*(1+'Read Me'!$B$12),-1)</f>
        <v/>
      </c>
      <c r="W3549" s="16">
        <f>V3549*N3549*O3549</f>
        <v/>
      </c>
      <c r="X3549" s="12">
        <f>IF(LEFT(I3549,2)="MV",2*N3549*IF(L3549="1/C",O3549,1),0)</f>
        <v/>
      </c>
      <c r="Y3549" s="12">
        <f>IF(OR(LEFT(K3549,4)="LVAX",LEFT(K3549,6)="MV15AX",LEFT(K3549,4)="CTAX",LEFT(K3549,2)="W|"),2*N3549*O3549,0)</f>
        <v/>
      </c>
      <c r="Z3549" s="12" t="inlineStr">
        <is>
          <t>VD 1.1 %</t>
        </is>
      </c>
      <c r="AA3549" s="12">
        <f>N3549*O3549</f>
        <v/>
      </c>
    </row>
    <row r="3550">
      <c r="A3550" s="12" t="inlineStr">
        <is>
          <t>G-P-0135</t>
        </is>
      </c>
      <c r="B3550" s="12" t="inlineStr">
        <is>
          <t>G</t>
        </is>
      </c>
      <c r="C3550" s="12" t="inlineStr">
        <is>
          <t>Carbon capture</t>
        </is>
      </c>
      <c r="D3550" s="12" t="inlineStr">
        <is>
          <t>Motor 1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Duct bank</t>
        </is>
      </c>
      <c r="T3550" s="16" t="n">
        <v>5</v>
      </c>
      <c r="U3550" s="16" t="n">
        <v>87</v>
      </c>
      <c r="V3550" s="16">
        <f>ROUNDUP((T3550+U3550+2*'Read Me'!$B$13)*(1+'Read Me'!$B$12),-1)</f>
        <v/>
      </c>
      <c r="W3550" s="16">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G-P-0136</t>
        </is>
      </c>
      <c r="B3551" s="12" t="inlineStr">
        <is>
          <t>G</t>
        </is>
      </c>
      <c r="C3551" s="12" t="inlineStr">
        <is>
          <t>Carbon capture</t>
        </is>
      </c>
      <c r="D3551" s="12" t="inlineStr">
        <is>
          <t>Motor 2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Duct bank</t>
        </is>
      </c>
      <c r="T3551" s="16" t="n">
        <v>5</v>
      </c>
      <c r="U3551" s="16" t="n">
        <v>87</v>
      </c>
      <c r="V3551" s="16">
        <f>ROUNDUP((T3551+U3551+2*'Read Me'!$B$13)*(1+'Read Me'!$B$12),-1)</f>
        <v/>
      </c>
      <c r="W3551" s="16">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G-P-0137</t>
        </is>
      </c>
      <c r="B3552" s="12" t="inlineStr">
        <is>
          <t>G</t>
        </is>
      </c>
      <c r="C3552" s="12" t="inlineStr">
        <is>
          <t>Carbon capture</t>
        </is>
      </c>
      <c r="D3552" s="12" t="inlineStr">
        <is>
          <t>Motor 3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G-P-0138</t>
        </is>
      </c>
      <c r="B3553" s="12" t="inlineStr">
        <is>
          <t>G</t>
        </is>
      </c>
      <c r="C3553" s="12" t="inlineStr">
        <is>
          <t>Carbon capture</t>
        </is>
      </c>
      <c r="D3553" s="12" t="inlineStr">
        <is>
          <t>Motor 4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G-P-0139</t>
        </is>
      </c>
      <c r="B3554" s="12" t="inlineStr">
        <is>
          <t>G</t>
        </is>
      </c>
      <c r="C3554" s="12" t="inlineStr">
        <is>
          <t>Carbon capture</t>
        </is>
      </c>
      <c r="D3554" s="12" t="inlineStr">
        <is>
          <t>Motor 5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G-P-0140</t>
        </is>
      </c>
      <c r="B3555" s="12" t="inlineStr">
        <is>
          <t>G</t>
        </is>
      </c>
      <c r="C3555" s="12" t="inlineStr">
        <is>
          <t>Carbon capture</t>
        </is>
      </c>
      <c r="D3555" s="12" t="inlineStr">
        <is>
          <t>Motor 6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G-P-0141</t>
        </is>
      </c>
      <c r="B3556" s="12" t="inlineStr">
        <is>
          <t>G</t>
        </is>
      </c>
      <c r="C3556" s="12" t="inlineStr">
        <is>
          <t>Carbon capture</t>
        </is>
      </c>
      <c r="D3556" s="12" t="inlineStr">
        <is>
          <t>Motor 1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6" t="n">
        <v>291</v>
      </c>
      <c r="U3556" s="16" t="n">
        <v>36</v>
      </c>
      <c r="V3556" s="16">
        <f>ROUNDUP((T3556+U3556+2*'Read Me'!$B$13)*(1+'Read Me'!$B$12),-1)</f>
        <v/>
      </c>
      <c r="W3556" s="16">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G-P-0142</t>
        </is>
      </c>
      <c r="B3557" s="12" t="inlineStr">
        <is>
          <t>G</t>
        </is>
      </c>
      <c r="C3557" s="12" t="inlineStr">
        <is>
          <t>Carbon capture</t>
        </is>
      </c>
      <c r="D3557" s="12" t="inlineStr">
        <is>
          <t>Motor 2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6" t="n">
        <v>291</v>
      </c>
      <c r="U3557" s="16" t="n">
        <v>36</v>
      </c>
      <c r="V3557" s="16">
        <f>ROUNDUP((T3557+U3557+2*'Read Me'!$B$13)*(1+'Read Me'!$B$12),-1)</f>
        <v/>
      </c>
      <c r="W3557" s="16">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G-P-0143</t>
        </is>
      </c>
      <c r="B3558" s="12" t="inlineStr">
        <is>
          <t>G</t>
        </is>
      </c>
      <c r="C3558" s="12" t="inlineStr">
        <is>
          <t>Carbon capture</t>
        </is>
      </c>
      <c r="D3558" s="12" t="inlineStr">
        <is>
          <t>Motor 3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G-P-0144</t>
        </is>
      </c>
      <c r="B3559" s="12" t="inlineStr">
        <is>
          <t>G</t>
        </is>
      </c>
      <c r="C3559" s="12" t="inlineStr">
        <is>
          <t>Carbon capture</t>
        </is>
      </c>
      <c r="D3559" s="12" t="inlineStr">
        <is>
          <t>Motor 4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G-P-0145</t>
        </is>
      </c>
      <c r="B3560" s="12" t="inlineStr">
        <is>
          <t>G</t>
        </is>
      </c>
      <c r="C3560" s="12" t="inlineStr">
        <is>
          <t>Carbon capture</t>
        </is>
      </c>
      <c r="D3560" s="12" t="inlineStr">
        <is>
          <t>Motor 5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G-P-0146</t>
        </is>
      </c>
      <c r="B3561" s="12" t="inlineStr">
        <is>
          <t>G</t>
        </is>
      </c>
      <c r="C3561" s="12" t="inlineStr">
        <is>
          <t>Carbon capture</t>
        </is>
      </c>
      <c r="D3561" s="12" t="inlineStr">
        <is>
          <t>Motor 6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G-P-0147</t>
        </is>
      </c>
      <c r="B3562" s="12" t="inlineStr">
        <is>
          <t>G</t>
        </is>
      </c>
      <c r="C3562" s="12" t="inlineStr">
        <is>
          <t>Carbon capture</t>
        </is>
      </c>
      <c r="D3562" s="12" t="inlineStr">
        <is>
          <t>Motor 7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G-P-0148</t>
        </is>
      </c>
      <c r="B3563" s="12" t="inlineStr">
        <is>
          <t>G</t>
        </is>
      </c>
      <c r="C3563" s="12" t="inlineStr">
        <is>
          <t>Carbon capture</t>
        </is>
      </c>
      <c r="D3563" s="12" t="inlineStr">
        <is>
          <t>Motor 8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G-P-0149</t>
        </is>
      </c>
      <c r="B3564" s="12" t="inlineStr">
        <is>
          <t>G</t>
        </is>
      </c>
      <c r="C3564" s="12" t="inlineStr">
        <is>
          <t>Carbon capture</t>
        </is>
      </c>
      <c r="D3564" s="12" t="inlineStr">
        <is>
          <t>Motor 9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G-P-0150</t>
        </is>
      </c>
      <c r="B3565" s="12" t="inlineStr">
        <is>
          <t>G</t>
        </is>
      </c>
      <c r="C3565" s="12" t="inlineStr">
        <is>
          <t>Carbon capture</t>
        </is>
      </c>
      <c r="D3565" s="12" t="inlineStr">
        <is>
          <t>Motor 10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G-P-0151</t>
        </is>
      </c>
      <c r="B3566" s="12" t="inlineStr">
        <is>
          <t>G</t>
        </is>
      </c>
      <c r="C3566" s="12" t="inlineStr">
        <is>
          <t>Carbon capture</t>
        </is>
      </c>
      <c r="D3566" s="12" t="inlineStr">
        <is>
          <t>480 V welding receptacle 1</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1.9 %</t>
        </is>
      </c>
      <c r="AA3566" s="12">
        <f>N3566*O3566</f>
        <v/>
      </c>
    </row>
    <row r="3567">
      <c r="A3567" s="12" t="inlineStr">
        <is>
          <t>G-P-0152</t>
        </is>
      </c>
      <c r="B3567" s="12" t="inlineStr">
        <is>
          <t>G</t>
        </is>
      </c>
      <c r="C3567" s="12" t="inlineStr">
        <is>
          <t>Carbon capture</t>
        </is>
      </c>
      <c r="D3567" s="12" t="inlineStr">
        <is>
          <t>480 V welding receptacle 2</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1.9 %</t>
        </is>
      </c>
      <c r="AA3567" s="12">
        <f>N3567*O3567</f>
        <v/>
      </c>
    </row>
    <row r="3568">
      <c r="A3568" s="12" t="inlineStr">
        <is>
          <t>G-P-0153</t>
        </is>
      </c>
      <c r="B3568" s="12" t="inlineStr">
        <is>
          <t>G</t>
        </is>
      </c>
      <c r="C3568" s="12" t="inlineStr">
        <is>
          <t>Carbon capture</t>
        </is>
      </c>
      <c r="D3568" s="12" t="inlineStr">
        <is>
          <t>480 V welding receptacle 3</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G-P-0154</t>
        </is>
      </c>
      <c r="B3569" s="12" t="inlineStr">
        <is>
          <t>G</t>
        </is>
      </c>
      <c r="C3569" s="12" t="inlineStr">
        <is>
          <t>Carbon capture</t>
        </is>
      </c>
      <c r="D3569" s="12" t="inlineStr">
        <is>
          <t>480 V welding receptacle 4</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G-P-0155</t>
        </is>
      </c>
      <c r="B3570" s="12" t="inlineStr">
        <is>
          <t>G</t>
        </is>
      </c>
      <c r="C3570" s="12" t="inlineStr">
        <is>
          <t>Carbon capture</t>
        </is>
      </c>
      <c r="D3570" s="12" t="inlineStr">
        <is>
          <t>Motor 1 of 2, 20 kW</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LV|3/C+G|6</t>
        </is>
      </c>
      <c r="L3570" s="12" t="inlineStr">
        <is>
          <t>3/C+G</t>
        </is>
      </c>
      <c r="M3570" s="12" t="inlineStr">
        <is>
          <t>6</t>
        </is>
      </c>
      <c r="N3570" s="12" t="n">
        <v>1</v>
      </c>
      <c r="O3570" s="12" t="n">
        <v>1</v>
      </c>
      <c r="P3570" s="12" t="n">
        <v>480</v>
      </c>
      <c r="Q3570" s="12" t="n">
        <v>20</v>
      </c>
      <c r="R3570" s="12" t="n">
        <v>28.3</v>
      </c>
      <c r="S3570" s="12" t="inlineStr">
        <is>
          <t>Duct bank</t>
        </is>
      </c>
      <c r="T3570" s="16" t="n">
        <v>305</v>
      </c>
      <c r="U3570" s="16" t="n">
        <v>160</v>
      </c>
      <c r="V3570" s="16">
        <f>ROUNDUP((T3570+U3570+2*'Read Me'!$B$13)*(1+'Read Me'!$B$12),-1)</f>
        <v/>
      </c>
      <c r="W3570" s="16">
        <f>V3570*N3570*O3570</f>
        <v/>
      </c>
      <c r="X3570" s="12">
        <f>IF(LEFT(I3570,2)="MV",2*N3570*IF(L3570="1/C",O3570,1),0)</f>
        <v/>
      </c>
      <c r="Y3570" s="12">
        <f>IF(OR(LEFT(K3570,4)="LVAX",LEFT(K3570,6)="MV15AX",LEFT(K3570,4)="CTAX",LEFT(K3570,2)="W|"),2*N3570*O3570,0)</f>
        <v/>
      </c>
      <c r="Z3570" s="12" t="inlineStr">
        <is>
          <t>VD 2.6 %</t>
        </is>
      </c>
      <c r="AA3570" s="12">
        <f>N3570*O3570</f>
        <v/>
      </c>
    </row>
    <row r="3571">
      <c r="A3571" s="12" t="inlineStr">
        <is>
          <t>G-P-0156</t>
        </is>
      </c>
      <c r="B3571" s="12" t="inlineStr">
        <is>
          <t>G</t>
        </is>
      </c>
      <c r="C3571" s="12" t="inlineStr">
        <is>
          <t>Carbon capture</t>
        </is>
      </c>
      <c r="D3571" s="12" t="inlineStr">
        <is>
          <t>Motor 2 of 2, 20 kW</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LV|3/C+G|6</t>
        </is>
      </c>
      <c r="L3571" s="12" t="inlineStr">
        <is>
          <t>3/C+G</t>
        </is>
      </c>
      <c r="M3571" s="12" t="inlineStr">
        <is>
          <t>6</t>
        </is>
      </c>
      <c r="N3571" s="12" t="n">
        <v>1</v>
      </c>
      <c r="O3571" s="12" t="n">
        <v>1</v>
      </c>
      <c r="P3571" s="12" t="n">
        <v>480</v>
      </c>
      <c r="Q3571" s="12" t="n">
        <v>20</v>
      </c>
      <c r="R3571" s="12" t="n">
        <v>28.3</v>
      </c>
      <c r="S3571" s="12" t="inlineStr">
        <is>
          <t>Duct bank</t>
        </is>
      </c>
      <c r="T3571" s="16" t="n">
        <v>305</v>
      </c>
      <c r="U3571" s="16" t="n">
        <v>160</v>
      </c>
      <c r="V3571" s="16">
        <f>ROUNDUP((T3571+U3571+2*'Read Me'!$B$13)*(1+'Read Me'!$B$12),-1)</f>
        <v/>
      </c>
      <c r="W3571" s="16">
        <f>V3571*N3571*O3571</f>
        <v/>
      </c>
      <c r="X3571" s="12">
        <f>IF(LEFT(I3571,2)="MV",2*N3571*IF(L3571="1/C",O3571,1),0)</f>
        <v/>
      </c>
      <c r="Y3571" s="12">
        <f>IF(OR(LEFT(K3571,4)="LVAX",LEFT(K3571,6)="MV15AX",LEFT(K3571,4)="CTAX",LEFT(K3571,2)="W|"),2*N3571*O3571,0)</f>
        <v/>
      </c>
      <c r="Z3571" s="12" t="inlineStr">
        <is>
          <t>VD 2.6 %</t>
        </is>
      </c>
      <c r="AA3571" s="12">
        <f>N3571*O3571</f>
        <v/>
      </c>
    </row>
    <row r="3572">
      <c r="A3572" s="12" t="inlineStr">
        <is>
          <t>G-P-0157</t>
        </is>
      </c>
      <c r="B3572" s="12" t="inlineStr">
        <is>
          <t>G</t>
        </is>
      </c>
      <c r="C3572" s="12" t="inlineStr">
        <is>
          <t>Carbon capture</t>
        </is>
      </c>
      <c r="D3572" s="12" t="inlineStr">
        <is>
          <t>Motor 1 of 1, 200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LV|3/C+G|500</t>
        </is>
      </c>
      <c r="L3572" s="12" t="inlineStr">
        <is>
          <t>3/C+G</t>
        </is>
      </c>
      <c r="M3572" s="12" t="inlineStr">
        <is>
          <t>500 kcmil</t>
        </is>
      </c>
      <c r="N3572" s="12" t="n">
        <v>1</v>
      </c>
      <c r="O3572" s="12" t="n">
        <v>1</v>
      </c>
      <c r="P3572" s="12" t="n">
        <v>480</v>
      </c>
      <c r="Q3572" s="12" t="n">
        <v>200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1.3 %</t>
        </is>
      </c>
      <c r="AA3572" s="12">
        <f>N3572*O3572</f>
        <v/>
      </c>
    </row>
    <row r="3573">
      <c r="A3573" s="12" t="inlineStr">
        <is>
          <t>G-P-0158</t>
        </is>
      </c>
      <c r="B3573" s="12" t="inlineStr">
        <is>
          <t>G</t>
        </is>
      </c>
      <c r="C3573" s="12" t="inlineStr">
        <is>
          <t>Carbon capture</t>
        </is>
      </c>
      <c r="D3573" s="12" t="inlineStr">
        <is>
          <t>MOV 1: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G-P-0159</t>
        </is>
      </c>
      <c r="B3574" s="12" t="inlineStr">
        <is>
          <t>G</t>
        </is>
      </c>
      <c r="C3574" s="12" t="inlineStr">
        <is>
          <t>Carbon capture</t>
        </is>
      </c>
      <c r="D3574" s="12" t="inlineStr">
        <is>
          <t>MOV 2: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G-P-0160</t>
        </is>
      </c>
      <c r="B3575" s="12" t="inlineStr">
        <is>
          <t>G</t>
        </is>
      </c>
      <c r="C3575" s="12" t="inlineStr">
        <is>
          <t>Carbon capture</t>
        </is>
      </c>
      <c r="D3575" s="12" t="inlineStr">
        <is>
          <t>MOV 3: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G-P-0161</t>
        </is>
      </c>
      <c r="B3576" s="12" t="inlineStr">
        <is>
          <t>G</t>
        </is>
      </c>
      <c r="C3576" s="12" t="inlineStr">
        <is>
          <t>Carbon capture</t>
        </is>
      </c>
      <c r="D3576" s="12" t="inlineStr">
        <is>
          <t>MOV 4: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G-P-0162</t>
        </is>
      </c>
      <c r="B3577" s="12" t="inlineStr">
        <is>
          <t>G</t>
        </is>
      </c>
      <c r="C3577" s="12" t="inlineStr">
        <is>
          <t>Carbon capture</t>
        </is>
      </c>
      <c r="D3577" s="12" t="inlineStr">
        <is>
          <t>MOV 5: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G-P-0163</t>
        </is>
      </c>
      <c r="B3578" s="12" t="inlineStr">
        <is>
          <t>G</t>
        </is>
      </c>
      <c r="C3578" s="12" t="inlineStr">
        <is>
          <t>Carbon capture</t>
        </is>
      </c>
      <c r="D3578" s="12" t="inlineStr">
        <is>
          <t>MOV 6: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G-P-0164</t>
        </is>
      </c>
      <c r="B3579" s="12" t="inlineStr">
        <is>
          <t>G</t>
        </is>
      </c>
      <c r="C3579" s="12" t="inlineStr">
        <is>
          <t>Carbon capture</t>
        </is>
      </c>
      <c r="D3579" s="12" t="inlineStr">
        <is>
          <t>MOV 7: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G-P-0165</t>
        </is>
      </c>
      <c r="B3580" s="12" t="inlineStr">
        <is>
          <t>G</t>
        </is>
      </c>
      <c r="C3580" s="12" t="inlineStr">
        <is>
          <t>Carbon capture</t>
        </is>
      </c>
      <c r="D3580" s="12" t="inlineStr">
        <is>
          <t>MOV 8: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G-P-0166</t>
        </is>
      </c>
      <c r="B3581" s="12" t="inlineStr">
        <is>
          <t>G</t>
        </is>
      </c>
      <c r="C3581" s="12" t="inlineStr">
        <is>
          <t>Carbon capture</t>
        </is>
      </c>
      <c r="D3581" s="12" t="inlineStr">
        <is>
          <t>MOV 9: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G-P-0167</t>
        </is>
      </c>
      <c r="B3582" s="12" t="inlineStr">
        <is>
          <t>G</t>
        </is>
      </c>
      <c r="C3582" s="12" t="inlineStr">
        <is>
          <t>Carbon capture</t>
        </is>
      </c>
      <c r="D3582" s="12" t="inlineStr">
        <is>
          <t>MOV 10: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G-P-0168</t>
        </is>
      </c>
      <c r="B3583" s="12" t="inlineStr">
        <is>
          <t>G</t>
        </is>
      </c>
      <c r="C3583" s="12" t="inlineStr">
        <is>
          <t>Carbon capture</t>
        </is>
      </c>
      <c r="D3583" s="12" t="inlineStr">
        <is>
          <t>MOV 11: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G-P-0169</t>
        </is>
      </c>
      <c r="B3584" s="12" t="inlineStr">
        <is>
          <t>G</t>
        </is>
      </c>
      <c r="C3584" s="12" t="inlineStr">
        <is>
          <t>Carbon capture</t>
        </is>
      </c>
      <c r="D3584" s="12" t="inlineStr">
        <is>
          <t>MOV 12: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G-P-0170</t>
        </is>
      </c>
      <c r="B3585" s="12" t="inlineStr">
        <is>
          <t>G</t>
        </is>
      </c>
      <c r="C3585" s="12" t="inlineStr">
        <is>
          <t>Carbon capture</t>
        </is>
      </c>
      <c r="D3585" s="12" t="inlineStr">
        <is>
          <t>Motor 1 of 4, 30 kW</t>
        </is>
      </c>
      <c r="E3585" s="12" t="inlineStr"/>
      <c r="F3585" s="12" t="inlineStr">
        <is>
          <t>CCS MV switchgear building (VFDs)</t>
        </is>
      </c>
      <c r="G3585" s="12" t="inlineStr"/>
      <c r="H3585" s="12" t="inlineStr">
        <is>
          <t>CONDITIONAL: HP export compressor + metering</t>
        </is>
      </c>
      <c r="I3585" s="12" t="inlineStr">
        <is>
          <t>LV 600 V</t>
        </is>
      </c>
      <c r="J3585" s="12" t="inlineStr">
        <is>
          <t>ARMOR-X MC-HL 600 V 3/C Cu XHHW-2 + ground, CWA, black PVC (Class I Div 2)</t>
        </is>
      </c>
      <c r="K3585" s="12" t="inlineStr">
        <is>
          <t>LVAX|3/C+G|6</t>
        </is>
      </c>
      <c r="L3585" s="12" t="inlineStr">
        <is>
          <t>3/C+G</t>
        </is>
      </c>
      <c r="M3585" s="12" t="inlineStr">
        <is>
          <t>6</t>
        </is>
      </c>
      <c r="N3585" s="12" t="n">
        <v>1</v>
      </c>
      <c r="O3585" s="12" t="n">
        <v>1</v>
      </c>
      <c r="P3585" s="12" t="n">
        <v>480</v>
      </c>
      <c r="Q3585" s="12" t="n">
        <v>30</v>
      </c>
      <c r="R3585" s="12" t="n">
        <v>42.5</v>
      </c>
      <c r="S3585" s="12" t="inlineStr">
        <is>
          <t>Duct bank</t>
        </is>
      </c>
      <c r="T3585" s="16" t="n">
        <v>303</v>
      </c>
      <c r="U3585" s="16" t="n">
        <v>34</v>
      </c>
      <c r="V3585" s="16">
        <f>ROUNDUP((T3585+U3585+2*'Read Me'!$B$13)*(1+'Read Me'!$B$12),-1)</f>
        <v/>
      </c>
      <c r="W3585" s="16">
        <f>V3585*N3585*O3585</f>
        <v/>
      </c>
      <c r="X3585" s="12">
        <f>IF(LEFT(I3585,2)="MV",2*N3585*IF(L3585="1/C",O3585,1),0)</f>
        <v/>
      </c>
      <c r="Y3585" s="12">
        <f>IF(OR(LEFT(K3585,4)="LVAX",LEFT(K3585,6)="MV15AX",LEFT(K3585,4)="CTAX",LEFT(K3585,2)="W|"),2*N3585*O3585,0)</f>
        <v/>
      </c>
      <c r="Z3585" s="12" t="inlineStr">
        <is>
          <t>VD 2.8 %</t>
        </is>
      </c>
      <c r="AA3585" s="12">
        <f>N3585*O3585</f>
        <v/>
      </c>
    </row>
    <row r="3586">
      <c r="A3586" s="12" t="inlineStr">
        <is>
          <t>G-P-0171</t>
        </is>
      </c>
      <c r="B3586" s="12" t="inlineStr">
        <is>
          <t>G</t>
        </is>
      </c>
      <c r="C3586" s="12" t="inlineStr">
        <is>
          <t>Carbon capture</t>
        </is>
      </c>
      <c r="D3586" s="12" t="inlineStr">
        <is>
          <t>Motor 2 of 4, 30 kW</t>
        </is>
      </c>
      <c r="E3586" s="12" t="inlineStr"/>
      <c r="F3586" s="12" t="inlineStr">
        <is>
          <t>CCS MV switchgear building (VFDs)</t>
        </is>
      </c>
      <c r="G3586" s="12" t="inlineStr"/>
      <c r="H3586" s="12" t="inlineStr">
        <is>
          <t>CONDITIONAL: HP export compressor + metering</t>
        </is>
      </c>
      <c r="I3586" s="12" t="inlineStr">
        <is>
          <t>LV 600 V</t>
        </is>
      </c>
      <c r="J3586" s="12" t="inlineStr">
        <is>
          <t>ARMOR-X MC-HL 600 V 3/C Cu XHHW-2 + ground, CWA, black PVC (Class I Div 2)</t>
        </is>
      </c>
      <c r="K3586" s="12" t="inlineStr">
        <is>
          <t>LVAX|3/C+G|6</t>
        </is>
      </c>
      <c r="L3586" s="12" t="inlineStr">
        <is>
          <t>3/C+G</t>
        </is>
      </c>
      <c r="M3586" s="12" t="inlineStr">
        <is>
          <t>6</t>
        </is>
      </c>
      <c r="N3586" s="12" t="n">
        <v>1</v>
      </c>
      <c r="O3586" s="12" t="n">
        <v>1</v>
      </c>
      <c r="P3586" s="12" t="n">
        <v>480</v>
      </c>
      <c r="Q3586" s="12" t="n">
        <v>30</v>
      </c>
      <c r="R3586" s="12" t="n">
        <v>42.5</v>
      </c>
      <c r="S3586" s="12" t="inlineStr">
        <is>
          <t>Duct bank</t>
        </is>
      </c>
      <c r="T3586" s="16" t="n">
        <v>303</v>
      </c>
      <c r="U3586" s="16" t="n">
        <v>34</v>
      </c>
      <c r="V3586" s="16">
        <f>ROUNDUP((T3586+U3586+2*'Read Me'!$B$13)*(1+'Read Me'!$B$12),-1)</f>
        <v/>
      </c>
      <c r="W3586" s="16">
        <f>V3586*N3586*O3586</f>
        <v/>
      </c>
      <c r="X3586" s="12">
        <f>IF(LEFT(I3586,2)="MV",2*N3586*IF(L3586="1/C",O3586,1),0)</f>
        <v/>
      </c>
      <c r="Y3586" s="12">
        <f>IF(OR(LEFT(K3586,4)="LVAX",LEFT(K3586,6)="MV15AX",LEFT(K3586,4)="CTAX",LEFT(K3586,2)="W|"),2*N3586*O3586,0)</f>
        <v/>
      </c>
      <c r="Z3586" s="12" t="inlineStr">
        <is>
          <t>VD 2.8 %</t>
        </is>
      </c>
      <c r="AA3586" s="12">
        <f>N3586*O3586</f>
        <v/>
      </c>
    </row>
    <row r="3587">
      <c r="A3587" s="12" t="inlineStr">
        <is>
          <t>G-P-0172</t>
        </is>
      </c>
      <c r="B3587" s="12" t="inlineStr">
        <is>
          <t>G</t>
        </is>
      </c>
      <c r="C3587" s="12" t="inlineStr">
        <is>
          <t>Carbon capture</t>
        </is>
      </c>
      <c r="D3587" s="12" t="inlineStr">
        <is>
          <t>Motor 3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G-P-0173</t>
        </is>
      </c>
      <c r="B3588" s="12" t="inlineStr">
        <is>
          <t>G</t>
        </is>
      </c>
      <c r="C3588" s="12" t="inlineStr">
        <is>
          <t>Carbon capture</t>
        </is>
      </c>
      <c r="D3588" s="12" t="inlineStr">
        <is>
          <t>Motor 4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G-P-0174</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DCC-A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6" t="n">
        <v>515</v>
      </c>
      <c r="U3589" s="16" t="n">
        <v>164</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G-P-0175</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DCC-A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6" t="n">
        <v>515</v>
      </c>
      <c r="U3590" s="16" t="n">
        <v>164</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G-P-0176</t>
        </is>
      </c>
      <c r="B3591" s="12" t="inlineStr">
        <is>
          <t>G</t>
        </is>
      </c>
      <c r="C3591" s="12" t="inlineStr">
        <is>
          <t>Carbon capture</t>
        </is>
      </c>
      <c r="D3591" s="12" t="inlineStr">
        <is>
          <t>LV power feeder</t>
        </is>
      </c>
      <c r="E3591" s="12" t="inlineStr"/>
      <c r="F3591" s="12" t="inlineStr">
        <is>
          <t>CCS MV switchgear building (VFDs)</t>
        </is>
      </c>
      <c r="G3591" s="12" t="inlineStr">
        <is>
          <t>DCC-A</t>
        </is>
      </c>
      <c r="H3591" s="12" t="inlineStr">
        <is>
          <t>DCC-A: direct-contact cooler (quench)</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15</v>
      </c>
      <c r="R3591" s="12" t="n">
        <v>21.2</v>
      </c>
      <c r="S3591" s="12" t="inlineStr">
        <is>
          <t>Duct bank</t>
        </is>
      </c>
      <c r="T3591" s="16" t="n">
        <v>460</v>
      </c>
      <c r="U3591" s="16" t="n">
        <v>60</v>
      </c>
      <c r="V3591" s="16">
        <f>ROUNDUP((T3591+U3591+2*'Read Me'!$B$13)*(1+'Read Me'!$B$12),-1)</f>
        <v/>
      </c>
      <c r="W3591" s="16">
        <f>V3591*N3591*O3591</f>
        <v/>
      </c>
      <c r="X3591" s="12">
        <f>IF(LEFT(I3591,2)="MV",2*N3591*IF(L3591="1/C",O3591,1),0)</f>
        <v/>
      </c>
      <c r="Y3591" s="12">
        <f>IF(OR(LEFT(K3591,4)="LVAX",LEFT(K3591,6)="MV15AX",LEFT(K3591,4)="CTAX",LEFT(K3591,2)="W|"),2*N3591*O3591,0)</f>
        <v/>
      </c>
      <c r="Z3591" s="12" t="inlineStr">
        <is>
          <t>VD 2.2 %</t>
        </is>
      </c>
      <c r="AA3591" s="12">
        <f>N3591*O3591</f>
        <v/>
      </c>
    </row>
    <row r="3592">
      <c r="A3592" s="12" t="inlineStr">
        <is>
          <t>G-P-0177</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DCC-A</t>
        </is>
      </c>
      <c r="H3592" s="12" t="inlineStr">
        <is>
          <t>DCC-A: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6" t="n">
        <v>760</v>
      </c>
      <c r="U3592" s="16" t="n">
        <v>60</v>
      </c>
      <c r="V3592" s="16">
        <f>ROUNDUP((T3592+U3592+2*'Read Me'!$B$13)*(1+'Read Me'!$B$12),-1)</f>
        <v/>
      </c>
      <c r="W3592" s="16">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G-P-0178</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DCC-B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6" t="n">
        <v>415</v>
      </c>
      <c r="U3593" s="16" t="n">
        <v>122</v>
      </c>
      <c r="V3593" s="16">
        <f>ROUNDUP((T3593+U3593+2*'Read Me'!$B$13)*(1+'Read Me'!$B$12),-1)</f>
        <v/>
      </c>
      <c r="W3593" s="16">
        <f>V3593*N3593*O3593</f>
        <v/>
      </c>
      <c r="X3593" s="12">
        <f>IF(LEFT(I3593,2)="MV",2*N3593*IF(L3593="1/C",O3593,1),0)</f>
        <v/>
      </c>
      <c r="Y3593" s="12">
        <f>IF(OR(LEFT(K3593,4)="LVAX",LEFT(K3593,6)="MV15AX",LEFT(K3593,4)="CTAX",LEFT(K3593,2)="W|"),2*N3593*O3593,0)</f>
        <v/>
      </c>
      <c r="Z3593" s="12" t="inlineStr">
        <is>
          <t>VD 1.6 %</t>
        </is>
      </c>
      <c r="AA3593" s="12">
        <f>N3593*O3593</f>
        <v/>
      </c>
    </row>
    <row r="3594">
      <c r="A3594" s="12" t="inlineStr">
        <is>
          <t>G-P-0179</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DCC-B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6" t="n">
        <v>415</v>
      </c>
      <c r="U3594" s="16" t="n">
        <v>122</v>
      </c>
      <c r="V3594" s="16">
        <f>ROUNDUP((T3594+U3594+2*'Read Me'!$B$13)*(1+'Read Me'!$B$12),-1)</f>
        <v/>
      </c>
      <c r="W3594" s="16">
        <f>V3594*N3594*O3594</f>
        <v/>
      </c>
      <c r="X3594" s="12">
        <f>IF(LEFT(I3594,2)="MV",2*N3594*IF(L3594="1/C",O3594,1),0)</f>
        <v/>
      </c>
      <c r="Y3594" s="12">
        <f>IF(OR(LEFT(K3594,4)="LVAX",LEFT(K3594,6)="MV15AX",LEFT(K3594,4)="CTAX",LEFT(K3594,2)="W|"),2*N3594*O3594,0)</f>
        <v/>
      </c>
      <c r="Z3594" s="12" t="inlineStr">
        <is>
          <t>VD 1.6 %</t>
        </is>
      </c>
      <c r="AA3594" s="12">
        <f>N3594*O3594</f>
        <v/>
      </c>
    </row>
    <row r="3595">
      <c r="A3595" s="12" t="inlineStr">
        <is>
          <t>G-P-0180</t>
        </is>
      </c>
      <c r="B3595" s="12" t="inlineStr">
        <is>
          <t>G</t>
        </is>
      </c>
      <c r="C3595" s="12" t="inlineStr">
        <is>
          <t>Carbon capture</t>
        </is>
      </c>
      <c r="D3595" s="12" t="inlineStr">
        <is>
          <t>LV power feeder</t>
        </is>
      </c>
      <c r="E3595" s="12" t="inlineStr"/>
      <c r="F3595" s="12" t="inlineStr">
        <is>
          <t>CCS MV switchgear building (VFDs)</t>
        </is>
      </c>
      <c r="G3595" s="12" t="inlineStr">
        <is>
          <t>DCC-B</t>
        </is>
      </c>
      <c r="H3595" s="12" t="inlineStr">
        <is>
          <t>DCC-B: direct-contact cooler (quench)</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60</v>
      </c>
      <c r="V3595" s="16">
        <f>ROUNDUP((T3595+U3595+2*'Read Me'!$B$13)*(1+'Read Me'!$B$12),-1)</f>
        <v/>
      </c>
      <c r="W3595" s="16">
        <f>V3595*N3595*O3595</f>
        <v/>
      </c>
      <c r="X3595" s="12">
        <f>IF(LEFT(I3595,2)="MV",2*N3595*IF(L3595="1/C",O3595,1),0)</f>
        <v/>
      </c>
      <c r="Y3595" s="12">
        <f>IF(OR(LEFT(K3595,4)="LVAX",LEFT(K3595,6)="MV15AX",LEFT(K3595,4)="CTAX",LEFT(K3595,2)="W|"),2*N3595*O3595,0)</f>
        <v/>
      </c>
      <c r="Z3595" s="12" t="inlineStr">
        <is>
          <t>VD 2.3 %</t>
        </is>
      </c>
      <c r="AA3595" s="12">
        <f>N3595*O3595</f>
        <v/>
      </c>
    </row>
    <row r="3596">
      <c r="A3596" s="12" t="inlineStr">
        <is>
          <t>G-P-0181</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DCC-B</t>
        </is>
      </c>
      <c r="H3596" s="12" t="inlineStr">
        <is>
          <t>DCC-B: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6" t="n">
        <v>600</v>
      </c>
      <c r="U3596" s="16" t="n">
        <v>60</v>
      </c>
      <c r="V3596" s="16">
        <f>ROUNDUP((T3596+U3596+2*'Read Me'!$B$13)*(1+'Read Me'!$B$12),-1)</f>
        <v/>
      </c>
      <c r="W3596" s="16">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G-P-0182</t>
        </is>
      </c>
      <c r="B3597" s="12" t="inlineStr">
        <is>
          <t>G</t>
        </is>
      </c>
      <c r="C3597" s="12" t="inlineStr">
        <is>
          <t>Carbon capture</t>
        </is>
      </c>
      <c r="D3597" s="12" t="inlineStr">
        <is>
          <t>Motor 1 of 2, 200 kW</t>
        </is>
      </c>
      <c r="E3597" s="12" t="inlineStr"/>
      <c r="F3597" s="12" t="inlineStr">
        <is>
          <t>CCS MV switchgear building (VFDs)</t>
        </is>
      </c>
      <c r="G3597" s="12" t="inlineStr"/>
      <c r="H3597" s="12" t="inlineStr">
        <is>
          <t>DCC-C pumps + water filter</t>
        </is>
      </c>
      <c r="I3597" s="12" t="inlineStr">
        <is>
          <t>LV 600 V</t>
        </is>
      </c>
      <c r="J3597" s="12" t="inlineStr">
        <is>
          <t>Type TC-ER 600 V 3/C Cu XHHW-2 + ground, PVC jacket</t>
        </is>
      </c>
      <c r="K3597" s="12" t="inlineStr">
        <is>
          <t>LV|3/C+G|500</t>
        </is>
      </c>
      <c r="L3597" s="12" t="inlineStr">
        <is>
          <t>3/C+G</t>
        </is>
      </c>
      <c r="M3597" s="12" t="inlineStr">
        <is>
          <t>500 kcmil</t>
        </is>
      </c>
      <c r="N3597" s="12" t="n">
        <v>1</v>
      </c>
      <c r="O3597" s="12" t="n">
        <v>1</v>
      </c>
      <c r="P3597" s="12" t="n">
        <v>480</v>
      </c>
      <c r="Q3597" s="12" t="n">
        <v>200</v>
      </c>
      <c r="R3597" s="12" t="n">
        <v>283</v>
      </c>
      <c r="S3597" s="12" t="inlineStr">
        <is>
          <t>Tray</t>
        </is>
      </c>
      <c r="T3597" s="16" t="n">
        <v>195</v>
      </c>
      <c r="U3597" s="16" t="n">
        <v>164</v>
      </c>
      <c r="V3597" s="16">
        <f>ROUNDUP((T3597+U3597+2*'Read Me'!$B$13)*(1+'Read Me'!$B$12),-1)</f>
        <v/>
      </c>
      <c r="W3597" s="16">
        <f>V3597*N3597*O3597</f>
        <v/>
      </c>
      <c r="X3597" s="12">
        <f>IF(LEFT(I3597,2)="MV",2*N3597*IF(L3597="1/C",O3597,1),0)</f>
        <v/>
      </c>
      <c r="Y3597" s="12">
        <f>IF(OR(LEFT(K3597,4)="LVAX",LEFT(K3597,6)="MV15AX",LEFT(K3597,4)="CTAX",LEFT(K3597,2)="W|"),2*N3597*O3597,0)</f>
        <v/>
      </c>
      <c r="Z3597" s="12" t="inlineStr">
        <is>
          <t>VD 1.0 %</t>
        </is>
      </c>
      <c r="AA3597" s="12">
        <f>N3597*O3597</f>
        <v/>
      </c>
    </row>
    <row r="3598">
      <c r="A3598" s="12" t="inlineStr">
        <is>
          <t>G-P-0183</t>
        </is>
      </c>
      <c r="B3598" s="12" t="inlineStr">
        <is>
          <t>G</t>
        </is>
      </c>
      <c r="C3598" s="12" t="inlineStr">
        <is>
          <t>Carbon capture</t>
        </is>
      </c>
      <c r="D3598" s="12" t="inlineStr">
        <is>
          <t>Motor 2 of 2, 200 kW</t>
        </is>
      </c>
      <c r="E3598" s="12" t="inlineStr"/>
      <c r="F3598" s="12" t="inlineStr">
        <is>
          <t>CCS MV switchgear building (VFDs)</t>
        </is>
      </c>
      <c r="G3598" s="12" t="inlineStr"/>
      <c r="H3598" s="12" t="inlineStr">
        <is>
          <t>DCC-C pumps + water filter</t>
        </is>
      </c>
      <c r="I3598" s="12" t="inlineStr">
        <is>
          <t>LV 600 V</t>
        </is>
      </c>
      <c r="J3598" s="12" t="inlineStr">
        <is>
          <t>Type TC-ER 600 V 3/C Cu XHHW-2 + ground, PVC jacket</t>
        </is>
      </c>
      <c r="K3598" s="12" t="inlineStr">
        <is>
          <t>LV|3/C+G|500</t>
        </is>
      </c>
      <c r="L3598" s="12" t="inlineStr">
        <is>
          <t>3/C+G</t>
        </is>
      </c>
      <c r="M3598" s="12" t="inlineStr">
        <is>
          <t>500 kcmil</t>
        </is>
      </c>
      <c r="N3598" s="12" t="n">
        <v>1</v>
      </c>
      <c r="O3598" s="12" t="n">
        <v>1</v>
      </c>
      <c r="P3598" s="12" t="n">
        <v>480</v>
      </c>
      <c r="Q3598" s="12" t="n">
        <v>200</v>
      </c>
      <c r="R3598" s="12" t="n">
        <v>283</v>
      </c>
      <c r="S3598" s="12" t="inlineStr">
        <is>
          <t>Tray</t>
        </is>
      </c>
      <c r="T3598" s="16" t="n">
        <v>195</v>
      </c>
      <c r="U3598" s="16" t="n">
        <v>164</v>
      </c>
      <c r="V3598" s="16">
        <f>ROUNDUP((T3598+U3598+2*'Read Me'!$B$13)*(1+'Read Me'!$B$12),-1)</f>
        <v/>
      </c>
      <c r="W3598" s="16">
        <f>V3598*N3598*O3598</f>
        <v/>
      </c>
      <c r="X3598" s="12">
        <f>IF(LEFT(I3598,2)="MV",2*N3598*IF(L3598="1/C",O3598,1),0)</f>
        <v/>
      </c>
      <c r="Y3598" s="12">
        <f>IF(OR(LEFT(K3598,4)="LVAX",LEFT(K3598,6)="MV15AX",LEFT(K3598,4)="CTAX",LEFT(K3598,2)="W|"),2*N3598*O3598,0)</f>
        <v/>
      </c>
      <c r="Z3598" s="12" t="inlineStr">
        <is>
          <t>VD 1.0 %</t>
        </is>
      </c>
      <c r="AA3598" s="12">
        <f>N3598*O3598</f>
        <v/>
      </c>
    </row>
    <row r="3599">
      <c r="A3599" s="12" t="inlineStr">
        <is>
          <t>G-P-0184</t>
        </is>
      </c>
      <c r="B3599" s="12" t="inlineStr">
        <is>
          <t>G</t>
        </is>
      </c>
      <c r="C3599" s="12" t="inlineStr">
        <is>
          <t>Carbon capture</t>
        </is>
      </c>
      <c r="D3599" s="12" t="inlineStr">
        <is>
          <t>LV power feeder</t>
        </is>
      </c>
      <c r="E3599" s="12" t="inlineStr"/>
      <c r="F3599" s="12" t="inlineStr">
        <is>
          <t>CCS MV switchgear building (VFDs)</t>
        </is>
      </c>
      <c r="G3599" s="12" t="inlineStr">
        <is>
          <t>DCC-C</t>
        </is>
      </c>
      <c r="H3599" s="12" t="inlineStr">
        <is>
          <t>DCC-C: direct-contact cooler (quench)</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Duct bank</t>
        </is>
      </c>
      <c r="T3599" s="16" t="n">
        <v>140</v>
      </c>
      <c r="U3599" s="16" t="n">
        <v>60</v>
      </c>
      <c r="V3599" s="16">
        <f>ROUNDUP((T3599+U3599+2*'Read Me'!$B$13)*(1+'Read Me'!$B$12),-1)</f>
        <v/>
      </c>
      <c r="W3599" s="16">
        <f>V3599*N3599*O3599</f>
        <v/>
      </c>
      <c r="X3599" s="12">
        <f>IF(LEFT(I3599,2)="MV",2*N3599*IF(L3599="1/C",O3599,1),0)</f>
        <v/>
      </c>
      <c r="Y3599" s="12">
        <f>IF(OR(LEFT(K3599,4)="LVAX",LEFT(K3599,6)="MV15AX",LEFT(K3599,4)="CTAX",LEFT(K3599,2)="W|"),2*N3599*O3599,0)</f>
        <v/>
      </c>
      <c r="Z3599" s="12" t="inlineStr">
        <is>
          <t>VD 2.0 %</t>
        </is>
      </c>
      <c r="AA3599" s="12">
        <f>N3599*O3599</f>
        <v/>
      </c>
    </row>
    <row r="3600">
      <c r="A3600" s="12" t="inlineStr">
        <is>
          <t>G-P-0185</t>
        </is>
      </c>
      <c r="B3600" s="12" t="inlineStr">
        <is>
          <t>G</t>
        </is>
      </c>
      <c r="C3600" s="12" t="inlineStr">
        <is>
          <t>Carbon capture</t>
        </is>
      </c>
      <c r="D3600" s="12" t="inlineStr">
        <is>
          <t>Area / platform lighting circuit 1 (8 fixtures)</t>
        </is>
      </c>
      <c r="E3600" s="12" t="inlineStr"/>
      <c r="F3600" s="12" t="inlineStr">
        <is>
          <t>CCS MV switchgear building (VFDs)</t>
        </is>
      </c>
      <c r="G3600" s="12" t="inlineStr">
        <is>
          <t>DCC-C</t>
        </is>
      </c>
      <c r="H3600" s="12" t="inlineStr">
        <is>
          <t>DCC-C: direct-contact cooler (quench)</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3</v>
      </c>
      <c r="R3600" s="12" t="n">
        <v>5</v>
      </c>
      <c r="S3600" s="12" t="inlineStr">
        <is>
          <t>Duct bank</t>
        </is>
      </c>
      <c r="T3600" s="16" t="n">
        <v>440</v>
      </c>
      <c r="U3600" s="16" t="n">
        <v>60</v>
      </c>
      <c r="V3600" s="16">
        <f>ROUNDUP((T3600+U3600+2*'Read Me'!$B$13)*(1+'Read Me'!$B$12),-1)</f>
        <v/>
      </c>
      <c r="W3600" s="16">
        <f>V3600*N3600*O3600</f>
        <v/>
      </c>
      <c r="X3600" s="12">
        <f>IF(LEFT(I3600,2)="MV",2*N3600*IF(L3600="1/C",O3600,1),0)</f>
        <v/>
      </c>
      <c r="Y3600" s="12">
        <f>IF(OR(LEFT(K3600,4)="LVAX",LEFT(K3600,6)="MV15AX",LEFT(K3600,4)="CTAX",LEFT(K3600,2)="W|"),2*N3600*O3600,0)</f>
        <v/>
      </c>
      <c r="Z3600" s="12" t="inlineStr">
        <is>
          <t>fixture-to-fixture run included</t>
        </is>
      </c>
      <c r="AA3600" s="12">
        <f>N3600*O3600</f>
        <v/>
      </c>
    </row>
    <row r="3601">
      <c r="A3601" s="12" t="inlineStr">
        <is>
          <t>G-P-0186</t>
        </is>
      </c>
      <c r="B3601" s="12" t="inlineStr">
        <is>
          <t>G</t>
        </is>
      </c>
      <c r="C3601" s="12" t="inlineStr">
        <is>
          <t>Carbon capture</t>
        </is>
      </c>
      <c r="D3601" s="12" t="inlineStr">
        <is>
          <t>Motor 1 of 2, 15 kW</t>
        </is>
      </c>
      <c r="E3601" s="12" t="inlineStr"/>
      <c r="F3601" s="12" t="inlineStr">
        <is>
          <t>CCS MV switchgear building (VFDs)</t>
        </is>
      </c>
      <c r="G3601" s="12" t="inlineStr">
        <is>
          <t>DMP-A</t>
        </is>
      </c>
      <c r="H3601" s="12" t="inlineStr">
        <is>
          <t>DMP-A: diverter / bypass damper</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15</v>
      </c>
      <c r="R3601" s="12" t="n">
        <v>21.2</v>
      </c>
      <c r="S3601" s="12" t="inlineStr">
        <is>
          <t>Duct bank</t>
        </is>
      </c>
      <c r="T3601" s="16" t="n">
        <v>1436</v>
      </c>
      <c r="U3601" s="16" t="n">
        <v>124</v>
      </c>
      <c r="V3601" s="16">
        <f>ROUNDUP((T3601+U3601+2*'Read Me'!$B$13)*(1+'Read Me'!$B$12),-1)</f>
        <v/>
      </c>
      <c r="W3601" s="16">
        <f>V3601*N3601*O3601</f>
        <v/>
      </c>
      <c r="X3601" s="12">
        <f>IF(LEFT(I3601,2)="MV",2*N3601*IF(L3601="1/C",O3601,1),0)</f>
        <v/>
      </c>
      <c r="Y3601" s="12">
        <f>IF(OR(LEFT(K3601,4)="LVAX",LEFT(K3601,6)="MV15AX",LEFT(K3601,4)="CTAX",LEFT(K3601,2)="W|"),2*N3601*O3601,0)</f>
        <v/>
      </c>
      <c r="Z3601" s="12" t="inlineStr">
        <is>
          <t>VD 2.5 %</t>
        </is>
      </c>
      <c r="AA3601" s="12">
        <f>N3601*O3601</f>
        <v/>
      </c>
    </row>
    <row r="3602">
      <c r="A3602" s="12" t="inlineStr">
        <is>
          <t>G-P-0187</t>
        </is>
      </c>
      <c r="B3602" s="12" t="inlineStr">
        <is>
          <t>G</t>
        </is>
      </c>
      <c r="C3602" s="12" t="inlineStr">
        <is>
          <t>Carbon capture</t>
        </is>
      </c>
      <c r="D3602" s="12" t="inlineStr">
        <is>
          <t>Motor 2 of 2, 15 kW</t>
        </is>
      </c>
      <c r="E3602" s="12" t="inlineStr"/>
      <c r="F3602" s="12" t="inlineStr">
        <is>
          <t>CCS MV switchgear building (VFDs)</t>
        </is>
      </c>
      <c r="G3602" s="12" t="inlineStr">
        <is>
          <t>DMP-A</t>
        </is>
      </c>
      <c r="H3602" s="12" t="inlineStr">
        <is>
          <t>DMP-A: diverter / bypass damper</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15</v>
      </c>
      <c r="R3602" s="12" t="n">
        <v>21.2</v>
      </c>
      <c r="S3602" s="12" t="inlineStr">
        <is>
          <t>Duct bank</t>
        </is>
      </c>
      <c r="T3602" s="16" t="n">
        <v>1436</v>
      </c>
      <c r="U3602" s="16" t="n">
        <v>124</v>
      </c>
      <c r="V3602" s="16">
        <f>ROUNDUP((T3602+U3602+2*'Read Me'!$B$13)*(1+'Read Me'!$B$12),-1)</f>
        <v/>
      </c>
      <c r="W3602" s="16">
        <f>V3602*N3602*O3602</f>
        <v/>
      </c>
      <c r="X3602" s="12">
        <f>IF(LEFT(I3602,2)="MV",2*N3602*IF(L3602="1/C",O3602,1),0)</f>
        <v/>
      </c>
      <c r="Y3602" s="12">
        <f>IF(OR(LEFT(K3602,4)="LVAX",LEFT(K3602,6)="MV15AX",LEFT(K3602,4)="CTAX",LEFT(K3602,2)="W|"),2*N3602*O3602,0)</f>
        <v/>
      </c>
      <c r="Z3602" s="12" t="inlineStr">
        <is>
          <t>VD 2.5 %</t>
        </is>
      </c>
      <c r="AA3602" s="12">
        <f>N3602*O3602</f>
        <v/>
      </c>
    </row>
    <row r="3603">
      <c r="A3603" s="12" t="inlineStr">
        <is>
          <t>G-P-0188</t>
        </is>
      </c>
      <c r="B3603" s="12" t="inlineStr">
        <is>
          <t>G</t>
        </is>
      </c>
      <c r="C3603" s="12" t="inlineStr">
        <is>
          <t>Carbon capture</t>
        </is>
      </c>
      <c r="D3603" s="12" t="inlineStr">
        <is>
          <t>Motor 1 of 2, 15 kW</t>
        </is>
      </c>
      <c r="E3603" s="12" t="inlineStr"/>
      <c r="F3603" s="12" t="inlineStr">
        <is>
          <t>CCS MV switchgear building (VFDs)</t>
        </is>
      </c>
      <c r="G3603" s="12" t="inlineStr">
        <is>
          <t>DMP-B</t>
        </is>
      </c>
      <c r="H3603" s="12" t="inlineStr">
        <is>
          <t>DMP-B: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1280</v>
      </c>
      <c r="U3603" s="16" t="n">
        <v>120</v>
      </c>
      <c r="V3603" s="16">
        <f>ROUNDUP((T3603+U3603+2*'Read Me'!$B$13)*(1+'Read Me'!$B$12),-1)</f>
        <v/>
      </c>
      <c r="W3603" s="16">
        <f>V3603*N3603*O3603</f>
        <v/>
      </c>
      <c r="X3603" s="12">
        <f>IF(LEFT(I3603,2)="MV",2*N3603*IF(L3603="1/C",O3603,1),0)</f>
        <v/>
      </c>
      <c r="Y3603" s="12">
        <f>IF(OR(LEFT(K3603,4)="LVAX",LEFT(K3603,6)="MV15AX",LEFT(K3603,4)="CTAX",LEFT(K3603,2)="W|"),2*N3603*O3603,0)</f>
        <v/>
      </c>
      <c r="Z3603" s="12" t="inlineStr">
        <is>
          <t>VD 2.3 %</t>
        </is>
      </c>
      <c r="AA3603" s="12">
        <f>N3603*O3603</f>
        <v/>
      </c>
    </row>
    <row r="3604">
      <c r="A3604" s="12" t="inlineStr">
        <is>
          <t>G-P-0189</t>
        </is>
      </c>
      <c r="B3604" s="12" t="inlineStr">
        <is>
          <t>G</t>
        </is>
      </c>
      <c r="C3604" s="12" t="inlineStr">
        <is>
          <t>Carbon capture</t>
        </is>
      </c>
      <c r="D3604" s="12" t="inlineStr">
        <is>
          <t>Motor 2 of 2, 15 kW</t>
        </is>
      </c>
      <c r="E3604" s="12" t="inlineStr"/>
      <c r="F3604" s="12" t="inlineStr">
        <is>
          <t>CCS MV switchgear building (VFDs)</t>
        </is>
      </c>
      <c r="G3604" s="12" t="inlineStr">
        <is>
          <t>DMP-B</t>
        </is>
      </c>
      <c r="H3604" s="12" t="inlineStr">
        <is>
          <t>DMP-B: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1280</v>
      </c>
      <c r="U3604" s="16" t="n">
        <v>120</v>
      </c>
      <c r="V3604" s="16">
        <f>ROUNDUP((T3604+U3604+2*'Read Me'!$B$13)*(1+'Read Me'!$B$12),-1)</f>
        <v/>
      </c>
      <c r="W3604" s="16">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G-P-0190</t>
        </is>
      </c>
      <c r="B3605" s="12" t="inlineStr">
        <is>
          <t>G</t>
        </is>
      </c>
      <c r="C3605" s="12" t="inlineStr">
        <is>
          <t>Carbon capture</t>
        </is>
      </c>
      <c r="D3605" s="12" t="inlineStr">
        <is>
          <t>Motor 1 of 2, 15 kW</t>
        </is>
      </c>
      <c r="E3605" s="12" t="inlineStr"/>
      <c r="F3605" s="12" t="inlineStr">
        <is>
          <t>CCS MV switchgear building (VFDs)</t>
        </is>
      </c>
      <c r="G3605" s="12" t="inlineStr">
        <is>
          <t>DMP-C</t>
        </is>
      </c>
      <c r="H3605" s="12" t="inlineStr">
        <is>
          <t>DMP-C: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1116</v>
      </c>
      <c r="U3605" s="16" t="n">
        <v>124</v>
      </c>
      <c r="V3605" s="16">
        <f>ROUNDUP((T3605+U3605+2*'Read Me'!$B$13)*(1+'Read Me'!$B$12),-1)</f>
        <v/>
      </c>
      <c r="W3605" s="16">
        <f>V3605*N3605*O3605</f>
        <v/>
      </c>
      <c r="X3605" s="12">
        <f>IF(LEFT(I3605,2)="MV",2*N3605*IF(L3605="1/C",O3605,1),0)</f>
        <v/>
      </c>
      <c r="Y3605" s="12">
        <f>IF(OR(LEFT(K3605,4)="LVAX",LEFT(K3605,6)="MV15AX",LEFT(K3605,4)="CTAX",LEFT(K3605,2)="W|"),2*N3605*O3605,0)</f>
        <v/>
      </c>
      <c r="Z3605" s="12" t="inlineStr">
        <is>
          <t>VD 2.0 %</t>
        </is>
      </c>
      <c r="AA3605" s="12">
        <f>N3605*O3605</f>
        <v/>
      </c>
    </row>
    <row r="3606">
      <c r="A3606" s="12" t="inlineStr">
        <is>
          <t>G-P-0191</t>
        </is>
      </c>
      <c r="B3606" s="12" t="inlineStr">
        <is>
          <t>G</t>
        </is>
      </c>
      <c r="C3606" s="12" t="inlineStr">
        <is>
          <t>Carbon capture</t>
        </is>
      </c>
      <c r="D3606" s="12" t="inlineStr">
        <is>
          <t>Motor 2 of 2, 15 kW</t>
        </is>
      </c>
      <c r="E3606" s="12" t="inlineStr"/>
      <c r="F3606" s="12" t="inlineStr">
        <is>
          <t>CCS MV switchgear building (VFDs)</t>
        </is>
      </c>
      <c r="G3606" s="12" t="inlineStr">
        <is>
          <t>DMP-C</t>
        </is>
      </c>
      <c r="H3606" s="12" t="inlineStr">
        <is>
          <t>DMP-C: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1116</v>
      </c>
      <c r="U3606" s="16" t="n">
        <v>124</v>
      </c>
      <c r="V3606" s="16">
        <f>ROUNDUP((T3606+U3606+2*'Read Me'!$B$13)*(1+'Read Me'!$B$12),-1)</f>
        <v/>
      </c>
      <c r="W3606" s="16">
        <f>V3606*N3606*O3606</f>
        <v/>
      </c>
      <c r="X3606" s="12">
        <f>IF(LEFT(I3606,2)="MV",2*N3606*IF(L3606="1/C",O3606,1),0)</f>
        <v/>
      </c>
      <c r="Y3606" s="12">
        <f>IF(OR(LEFT(K3606,4)="LVAX",LEFT(K3606,6)="MV15AX",LEFT(K3606,4)="CTAX",LEFT(K3606,2)="W|"),2*N3606*O3606,0)</f>
        <v/>
      </c>
      <c r="Z3606" s="12" t="inlineStr">
        <is>
          <t>VD 2.0 %</t>
        </is>
      </c>
      <c r="AA3606" s="12">
        <f>N3606*O3606</f>
        <v/>
      </c>
    </row>
    <row r="3607">
      <c r="A3607" s="12" t="inlineStr">
        <is>
          <t>G-P-0192</t>
        </is>
      </c>
      <c r="B3607" s="12" t="inlineStr">
        <is>
          <t>G</t>
        </is>
      </c>
      <c r="C3607" s="12" t="inlineStr">
        <is>
          <t>Carbon capture</t>
        </is>
      </c>
      <c r="D3607" s="12" t="inlineStr">
        <is>
          <t>MOV 1: power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Duct bank</t>
        </is>
      </c>
      <c r="T3607" s="16" t="n">
        <v>50</v>
      </c>
      <c r="U3607" s="16" t="n">
        <v>37</v>
      </c>
      <c r="V3607" s="16">
        <f>ROUNDUP((T3607+U3607+2*'Read Me'!$B$13)*(1+'Read Me'!$B$12),-1)</f>
        <v/>
      </c>
      <c r="W3607" s="16">
        <f>V3607*N3607*O3607</f>
        <v/>
      </c>
      <c r="X3607" s="12">
        <f>IF(LEFT(I3607,2)="MV",2*N3607*IF(L3607="1/C",O3607,1),0)</f>
        <v/>
      </c>
      <c r="Y3607" s="12">
        <f>IF(OR(LEFT(K3607,4)="LVAX",LEFT(K3607,6)="MV15AX",LEFT(K3607,4)="CTAX",LEFT(K3607,2)="W|"),2*N3607*O3607,0)</f>
        <v/>
      </c>
      <c r="Z3607" s="12" t="inlineStr">
        <is>
          <t>VD 0.1 %</t>
        </is>
      </c>
      <c r="AA3607" s="12">
        <f>N3607*O3607</f>
        <v/>
      </c>
    </row>
    <row r="3608">
      <c r="A3608" s="12" t="inlineStr">
        <is>
          <t>G-P-0193</t>
        </is>
      </c>
      <c r="B3608" s="12" t="inlineStr">
        <is>
          <t>G</t>
        </is>
      </c>
      <c r="C3608" s="12" t="inlineStr">
        <is>
          <t>Carbon capture</t>
        </is>
      </c>
      <c r="D3608" s="12" t="inlineStr">
        <is>
          <t>MOV 2: power</t>
        </is>
      </c>
      <c r="E3608" s="12" t="inlineStr"/>
      <c r="F3608" s="12" t="inlineStr">
        <is>
          <t>CCS MV switchgear building (VFDs)</t>
        </is>
      </c>
      <c r="G3608" s="12" t="inlineStr"/>
      <c r="H3608" s="12" t="inlineStr">
        <is>
          <t>RB-A: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Duct bank</t>
        </is>
      </c>
      <c r="T3608" s="16" t="n">
        <v>50</v>
      </c>
      <c r="U3608" s="16" t="n">
        <v>37</v>
      </c>
      <c r="V3608" s="16">
        <f>ROUNDUP((T3608+U3608+2*'Read Me'!$B$13)*(1+'Read Me'!$B$12),-1)</f>
        <v/>
      </c>
      <c r="W3608" s="16">
        <f>V3608*N3608*O3608</f>
        <v/>
      </c>
      <c r="X3608" s="12">
        <f>IF(LEFT(I3608,2)="MV",2*N3608*IF(L3608="1/C",O3608,1),0)</f>
        <v/>
      </c>
      <c r="Y3608" s="12">
        <f>IF(OR(LEFT(K3608,4)="LVAX",LEFT(K3608,6)="MV15AX",LEFT(K3608,4)="CTAX",LEFT(K3608,2)="W|"),2*N3608*O3608,0)</f>
        <v/>
      </c>
      <c r="Z3608" s="12" t="inlineStr">
        <is>
          <t>VD 0.1 %</t>
        </is>
      </c>
      <c r="AA3608" s="12">
        <f>N3608*O3608</f>
        <v/>
      </c>
    </row>
    <row r="3609">
      <c r="A3609" s="12" t="inlineStr">
        <is>
          <t>G-P-0194</t>
        </is>
      </c>
      <c r="B3609" s="12" t="inlineStr">
        <is>
          <t>G</t>
        </is>
      </c>
      <c r="C3609" s="12" t="inlineStr">
        <is>
          <t>Carbon capture</t>
        </is>
      </c>
      <c r="D3609" s="12" t="inlineStr">
        <is>
          <t>MOV 3: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G-P-0195</t>
        </is>
      </c>
      <c r="B3610" s="12" t="inlineStr">
        <is>
          <t>G</t>
        </is>
      </c>
      <c r="C3610" s="12" t="inlineStr">
        <is>
          <t>Carbon capture</t>
        </is>
      </c>
      <c r="D3610" s="12" t="inlineStr">
        <is>
          <t>MOV 4: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G-P-0196</t>
        </is>
      </c>
      <c r="B3611" s="12" t="inlineStr">
        <is>
          <t>G</t>
        </is>
      </c>
      <c r="C3611" s="12" t="inlineStr">
        <is>
          <t>Carbon capture</t>
        </is>
      </c>
      <c r="D3611" s="12" t="inlineStr">
        <is>
          <t>LV power feeder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10</v>
      </c>
      <c r="R3611" s="12" t="n">
        <v>14.2</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G-P-0197</t>
        </is>
      </c>
      <c r="B3612" s="12" t="inlineStr">
        <is>
          <t>G</t>
        </is>
      </c>
      <c r="C3612" s="12" t="inlineStr">
        <is>
          <t>Carbon capture</t>
        </is>
      </c>
      <c r="D3612" s="12" t="inlineStr">
        <is>
          <t>MOV 1: power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83</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G-P-0198</t>
        </is>
      </c>
      <c r="B3613" s="12" t="inlineStr">
        <is>
          <t>G</t>
        </is>
      </c>
      <c r="C3613" s="12" t="inlineStr">
        <is>
          <t>Carbon capture</t>
        </is>
      </c>
      <c r="D3613" s="12" t="inlineStr">
        <is>
          <t>MOV 2: power</t>
        </is>
      </c>
      <c r="E3613" s="12" t="inlineStr"/>
      <c r="F3613" s="12" t="inlineStr">
        <is>
          <t>CCS MV switchgear building (VFDs)</t>
        </is>
      </c>
      <c r="G3613" s="12" t="inlineStr"/>
      <c r="H3613" s="12" t="inlineStr">
        <is>
          <t>RB-B: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6" t="n">
        <v>83</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G-P-0199</t>
        </is>
      </c>
      <c r="B3614" s="12" t="inlineStr">
        <is>
          <t>G</t>
        </is>
      </c>
      <c r="C3614" s="12" t="inlineStr">
        <is>
          <t>Carbon capture</t>
        </is>
      </c>
      <c r="D3614" s="12" t="inlineStr">
        <is>
          <t>MOV 3: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G-P-0200</t>
        </is>
      </c>
      <c r="B3615" s="12" t="inlineStr">
        <is>
          <t>G</t>
        </is>
      </c>
      <c r="C3615" s="12" t="inlineStr">
        <is>
          <t>Carbon capture</t>
        </is>
      </c>
      <c r="D3615" s="12" t="inlineStr">
        <is>
          <t>MOV 4: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G-P-0201</t>
        </is>
      </c>
      <c r="B3616" s="12" t="inlineStr">
        <is>
          <t>G</t>
        </is>
      </c>
      <c r="C3616" s="12" t="inlineStr">
        <is>
          <t>Carbon capture</t>
        </is>
      </c>
      <c r="D3616" s="12" t="inlineStr">
        <is>
          <t>LV power feeder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10</v>
      </c>
      <c r="R3616" s="12" t="n">
        <v>14.2</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G-P-0202</t>
        </is>
      </c>
      <c r="B3617" s="12" t="inlineStr">
        <is>
          <t>G</t>
        </is>
      </c>
      <c r="C3617" s="12" t="inlineStr">
        <is>
          <t>Carbon capture</t>
        </is>
      </c>
      <c r="D3617" s="12" t="inlineStr">
        <is>
          <t>MOV 1: power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45</v>
      </c>
      <c r="U3617" s="16" t="n">
        <v>47</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G-P-0203</t>
        </is>
      </c>
      <c r="B3618" s="12" t="inlineStr">
        <is>
          <t>G</t>
        </is>
      </c>
      <c r="C3618" s="12" t="inlineStr">
        <is>
          <t>Carbon capture</t>
        </is>
      </c>
      <c r="D3618" s="12" t="inlineStr">
        <is>
          <t>MOV 2: power</t>
        </is>
      </c>
      <c r="E3618" s="12" t="inlineStr"/>
      <c r="F3618" s="12" t="inlineStr">
        <is>
          <t>CCS MV switchgear building (VFDs)</t>
        </is>
      </c>
      <c r="G3618" s="12" t="inlineStr"/>
      <c r="H3618" s="12" t="inlineStr">
        <is>
          <t>RB-C: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6" t="n">
        <v>45</v>
      </c>
      <c r="U3618" s="16" t="n">
        <v>47</v>
      </c>
      <c r="V3618" s="16">
        <f>ROUNDUP((T3618+U3618+2*'Read Me'!$B$13)*(1+'Read Me'!$B$12),-1)</f>
        <v/>
      </c>
      <c r="W3618" s="16">
        <f>V3618*N3618*O3618</f>
        <v/>
      </c>
      <c r="X3618" s="12">
        <f>IF(LEFT(I3618,2)="MV",2*N3618*IF(L3618="1/C",O3618,1),0)</f>
        <v/>
      </c>
      <c r="Y3618" s="12">
        <f>IF(OR(LEFT(K3618,4)="LVAX",LEFT(K3618,6)="MV15AX",LEFT(K3618,4)="CTAX",LEFT(K3618,2)="W|"),2*N3618*O3618,0)</f>
        <v/>
      </c>
      <c r="Z3618" s="12" t="inlineStr">
        <is>
          <t>VD 0.2 %</t>
        </is>
      </c>
      <c r="AA3618" s="12">
        <f>N3618*O3618</f>
        <v/>
      </c>
    </row>
    <row r="3619">
      <c r="A3619" s="12" t="inlineStr">
        <is>
          <t>G-P-0204</t>
        </is>
      </c>
      <c r="B3619" s="12" t="inlineStr">
        <is>
          <t>G</t>
        </is>
      </c>
      <c r="C3619" s="12" t="inlineStr">
        <is>
          <t>Carbon capture</t>
        </is>
      </c>
      <c r="D3619" s="12" t="inlineStr">
        <is>
          <t>MOV 3: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G-P-0205</t>
        </is>
      </c>
      <c r="B3620" s="12" t="inlineStr">
        <is>
          <t>G</t>
        </is>
      </c>
      <c r="C3620" s="12" t="inlineStr">
        <is>
          <t>Carbon capture</t>
        </is>
      </c>
      <c r="D3620" s="12" t="inlineStr">
        <is>
          <t>MOV 4: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G-P-0206</t>
        </is>
      </c>
      <c r="B3621" s="12" t="inlineStr">
        <is>
          <t>G</t>
        </is>
      </c>
      <c r="C3621" s="12" t="inlineStr">
        <is>
          <t>Carbon capture</t>
        </is>
      </c>
      <c r="D3621" s="12" t="inlineStr">
        <is>
          <t>LV power feeder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10</v>
      </c>
      <c r="R3621" s="12" t="n">
        <v>14.2</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G-P-0207</t>
        </is>
      </c>
      <c r="B3622" s="12" t="inlineStr">
        <is>
          <t>G</t>
        </is>
      </c>
      <c r="C3622" s="12" t="inlineStr">
        <is>
          <t>Carbon capture</t>
        </is>
      </c>
      <c r="D3622" s="12" t="inlineStr">
        <is>
          <t>Motor 1 of 2, 15 kW</t>
        </is>
      </c>
      <c r="E3622" s="12" t="inlineStr"/>
      <c r="F3622" s="12" t="inlineStr">
        <is>
          <t>CCS MV switchgear building (VFDs)</t>
        </is>
      </c>
      <c r="G3622" s="12" t="inlineStr"/>
      <c r="H3622" s="12" t="inlineStr">
        <is>
          <t>Reclaimer (thermal, intermittent)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45</v>
      </c>
      <c r="U3622" s="16" t="n">
        <v>57</v>
      </c>
      <c r="V3622" s="16">
        <f>ROUNDUP((T3622+U3622+2*'Read Me'!$B$13)*(1+'Read Me'!$B$12),-1)</f>
        <v/>
      </c>
      <c r="W3622" s="16">
        <f>V3622*N3622*O3622</f>
        <v/>
      </c>
      <c r="X3622" s="12">
        <f>IF(LEFT(I3622,2)="MV",2*N3622*IF(L3622="1/C",O3622,1),0)</f>
        <v/>
      </c>
      <c r="Y3622" s="12">
        <f>IF(OR(LEFT(K3622,4)="LVAX",LEFT(K3622,6)="MV15AX",LEFT(K3622,4)="CTAX",LEFT(K3622,2)="W|"),2*N3622*O3622,0)</f>
        <v/>
      </c>
      <c r="Z3622" s="12" t="inlineStr">
        <is>
          <t>VD 1.0 %</t>
        </is>
      </c>
      <c r="AA3622" s="12">
        <f>N3622*O3622</f>
        <v/>
      </c>
    </row>
    <row r="3623">
      <c r="A3623" s="12" t="inlineStr">
        <is>
          <t>G-P-0208</t>
        </is>
      </c>
      <c r="B3623" s="12" t="inlineStr">
        <is>
          <t>G</t>
        </is>
      </c>
      <c r="C3623" s="12" t="inlineStr">
        <is>
          <t>Carbon capture</t>
        </is>
      </c>
      <c r="D3623" s="12" t="inlineStr">
        <is>
          <t>Motor 2 of 2, 15 kW</t>
        </is>
      </c>
      <c r="E3623" s="12" t="inlineStr"/>
      <c r="F3623" s="12" t="inlineStr">
        <is>
          <t>CCS MV switchgear building (VFDs)</t>
        </is>
      </c>
      <c r="G3623" s="12" t="inlineStr"/>
      <c r="H3623" s="12" t="inlineStr">
        <is>
          <t>Reclaimer (thermal, intermittent)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45</v>
      </c>
      <c r="U3623" s="16" t="n">
        <v>57</v>
      </c>
      <c r="V3623" s="16">
        <f>ROUNDUP((T3623+U3623+2*'Read Me'!$B$13)*(1+'Read Me'!$B$12),-1)</f>
        <v/>
      </c>
      <c r="W3623" s="16">
        <f>V3623*N3623*O3623</f>
        <v/>
      </c>
      <c r="X3623" s="12">
        <f>IF(LEFT(I3623,2)="MV",2*N3623*IF(L3623="1/C",O3623,1),0)</f>
        <v/>
      </c>
      <c r="Y3623" s="12">
        <f>IF(OR(LEFT(K3623,4)="LVAX",LEFT(K3623,6)="MV15AX",LEFT(K3623,4)="CTAX",LEFT(K3623,2)="W|"),2*N3623*O3623,0)</f>
        <v/>
      </c>
      <c r="Z3623" s="12" t="inlineStr">
        <is>
          <t>VD 1.0 %</t>
        </is>
      </c>
      <c r="AA3623" s="12">
        <f>N3623*O3623</f>
        <v/>
      </c>
    </row>
    <row r="3624">
      <c r="A3624" s="12" t="inlineStr">
        <is>
          <t>G-P-0209</t>
        </is>
      </c>
      <c r="B3624" s="12" t="inlineStr">
        <is>
          <t>G</t>
        </is>
      </c>
      <c r="C3624" s="12" t="inlineStr">
        <is>
          <t>Carbon capture</t>
        </is>
      </c>
      <c r="D3624" s="12" t="inlineStr">
        <is>
          <t>MOV 1: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6" t="n">
        <v>146</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G-P-0210</t>
        </is>
      </c>
      <c r="B3625" s="12" t="inlineStr">
        <is>
          <t>G</t>
        </is>
      </c>
      <c r="C3625" s="12" t="inlineStr">
        <is>
          <t>Carbon capture</t>
        </is>
      </c>
      <c r="D3625" s="12" t="inlineStr">
        <is>
          <t>MOV 2: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6" t="n">
        <v>146</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G-P-0211</t>
        </is>
      </c>
      <c r="B3626" s="12" t="inlineStr">
        <is>
          <t>G</t>
        </is>
      </c>
      <c r="C3626" s="12" t="inlineStr">
        <is>
          <t>Carbon capture</t>
        </is>
      </c>
      <c r="D3626" s="12" t="inlineStr">
        <is>
          <t>MOV 3: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G-P-0212</t>
        </is>
      </c>
      <c r="B3627" s="12" t="inlineStr">
        <is>
          <t>G</t>
        </is>
      </c>
      <c r="C3627" s="12" t="inlineStr">
        <is>
          <t>Carbon capture</t>
        </is>
      </c>
      <c r="D3627" s="12" t="inlineStr">
        <is>
          <t>MOV 4: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G-P-0213</t>
        </is>
      </c>
      <c r="B3628" s="12" t="inlineStr">
        <is>
          <t>G</t>
        </is>
      </c>
      <c r="C3628" s="12" t="inlineStr">
        <is>
          <t>Carbon capture</t>
        </is>
      </c>
      <c r="D3628" s="12" t="inlineStr">
        <is>
          <t>MOV 5: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G-P-0214</t>
        </is>
      </c>
      <c r="B3629" s="12" t="inlineStr">
        <is>
          <t>G</t>
        </is>
      </c>
      <c r="C3629" s="12" t="inlineStr">
        <is>
          <t>Carbon capture</t>
        </is>
      </c>
      <c r="D3629" s="12" t="inlineStr">
        <is>
          <t>MOV 6: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G-P-0215</t>
        </is>
      </c>
      <c r="B3630" s="12" t="inlineStr">
        <is>
          <t>G</t>
        </is>
      </c>
      <c r="C3630" s="12" t="inlineStr">
        <is>
          <t>Carbon capture</t>
        </is>
      </c>
      <c r="D3630" s="12" t="inlineStr">
        <is>
          <t>LV power feeder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1.5 %</t>
        </is>
      </c>
      <c r="AA3630" s="12">
        <f>N3630*O3630</f>
        <v/>
      </c>
    </row>
    <row r="3631">
      <c r="A3631" s="12" t="inlineStr">
        <is>
          <t>G-P-0216</t>
        </is>
      </c>
      <c r="B3631" s="12" t="inlineStr">
        <is>
          <t>G</t>
        </is>
      </c>
      <c r="C3631" s="12" t="inlineStr">
        <is>
          <t>Carbon capture</t>
        </is>
      </c>
      <c r="D3631" s="12" t="inlineStr">
        <is>
          <t>Area / platform lighting circuit 1 (12 fixtures)</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6" t="n">
        <v>446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G-P-0217</t>
        </is>
      </c>
      <c r="B3632" s="12" t="inlineStr">
        <is>
          <t>G</t>
        </is>
      </c>
      <c r="C3632" s="12" t="inlineStr">
        <is>
          <t>Carbon capture</t>
        </is>
      </c>
      <c r="D3632" s="12" t="inlineStr">
        <is>
          <t>Area / platform lighting circuit 2 (8 fixtures)</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3</v>
      </c>
      <c r="R3632" s="12" t="n">
        <v>5</v>
      </c>
      <c r="S3632" s="12" t="inlineStr">
        <is>
          <t>Duct bank</t>
        </is>
      </c>
      <c r="T3632" s="16" t="n">
        <v>446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fixture-to-fixture run included</t>
        </is>
      </c>
      <c r="AA3632" s="12">
        <f>N3632*O3632</f>
        <v/>
      </c>
    </row>
    <row r="3633">
      <c r="A3633" s="12" t="inlineStr">
        <is>
          <t>G-P-0218</t>
        </is>
      </c>
      <c r="B3633" s="12" t="inlineStr">
        <is>
          <t>G</t>
        </is>
      </c>
      <c r="C3633" s="12" t="inlineStr">
        <is>
          <t>Carbon capture</t>
        </is>
      </c>
      <c r="D3633" s="12" t="inlineStr">
        <is>
          <t>480 V welding receptacle 1</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6" t="n">
        <v>146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1.1 %</t>
        </is>
      </c>
      <c r="AA3633" s="12">
        <f>N3633*O3633</f>
        <v/>
      </c>
    </row>
    <row r="3634">
      <c r="A3634" s="12" t="inlineStr">
        <is>
          <t>G-P-0219</t>
        </is>
      </c>
      <c r="B3634" s="12" t="inlineStr">
        <is>
          <t>G</t>
        </is>
      </c>
      <c r="C3634" s="12" t="inlineStr">
        <is>
          <t>Carbon capture</t>
        </is>
      </c>
      <c r="D3634" s="12" t="inlineStr">
        <is>
          <t>480 V welding receptacle 2</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146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1.1 %</t>
        </is>
      </c>
      <c r="AA3634" s="12">
        <f>N3634*O3634</f>
        <v/>
      </c>
    </row>
    <row r="3635">
      <c r="A3635" s="12" t="inlineStr">
        <is>
          <t>G-P-0220</t>
        </is>
      </c>
      <c r="B3635" s="12" t="inlineStr">
        <is>
          <t>G</t>
        </is>
      </c>
      <c r="C3635" s="12" t="inlineStr">
        <is>
          <t>Carbon capture</t>
        </is>
      </c>
      <c r="D3635" s="12" t="inlineStr">
        <is>
          <t>480 V welding receptacle 3</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G-P-0221</t>
        </is>
      </c>
      <c r="B3636" s="12" t="inlineStr">
        <is>
          <t>G</t>
        </is>
      </c>
      <c r="C3636" s="12" t="inlineStr">
        <is>
          <t>Carbon capture</t>
        </is>
      </c>
      <c r="D3636" s="12" t="inlineStr">
        <is>
          <t>480 V welding receptacle 4</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G-P-0222</t>
        </is>
      </c>
      <c r="B3637" s="12" t="inlineStr">
        <is>
          <t>G</t>
        </is>
      </c>
      <c r="C3637" s="12" t="inlineStr">
        <is>
          <t>Carbon capture</t>
        </is>
      </c>
      <c r="D3637" s="12" t="inlineStr">
        <is>
          <t>MOV 1: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G-P-0223</t>
        </is>
      </c>
      <c r="B3638" s="12" t="inlineStr">
        <is>
          <t>G</t>
        </is>
      </c>
      <c r="C3638" s="12" t="inlineStr">
        <is>
          <t>Carbon capture</t>
        </is>
      </c>
      <c r="D3638" s="12" t="inlineStr">
        <is>
          <t>MOV 2: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G-P-0224</t>
        </is>
      </c>
      <c r="B3639" s="12" t="inlineStr">
        <is>
          <t>G</t>
        </is>
      </c>
      <c r="C3639" s="12" t="inlineStr">
        <is>
          <t>Carbon capture</t>
        </is>
      </c>
      <c r="D3639" s="12" t="inlineStr">
        <is>
          <t>MOV 3: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G-P-0225</t>
        </is>
      </c>
      <c r="B3640" s="12" t="inlineStr">
        <is>
          <t>G</t>
        </is>
      </c>
      <c r="C3640" s="12" t="inlineStr">
        <is>
          <t>Carbon capture</t>
        </is>
      </c>
      <c r="D3640" s="12" t="inlineStr">
        <is>
          <t>MOV 4: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G-P-0226</t>
        </is>
      </c>
      <c r="B3641" s="12" t="inlineStr">
        <is>
          <t>G</t>
        </is>
      </c>
      <c r="C3641" s="12" t="inlineStr">
        <is>
          <t>Carbon capture</t>
        </is>
      </c>
      <c r="D3641" s="12" t="inlineStr">
        <is>
          <t>MOV 5: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G-P-0227</t>
        </is>
      </c>
      <c r="B3642" s="12" t="inlineStr">
        <is>
          <t>G</t>
        </is>
      </c>
      <c r="C3642" s="12" t="inlineStr">
        <is>
          <t>Carbon capture</t>
        </is>
      </c>
      <c r="D3642" s="12" t="inlineStr">
        <is>
          <t>MOV 6: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G-P-0228</t>
        </is>
      </c>
      <c r="B3643" s="12" t="inlineStr">
        <is>
          <t>G</t>
        </is>
      </c>
      <c r="C3643" s="12" t="inlineStr">
        <is>
          <t>Carbon capture</t>
        </is>
      </c>
      <c r="D3643" s="12" t="inlineStr">
        <is>
          <t>LV power feeder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LV|3/C+G|6</t>
        </is>
      </c>
      <c r="L3643" s="12" t="inlineStr">
        <is>
          <t>3/C+G</t>
        </is>
      </c>
      <c r="M3643" s="12" t="inlineStr">
        <is>
          <t>6</t>
        </is>
      </c>
      <c r="N3643" s="12" t="n">
        <v>1</v>
      </c>
      <c r="O3643" s="12" t="n">
        <v>1</v>
      </c>
      <c r="P3643" s="12" t="n">
        <v>480</v>
      </c>
      <c r="Q3643" s="12" t="n">
        <v>30</v>
      </c>
      <c r="R3643" s="12" t="n">
        <v>42.5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1.5 %</t>
        </is>
      </c>
      <c r="AA3643" s="12">
        <f>N3643*O3643</f>
        <v/>
      </c>
    </row>
    <row r="3644">
      <c r="A3644" s="12" t="inlineStr">
        <is>
          <t>G-P-0229</t>
        </is>
      </c>
      <c r="B3644" s="12" t="inlineStr">
        <is>
          <t>G</t>
        </is>
      </c>
      <c r="C3644" s="12" t="inlineStr">
        <is>
          <t>Carbon capture</t>
        </is>
      </c>
      <c r="D3644" s="12" t="inlineStr">
        <is>
          <t>Area / platform lighting circuit 1 (12 fixtures)</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Duct bank</t>
        </is>
      </c>
      <c r="T3644" s="16" t="n">
        <v>446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G-P-0230</t>
        </is>
      </c>
      <c r="B3645" s="12" t="inlineStr">
        <is>
          <t>G</t>
        </is>
      </c>
      <c r="C3645" s="12" t="inlineStr">
        <is>
          <t>Carbon capture</t>
        </is>
      </c>
      <c r="D3645" s="12" t="inlineStr">
        <is>
          <t>Area / platform lighting circuit 2 (8 fixtures)</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Duct bank</t>
        </is>
      </c>
      <c r="T3645" s="16" t="n">
        <v>446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G-P-0231</t>
        </is>
      </c>
      <c r="B3646" s="12" t="inlineStr">
        <is>
          <t>G</t>
        </is>
      </c>
      <c r="C3646" s="12" t="inlineStr">
        <is>
          <t>Carbon capture</t>
        </is>
      </c>
      <c r="D3646" s="12" t="inlineStr">
        <is>
          <t>480 V welding receptacle 1</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LV|3/C+G|2</t>
        </is>
      </c>
      <c r="L3646" s="12" t="inlineStr">
        <is>
          <t>3/C+G</t>
        </is>
      </c>
      <c r="M3646" s="12" t="inlineStr">
        <is>
          <t>2</t>
        </is>
      </c>
      <c r="N3646" s="12" t="n">
        <v>1</v>
      </c>
      <c r="O3646" s="12" t="n">
        <v>1</v>
      </c>
      <c r="P3646" s="12" t="n">
        <v>480</v>
      </c>
      <c r="Q3646" s="12" t="n">
        <v>60</v>
      </c>
      <c r="R3646" s="12" t="n">
        <v>76</v>
      </c>
      <c r="S3646" s="12" t="inlineStr">
        <is>
          <t>Duct bank</t>
        </is>
      </c>
      <c r="T3646" s="16" t="n">
        <v>146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G-P-0232</t>
        </is>
      </c>
      <c r="B3647" s="12" t="inlineStr">
        <is>
          <t>G</t>
        </is>
      </c>
      <c r="C3647" s="12" t="inlineStr">
        <is>
          <t>Carbon capture</t>
        </is>
      </c>
      <c r="D3647" s="12" t="inlineStr">
        <is>
          <t>480 V welding receptacle 2</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LV|3/C+G|2</t>
        </is>
      </c>
      <c r="L3647" s="12" t="inlineStr">
        <is>
          <t>3/C+G</t>
        </is>
      </c>
      <c r="M3647" s="12" t="inlineStr">
        <is>
          <t>2</t>
        </is>
      </c>
      <c r="N3647" s="12" t="n">
        <v>1</v>
      </c>
      <c r="O3647" s="12" t="n">
        <v>1</v>
      </c>
      <c r="P3647" s="12" t="n">
        <v>480</v>
      </c>
      <c r="Q3647" s="12" t="n">
        <v>60</v>
      </c>
      <c r="R3647" s="12" t="n">
        <v>76</v>
      </c>
      <c r="S3647" s="12" t="inlineStr">
        <is>
          <t>Duct bank</t>
        </is>
      </c>
      <c r="T3647" s="16" t="n">
        <v>146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G-P-0233</t>
        </is>
      </c>
      <c r="B3648" s="12" t="inlineStr">
        <is>
          <t>G</t>
        </is>
      </c>
      <c r="C3648" s="12" t="inlineStr">
        <is>
          <t>Carbon capture</t>
        </is>
      </c>
      <c r="D3648" s="12" t="inlineStr">
        <is>
          <t>480 V welding receptacle 3</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G-P-0234</t>
        </is>
      </c>
      <c r="B3649" s="12" t="inlineStr">
        <is>
          <t>G</t>
        </is>
      </c>
      <c r="C3649" s="12" t="inlineStr">
        <is>
          <t>Carbon capture</t>
        </is>
      </c>
      <c r="D3649" s="12" t="inlineStr">
        <is>
          <t>480 V welding receptacle 4</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G-P-0235</t>
        </is>
      </c>
      <c r="B3650" s="12" t="inlineStr">
        <is>
          <t>G</t>
        </is>
      </c>
      <c r="C3650" s="12" t="inlineStr">
        <is>
          <t>Carbon capture</t>
        </is>
      </c>
      <c r="D3650" s="12" t="inlineStr">
        <is>
          <t>MOV 1: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196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G-P-0236</t>
        </is>
      </c>
      <c r="B3651" s="12" t="inlineStr">
        <is>
          <t>G</t>
        </is>
      </c>
      <c r="C3651" s="12" t="inlineStr">
        <is>
          <t>Carbon capture</t>
        </is>
      </c>
      <c r="D3651" s="12" t="inlineStr">
        <is>
          <t>MOV 2: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196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G-P-0237</t>
        </is>
      </c>
      <c r="B3652" s="12" t="inlineStr">
        <is>
          <t>G</t>
        </is>
      </c>
      <c r="C3652" s="12" t="inlineStr">
        <is>
          <t>Carbon capture</t>
        </is>
      </c>
      <c r="D3652" s="12" t="inlineStr">
        <is>
          <t>MOV 3: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G-P-0238</t>
        </is>
      </c>
      <c r="B3653" s="12" t="inlineStr">
        <is>
          <t>G</t>
        </is>
      </c>
      <c r="C3653" s="12" t="inlineStr">
        <is>
          <t>Carbon capture</t>
        </is>
      </c>
      <c r="D3653" s="12" t="inlineStr">
        <is>
          <t>MOV 4: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G-P-0239</t>
        </is>
      </c>
      <c r="B3654" s="12" t="inlineStr">
        <is>
          <t>G</t>
        </is>
      </c>
      <c r="C3654" s="12" t="inlineStr">
        <is>
          <t>Carbon capture</t>
        </is>
      </c>
      <c r="D3654" s="12" t="inlineStr">
        <is>
          <t>MOV 5: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G-P-0240</t>
        </is>
      </c>
      <c r="B3655" s="12" t="inlineStr">
        <is>
          <t>G</t>
        </is>
      </c>
      <c r="C3655" s="12" t="inlineStr">
        <is>
          <t>Carbon capture</t>
        </is>
      </c>
      <c r="D3655" s="12" t="inlineStr">
        <is>
          <t>MOV 6: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G-P-0241</t>
        </is>
      </c>
      <c r="B3656" s="12" t="inlineStr">
        <is>
          <t>G</t>
        </is>
      </c>
      <c r="C3656" s="12" t="inlineStr">
        <is>
          <t>Carbon capture</t>
        </is>
      </c>
      <c r="D3656" s="12" t="inlineStr">
        <is>
          <t>LV power feeder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1.9 %</t>
        </is>
      </c>
      <c r="AA3656" s="12">
        <f>N3656*O3656</f>
        <v/>
      </c>
    </row>
    <row r="3657">
      <c r="A3657" s="12" t="inlineStr">
        <is>
          <t>G-P-0242</t>
        </is>
      </c>
      <c r="B3657" s="12" t="inlineStr">
        <is>
          <t>G</t>
        </is>
      </c>
      <c r="C3657" s="12" t="inlineStr">
        <is>
          <t>Carbon capture</t>
        </is>
      </c>
      <c r="D3657" s="12" t="inlineStr">
        <is>
          <t>Area / platform lighting circuit 1 (12 fixtures)</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Duct bank</t>
        </is>
      </c>
      <c r="T3657" s="16" t="n">
        <v>496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G-P-0243</t>
        </is>
      </c>
      <c r="B3658" s="12" t="inlineStr">
        <is>
          <t>G</t>
        </is>
      </c>
      <c r="C3658" s="12" t="inlineStr">
        <is>
          <t>Carbon capture</t>
        </is>
      </c>
      <c r="D3658" s="12" t="inlineStr">
        <is>
          <t>Area / platform lighting circuit 2 (8 fixtures)</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3</v>
      </c>
      <c r="R3658" s="12" t="n">
        <v>5</v>
      </c>
      <c r="S3658" s="12" t="inlineStr">
        <is>
          <t>Duct bank</t>
        </is>
      </c>
      <c r="T3658" s="16" t="n">
        <v>496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fixture-to-fixture run included</t>
        </is>
      </c>
      <c r="AA3658" s="12">
        <f>N3658*O3658</f>
        <v/>
      </c>
    </row>
    <row r="3659">
      <c r="A3659" s="12" t="inlineStr">
        <is>
          <t>G-P-0244</t>
        </is>
      </c>
      <c r="B3659" s="12" t="inlineStr">
        <is>
          <t>G</t>
        </is>
      </c>
      <c r="C3659" s="12" t="inlineStr">
        <is>
          <t>Carbon capture</t>
        </is>
      </c>
      <c r="D3659" s="12" t="inlineStr">
        <is>
          <t>480 V welding receptacle 1</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LV|3/C+G|2</t>
        </is>
      </c>
      <c r="L3659" s="12" t="inlineStr">
        <is>
          <t>3/C+G</t>
        </is>
      </c>
      <c r="M3659" s="12" t="inlineStr">
        <is>
          <t>2</t>
        </is>
      </c>
      <c r="N3659" s="12" t="n">
        <v>1</v>
      </c>
      <c r="O3659" s="12" t="n">
        <v>1</v>
      </c>
      <c r="P3659" s="12" t="n">
        <v>480</v>
      </c>
      <c r="Q3659" s="12" t="n">
        <v>60</v>
      </c>
      <c r="R3659" s="12" t="n">
        <v>76</v>
      </c>
      <c r="S3659" s="12" t="inlineStr">
        <is>
          <t>Duct bank</t>
        </is>
      </c>
      <c r="T3659" s="16" t="n">
        <v>196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G-P-0245</t>
        </is>
      </c>
      <c r="B3660" s="12" t="inlineStr">
        <is>
          <t>G</t>
        </is>
      </c>
      <c r="C3660" s="12" t="inlineStr">
        <is>
          <t>Carbon capture</t>
        </is>
      </c>
      <c r="D3660" s="12" t="inlineStr">
        <is>
          <t>480 V welding receptacle 2</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LV|3/C+G|2</t>
        </is>
      </c>
      <c r="L3660" s="12" t="inlineStr">
        <is>
          <t>3/C+G</t>
        </is>
      </c>
      <c r="M3660" s="12" t="inlineStr">
        <is>
          <t>2</t>
        </is>
      </c>
      <c r="N3660" s="12" t="n">
        <v>1</v>
      </c>
      <c r="O3660" s="12" t="n">
        <v>1</v>
      </c>
      <c r="P3660" s="12" t="n">
        <v>480</v>
      </c>
      <c r="Q3660" s="12" t="n">
        <v>60</v>
      </c>
      <c r="R3660" s="12" t="n">
        <v>76</v>
      </c>
      <c r="S3660" s="12" t="inlineStr">
        <is>
          <t>Duct bank</t>
        </is>
      </c>
      <c r="T3660" s="16" t="n">
        <v>196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G-P-0246</t>
        </is>
      </c>
      <c r="B3661" s="12" t="inlineStr">
        <is>
          <t>G</t>
        </is>
      </c>
      <c r="C3661" s="12" t="inlineStr">
        <is>
          <t>Carbon capture</t>
        </is>
      </c>
      <c r="D3661" s="12" t="inlineStr">
        <is>
          <t>480 V welding receptacle 3</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G-P-0247</t>
        </is>
      </c>
      <c r="B3662" s="12" t="inlineStr">
        <is>
          <t>G</t>
        </is>
      </c>
      <c r="C3662" s="12" t="inlineStr">
        <is>
          <t>Carbon capture</t>
        </is>
      </c>
      <c r="D3662" s="12" t="inlineStr">
        <is>
          <t>480 V welding receptacle 4</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G-P-0248</t>
        </is>
      </c>
      <c r="B3663" s="12" t="inlineStr">
        <is>
          <t>G</t>
        </is>
      </c>
      <c r="C3663" s="12" t="inlineStr">
        <is>
          <t>Carbon capture</t>
        </is>
      </c>
      <c r="D3663" s="12" t="inlineStr">
        <is>
          <t>Motor 1 of 4, 15 kW</t>
        </is>
      </c>
      <c r="E3663" s="12" t="inlineStr"/>
      <c r="F3663" s="12" t="inlineStr">
        <is>
          <t>CCS MV switchgear building (VFDs)</t>
        </is>
      </c>
      <c r="G3663" s="12" t="inlineStr"/>
      <c r="H3663" s="12" t="inlineStr">
        <is>
          <t>Solvent + NaOH storage</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250</v>
      </c>
      <c r="U3663" s="16" t="n">
        <v>37</v>
      </c>
      <c r="V3663" s="16">
        <f>ROUNDUP((T3663+U3663+2*'Read Me'!$B$13)*(1+'Read Me'!$B$12),-1)</f>
        <v/>
      </c>
      <c r="W3663" s="16">
        <f>V3663*N3663*O3663</f>
        <v/>
      </c>
      <c r="X3663" s="12">
        <f>IF(LEFT(I3663,2)="MV",2*N3663*IF(L3663="1/C",O3663,1),0)</f>
        <v/>
      </c>
      <c r="Y3663" s="12">
        <f>IF(OR(LEFT(K3663,4)="LVAX",LEFT(K3663,6)="MV15AX",LEFT(K3663,4)="CTAX",LEFT(K3663,2)="W|"),2*N3663*O3663,0)</f>
        <v/>
      </c>
      <c r="Z3663" s="12" t="inlineStr">
        <is>
          <t>VD 2.9 %</t>
        </is>
      </c>
      <c r="AA3663" s="12">
        <f>N3663*O3663</f>
        <v/>
      </c>
    </row>
    <row r="3664">
      <c r="A3664" s="12" t="inlineStr">
        <is>
          <t>G-P-0249</t>
        </is>
      </c>
      <c r="B3664" s="12" t="inlineStr">
        <is>
          <t>G</t>
        </is>
      </c>
      <c r="C3664" s="12" t="inlineStr">
        <is>
          <t>Carbon capture</t>
        </is>
      </c>
      <c r="D3664" s="12" t="inlineStr">
        <is>
          <t>Motor 2 of 4, 15 kW</t>
        </is>
      </c>
      <c r="E3664" s="12" t="inlineStr"/>
      <c r="F3664" s="12" t="inlineStr">
        <is>
          <t>CCS MV switchgear building (VFDs)</t>
        </is>
      </c>
      <c r="G3664" s="12" t="inlineStr"/>
      <c r="H3664" s="12" t="inlineStr">
        <is>
          <t>Solvent + NaOH storage</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250</v>
      </c>
      <c r="U3664" s="16" t="n">
        <v>37</v>
      </c>
      <c r="V3664" s="16">
        <f>ROUNDUP((T3664+U3664+2*'Read Me'!$B$13)*(1+'Read Me'!$B$12),-1)</f>
        <v/>
      </c>
      <c r="W3664" s="16">
        <f>V3664*N3664*O3664</f>
        <v/>
      </c>
      <c r="X3664" s="12">
        <f>IF(LEFT(I3664,2)="MV",2*N3664*IF(L3664="1/C",O3664,1),0)</f>
        <v/>
      </c>
      <c r="Y3664" s="12">
        <f>IF(OR(LEFT(K3664,4)="LVAX",LEFT(K3664,6)="MV15AX",LEFT(K3664,4)="CTAX",LEFT(K3664,2)="W|"),2*N3664*O3664,0)</f>
        <v/>
      </c>
      <c r="Z3664" s="12" t="inlineStr">
        <is>
          <t>VD 2.9 %</t>
        </is>
      </c>
      <c r="AA3664" s="12">
        <f>N3664*O3664</f>
        <v/>
      </c>
    </row>
    <row r="3665">
      <c r="A3665" s="12" t="inlineStr">
        <is>
          <t>G-P-0250</t>
        </is>
      </c>
      <c r="B3665" s="12" t="inlineStr">
        <is>
          <t>G</t>
        </is>
      </c>
      <c r="C3665" s="12" t="inlineStr">
        <is>
          <t>Carbon capture</t>
        </is>
      </c>
      <c r="D3665" s="12" t="inlineStr">
        <is>
          <t>Motor 3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G-P-0251</t>
        </is>
      </c>
      <c r="B3666" s="12" t="inlineStr">
        <is>
          <t>G</t>
        </is>
      </c>
      <c r="C3666" s="12" t="inlineStr">
        <is>
          <t>Carbon capture</t>
        </is>
      </c>
      <c r="D3666" s="12" t="inlineStr">
        <is>
          <t>Motor 4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G-P-0252</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A</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6" t="n">
        <v>465</v>
      </c>
      <c r="U3667" s="16" t="n">
        <v>96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G-P-0253</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A</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6" t="n">
        <v>465</v>
      </c>
      <c r="U3668" s="16" t="n">
        <v>96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G-P-0254</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B</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305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1.9 %</t>
        </is>
      </c>
      <c r="AA3669" s="12">
        <f>N3669*O3669</f>
        <v/>
      </c>
    </row>
    <row r="3670">
      <c r="A3670" s="12" t="inlineStr">
        <is>
          <t>G-P-0255</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B</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305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1.9 %</t>
        </is>
      </c>
      <c r="AA3670" s="12">
        <f>N3670*O3670</f>
        <v/>
      </c>
    </row>
    <row r="3671">
      <c r="A3671" s="12" t="inlineStr">
        <is>
          <t>G-P-0256</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C</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145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1.1 %</t>
        </is>
      </c>
      <c r="AA3671" s="12">
        <f>N3671*O3671</f>
        <v/>
      </c>
    </row>
    <row r="3672">
      <c r="A3672" s="12" t="inlineStr">
        <is>
          <t>G-P-0257</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C</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145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1.1 %</t>
        </is>
      </c>
      <c r="AA3672" s="12">
        <f>N3672*O3672</f>
        <v/>
      </c>
    </row>
    <row r="3673">
      <c r="A3673" s="12" t="inlineStr">
        <is>
          <t>G-MV-0001</t>
        </is>
      </c>
      <c r="B3673" s="12" t="inlineStr">
        <is>
          <t>G</t>
        </is>
      </c>
      <c r="C3673" s="12" t="inlineStr">
        <is>
          <t>Carbon capture</t>
        </is>
      </c>
      <c r="D3673" s="12" t="inlineStr">
        <is>
          <t>Booster fan BF-A (MV VFD output)</t>
        </is>
      </c>
      <c r="E3673" s="12" t="inlineStr"/>
      <c r="F3673" s="12" t="inlineStr">
        <is>
          <t>CCS MV switchgear building (VFDs)</t>
        </is>
      </c>
      <c r="G3673" s="12" t="inlineStr">
        <is>
          <t>BF-A</t>
        </is>
      </c>
      <c r="H3673" s="12" t="inlineStr">
        <is>
          <t>BF-A: booster fan (~16 MW)</t>
        </is>
      </c>
      <c r="I3673" s="12" t="inlineStr">
        <is>
          <t>MV 15 kV</t>
        </is>
      </c>
      <c r="J3673" s="12" t="inlineStr">
        <is>
          <t>MV-105 15 kV 1/C Cu, EPR 133%, Cu tape shield, PVC jacket (triplexed)</t>
        </is>
      </c>
      <c r="K3673" s="12" t="inlineStr">
        <is>
          <t>MV15|1/C|750</t>
        </is>
      </c>
      <c r="L3673" s="12" t="inlineStr">
        <is>
          <t>1/C</t>
        </is>
      </c>
      <c r="M3673" s="12" t="inlineStr">
        <is>
          <t>750 kcmil</t>
        </is>
      </c>
      <c r="N3673" s="12" t="n">
        <v>2</v>
      </c>
      <c r="O3673" s="12" t="n">
        <v>3</v>
      </c>
      <c r="P3673" s="12" t="n">
        <v>13800</v>
      </c>
      <c r="Q3673" s="12" t="n">
        <v>16000</v>
      </c>
      <c r="R3673" s="12" t="n">
        <v>744</v>
      </c>
      <c r="S3673" s="12" t="inlineStr">
        <is>
          <t>Duct bank</t>
        </is>
      </c>
      <c r="T3673" s="16" t="n">
        <v>460</v>
      </c>
      <c r="U3673" s="16" t="n">
        <v>32</v>
      </c>
      <c r="V3673" s="16">
        <f>ROUNDUP((T3673+U3673+2*'Read Me'!$B$13)*(1+'Read Me'!$B$12),-1)</f>
        <v/>
      </c>
      <c r="W3673" s="16">
        <f>V3673*N3673*O3673</f>
        <v/>
      </c>
      <c r="X3673" s="12">
        <f>IF(LEFT(I3673,2)="MV",2*N3673*IF(L3673="1/C",O3673,1),0)</f>
        <v/>
      </c>
      <c r="Y3673" s="12">
        <f>IF(OR(LEFT(K3673,4)="LVAX",LEFT(K3673,6)="MV15AX",LEFT(K3673,4)="CTAX",LEFT(K3673,2)="W|"),2*N3673*O3673,0)</f>
        <v/>
      </c>
      <c r="Z3673" s="12" t="inlineStr">
        <is>
          <t>~16 MW per drawing</t>
        </is>
      </c>
      <c r="AA3673" s="12">
        <f>N3673*O3673</f>
        <v/>
      </c>
    </row>
    <row r="3674">
      <c r="A3674" s="12" t="inlineStr">
        <is>
          <t>G-MV-0002</t>
        </is>
      </c>
      <c r="B3674" s="12" t="inlineStr">
        <is>
          <t>G</t>
        </is>
      </c>
      <c r="C3674" s="12" t="inlineStr">
        <is>
          <t>Carbon capture</t>
        </is>
      </c>
      <c r="D3674" s="12" t="inlineStr">
        <is>
          <t>Booster fan BF-B (MV VFD output)</t>
        </is>
      </c>
      <c r="E3674" s="12" t="inlineStr"/>
      <c r="F3674" s="12" t="inlineStr">
        <is>
          <t>CCS MV switchgear building (VFDs)</t>
        </is>
      </c>
      <c r="G3674" s="12" t="inlineStr">
        <is>
          <t>BF-B</t>
        </is>
      </c>
      <c r="H3674" s="12" t="inlineStr">
        <is>
          <t>BF-B: booster fan (~16 MW)</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16000</v>
      </c>
      <c r="R3674" s="12" t="n">
        <v>744</v>
      </c>
      <c r="S3674" s="12" t="inlineStr">
        <is>
          <t>Duct bank</t>
        </is>
      </c>
      <c r="T3674" s="16" t="n">
        <v>300</v>
      </c>
      <c r="U3674" s="16" t="n">
        <v>32</v>
      </c>
      <c r="V3674" s="16">
        <f>ROUNDUP((T3674+U3674+2*'Read Me'!$B$13)*(1+'Read Me'!$B$12),-1)</f>
        <v/>
      </c>
      <c r="W3674" s="16">
        <f>V3674*N3674*O3674</f>
        <v/>
      </c>
      <c r="X3674" s="12">
        <f>IF(LEFT(I3674,2)="MV",2*N3674*IF(L3674="1/C",O3674,1),0)</f>
        <v/>
      </c>
      <c r="Y3674" s="12">
        <f>IF(OR(LEFT(K3674,4)="LVAX",LEFT(K3674,6)="MV15AX",LEFT(K3674,4)="CTAX",LEFT(K3674,2)="W|"),2*N3674*O3674,0)</f>
        <v/>
      </c>
      <c r="Z3674" s="12" t="inlineStr">
        <is>
          <t>~16 MW per drawing</t>
        </is>
      </c>
      <c r="AA3674" s="12">
        <f>N3674*O3674</f>
        <v/>
      </c>
    </row>
    <row r="3675">
      <c r="A3675" s="12" t="inlineStr">
        <is>
          <t>G-MV-0003</t>
        </is>
      </c>
      <c r="B3675" s="12" t="inlineStr">
        <is>
          <t>G</t>
        </is>
      </c>
      <c r="C3675" s="12" t="inlineStr">
        <is>
          <t>Carbon capture</t>
        </is>
      </c>
      <c r="D3675" s="12" t="inlineStr">
        <is>
          <t>Booster fan BF-C (MV VFD output)</t>
        </is>
      </c>
      <c r="E3675" s="12" t="inlineStr"/>
      <c r="F3675" s="12" t="inlineStr">
        <is>
          <t>CCS MV switchgear building (VFDs)</t>
        </is>
      </c>
      <c r="G3675" s="12" t="inlineStr">
        <is>
          <t>BF-C</t>
        </is>
      </c>
      <c r="H3675" s="12" t="inlineStr">
        <is>
          <t>BF-C: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Tray</t>
        </is>
      </c>
      <c r="T3675" s="16" t="n">
        <v>16</v>
      </c>
      <c r="U3675" s="16" t="n">
        <v>150</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G-MV-0004</t>
        </is>
      </c>
      <c r="B3676" s="12" t="inlineStr">
        <is>
          <t>G</t>
        </is>
      </c>
      <c r="C3676" s="12" t="inlineStr">
        <is>
          <t>Carbon capture</t>
        </is>
      </c>
      <c r="D3676" s="12" t="inlineStr">
        <is>
          <t>CCS T-1 secondary to CCS 13.8 kV switchgear</t>
        </is>
      </c>
      <c r="E3676" s="12" t="inlineStr">
        <is>
          <t>CCS T-1</t>
        </is>
      </c>
      <c r="F3676" s="12" t="inlineStr">
        <is>
          <t>CCS T-1: 230/13.8 kV</t>
        </is>
      </c>
      <c r="G3676" s="12" t="inlineStr"/>
      <c r="H3676" s="12" t="inlineStr">
        <is>
          <t>CCS MV switchgear building (VFDs)</t>
        </is>
      </c>
      <c r="I3676" s="12" t="inlineStr">
        <is>
          <t>MV 15 kV</t>
        </is>
      </c>
      <c r="J3676" s="12" t="inlineStr">
        <is>
          <t>MV-105 15 kV 1/C Cu, EPR 133%, Cu tape shield, PVC jacket (triplexed)</t>
        </is>
      </c>
      <c r="K3676" s="12" t="inlineStr">
        <is>
          <t>MV15|1/C|1000</t>
        </is>
      </c>
      <c r="L3676" s="12" t="inlineStr">
        <is>
          <t>1/C</t>
        </is>
      </c>
      <c r="M3676" s="12" t="inlineStr">
        <is>
          <t>1000 kcmil</t>
        </is>
      </c>
      <c r="N3676" s="12" t="n">
        <v>5</v>
      </c>
      <c r="O3676" s="12" t="n">
        <v>3</v>
      </c>
      <c r="P3676" s="12" t="n">
        <v>13800</v>
      </c>
      <c r="Q3676" s="12" t="n">
        <v>60000</v>
      </c>
      <c r="R3676" s="12" t="n">
        <v>2510</v>
      </c>
      <c r="S3676" s="12" t="inlineStr">
        <is>
          <t>Duct bank</t>
        </is>
      </c>
      <c r="T3676" s="16" t="n">
        <v>361</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60 MVA (typ.)</t>
        </is>
      </c>
      <c r="AA3676" s="12">
        <f>N3676*O3676</f>
        <v/>
      </c>
    </row>
    <row r="3677">
      <c r="A3677" s="12" t="inlineStr">
        <is>
          <t>G-MV-0005</t>
        </is>
      </c>
      <c r="B3677" s="12" t="inlineStr">
        <is>
          <t>G</t>
        </is>
      </c>
      <c r="C3677" s="12" t="inlineStr">
        <is>
          <t>Carbon capture</t>
        </is>
      </c>
      <c r="D3677" s="12" t="inlineStr">
        <is>
          <t>CCS T-2 secondary to CCS 13.8 kV switchgear</t>
        </is>
      </c>
      <c r="E3677" s="12" t="inlineStr">
        <is>
          <t>CCS T-2</t>
        </is>
      </c>
      <c r="F3677" s="12" t="inlineStr">
        <is>
          <t>CCS T-2: 230/13.8 kV</t>
        </is>
      </c>
      <c r="G3677" s="12" t="inlineStr"/>
      <c r="H3677" s="12" t="inlineStr">
        <is>
          <t>CCS MV switchgear building (VFDs)</t>
        </is>
      </c>
      <c r="I3677" s="12" t="inlineStr">
        <is>
          <t>MV 15 kV</t>
        </is>
      </c>
      <c r="J3677" s="12" t="inlineStr">
        <is>
          <t>MV-105 15 kV 1/C Cu, EPR 133%, Cu tape shield, PVC jacket (triplexed)</t>
        </is>
      </c>
      <c r="K3677" s="12" t="inlineStr">
        <is>
          <t>MV15|1/C|1000</t>
        </is>
      </c>
      <c r="L3677" s="12" t="inlineStr">
        <is>
          <t>1/C</t>
        </is>
      </c>
      <c r="M3677" s="12" t="inlineStr">
        <is>
          <t>1000 kcmil</t>
        </is>
      </c>
      <c r="N3677" s="12" t="n">
        <v>5</v>
      </c>
      <c r="O3677" s="12" t="n">
        <v>3</v>
      </c>
      <c r="P3677" s="12" t="n">
        <v>13800</v>
      </c>
      <c r="Q3677" s="12" t="n">
        <v>60000</v>
      </c>
      <c r="R3677" s="12" t="n">
        <v>2510</v>
      </c>
      <c r="S3677" s="12" t="inlineStr">
        <is>
          <t>Duct bank</t>
        </is>
      </c>
      <c r="T3677" s="16" t="n">
        <v>409</v>
      </c>
      <c r="U3677" s="16" t="n">
        <v>32</v>
      </c>
      <c r="V3677" s="16">
        <f>ROUNDUP((T3677+U3677+2*'Read Me'!$B$13)*(1+'Read Me'!$B$12),-1)</f>
        <v/>
      </c>
      <c r="W3677" s="16">
        <f>V3677*N3677*O3677</f>
        <v/>
      </c>
      <c r="X3677" s="12">
        <f>IF(LEFT(I3677,2)="MV",2*N3677*IF(L3677="1/C",O3677,1),0)</f>
        <v/>
      </c>
      <c r="Y3677" s="12">
        <f>IF(OR(LEFT(K3677,4)="LVAX",LEFT(K3677,6)="MV15AX",LEFT(K3677,4)="CTAX",LEFT(K3677,2)="W|"),2*N3677*O3677,0)</f>
        <v/>
      </c>
      <c r="Z3677" s="12" t="inlineStr">
        <is>
          <t>60 MVA (typ.)</t>
        </is>
      </c>
      <c r="AA3677" s="12">
        <f>N3677*O3677</f>
        <v/>
      </c>
    </row>
    <row r="3678">
      <c r="A3678" s="12" t="inlineStr">
        <is>
          <t>G-MV-0006</t>
        </is>
      </c>
      <c r="B3678" s="12" t="inlineStr">
        <is>
          <t>G</t>
        </is>
      </c>
      <c r="C3678" s="12" t="inlineStr">
        <is>
          <t>Carbon capture</t>
        </is>
      </c>
      <c r="D3678" s="12" t="inlineStr">
        <is>
          <t>CO2 compressor train 1</t>
        </is>
      </c>
      <c r="E3678" s="12" t="inlineStr"/>
      <c r="F3678" s="12" t="inlineStr">
        <is>
          <t>CCS MV switchgear building (VFDs)</t>
        </is>
      </c>
      <c r="G3678" s="12" t="inlineStr"/>
      <c r="H3678" s="12" t="inlineStr">
        <is>
          <t>CO2 compression 3 x ~19 MW + dehydration</t>
        </is>
      </c>
      <c r="I3678" s="12" t="inlineStr">
        <is>
          <t>MV 15 kV</t>
        </is>
      </c>
      <c r="J3678" s="12" t="inlineStr">
        <is>
          <t>MV-105 15 kV 1/C Cu, EPR 133%, Cu tape shield, PVC jacket (triplexed)</t>
        </is>
      </c>
      <c r="K3678" s="12" t="inlineStr">
        <is>
          <t>MV15|1/C|750</t>
        </is>
      </c>
      <c r="L3678" s="12" t="inlineStr">
        <is>
          <t>1/C</t>
        </is>
      </c>
      <c r="M3678" s="12" t="inlineStr">
        <is>
          <t>750 kcmil</t>
        </is>
      </c>
      <c r="N3678" s="12" t="n">
        <v>2</v>
      </c>
      <c r="O3678" s="12" t="n">
        <v>3</v>
      </c>
      <c r="P3678" s="12" t="n">
        <v>13800</v>
      </c>
      <c r="Q3678" s="12" t="n">
        <v>19000</v>
      </c>
      <c r="R3678" s="12" t="n">
        <v>883</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~19 MW per drawing</t>
        </is>
      </c>
      <c r="AA3678" s="12">
        <f>N3678*O3678</f>
        <v/>
      </c>
    </row>
    <row r="3679">
      <c r="A3679" s="12" t="inlineStr">
        <is>
          <t>G-MV-0007</t>
        </is>
      </c>
      <c r="B3679" s="12" t="inlineStr">
        <is>
          <t>G</t>
        </is>
      </c>
      <c r="C3679" s="12" t="inlineStr">
        <is>
          <t>Carbon capture</t>
        </is>
      </c>
      <c r="D3679" s="12" t="inlineStr">
        <is>
          <t>CO2 compressor train 2</t>
        </is>
      </c>
      <c r="E3679" s="12" t="inlineStr"/>
      <c r="F3679" s="12" t="inlineStr">
        <is>
          <t>CCS MV switchgear building (VFDs)</t>
        </is>
      </c>
      <c r="G3679" s="12" t="inlineStr"/>
      <c r="H3679" s="12" t="inlineStr">
        <is>
          <t>CO2 compression 3 x ~19 MW + dehydration</t>
        </is>
      </c>
      <c r="I3679" s="12" t="inlineStr">
        <is>
          <t>MV 15 kV</t>
        </is>
      </c>
      <c r="J3679" s="12" t="inlineStr">
        <is>
          <t>MV-105 15 kV 1/C Cu, EPR 133%, Cu tape shield, PVC jacket (triplexed)</t>
        </is>
      </c>
      <c r="K3679" s="12" t="inlineStr">
        <is>
          <t>MV15|1/C|750</t>
        </is>
      </c>
      <c r="L3679" s="12" t="inlineStr">
        <is>
          <t>1/C</t>
        </is>
      </c>
      <c r="M3679" s="12" t="inlineStr">
        <is>
          <t>750 kcmil</t>
        </is>
      </c>
      <c r="N3679" s="12" t="n">
        <v>2</v>
      </c>
      <c r="O3679" s="12" t="n">
        <v>3</v>
      </c>
      <c r="P3679" s="12" t="n">
        <v>13800</v>
      </c>
      <c r="Q3679" s="12" t="n">
        <v>19000</v>
      </c>
      <c r="R3679" s="12" t="n">
        <v>883</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~19 MW per drawing</t>
        </is>
      </c>
      <c r="AA3679" s="12">
        <f>N3679*O3679</f>
        <v/>
      </c>
    </row>
    <row r="3680">
      <c r="A3680" s="12" t="inlineStr">
        <is>
          <t>G-MV-0008</t>
        </is>
      </c>
      <c r="B3680" s="12" t="inlineStr">
        <is>
          <t>G</t>
        </is>
      </c>
      <c r="C3680" s="12" t="inlineStr">
        <is>
          <t>Carbon capture</t>
        </is>
      </c>
      <c r="D3680" s="12" t="inlineStr">
        <is>
          <t>CO2 compressor train 3</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G-MV-0009</t>
        </is>
      </c>
      <c r="B3681" s="12" t="inlineStr">
        <is>
          <t>G</t>
        </is>
      </c>
      <c r="C3681" s="12" t="inlineStr">
        <is>
          <t>Carbon capture</t>
        </is>
      </c>
      <c r="D3681" s="12" t="inlineStr">
        <is>
          <t>HP CO2 export compressor (conditional)</t>
        </is>
      </c>
      <c r="E3681" s="12" t="inlineStr"/>
      <c r="F3681" s="12" t="inlineStr">
        <is>
          <t>CCS MV switchgear building (VFDs)</t>
        </is>
      </c>
      <c r="G3681" s="12" t="inlineStr"/>
      <c r="H3681" s="12" t="inlineStr">
        <is>
          <t>CONDITIONAL: HP export compressor + metering</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1</v>
      </c>
      <c r="O3681" s="12" t="n">
        <v>3</v>
      </c>
      <c r="P3681" s="12" t="n">
        <v>13800</v>
      </c>
      <c r="Q3681" s="12" t="n">
        <v>8000</v>
      </c>
      <c r="R3681" s="12" t="n">
        <v>372</v>
      </c>
      <c r="S3681" s="12" t="inlineStr">
        <is>
          <t>Duct bank</t>
        </is>
      </c>
      <c r="T3681" s="16" t="n">
        <v>303</v>
      </c>
      <c r="U3681" s="16" t="n">
        <v>34</v>
      </c>
      <c r="V3681" s="16">
        <f>ROUNDUP((T3681+U3681+2*'Read Me'!$B$13)*(1+'Read Me'!$B$12),-1)</f>
        <v/>
      </c>
      <c r="W3681" s="16">
        <f>V3681*N3681*O3681</f>
        <v/>
      </c>
      <c r="X3681" s="12">
        <f>IF(LEFT(I3681,2)="MV",2*N3681*IF(L3681="1/C",O3681,1),0)</f>
        <v/>
      </c>
      <c r="Y3681" s="12">
        <f>IF(OR(LEFT(K3681,4)="LVAX",LEFT(K3681,6)="MV15AX",LEFT(K3681,4)="CTAX",LEFT(K3681,2)="W|"),2*N3681*O3681,0)</f>
        <v/>
      </c>
      <c r="Z3681" s="12" t="inlineStr"/>
      <c r="AA3681" s="12">
        <f>N3681*O3681</f>
        <v/>
      </c>
    </row>
    <row r="3682">
      <c r="A3682" s="12" t="inlineStr">
        <is>
          <t>G-MV-0010</t>
        </is>
      </c>
      <c r="B3682" s="12" t="inlineStr">
        <is>
          <t>G</t>
        </is>
      </c>
      <c r="C3682" s="12" t="inlineStr">
        <is>
          <t>Carbon capture</t>
        </is>
      </c>
      <c r="D3682" s="12" t="inlineStr">
        <is>
          <t>CT MCC / VFD e-house transformer</t>
        </is>
      </c>
      <c r="E3682" s="12" t="inlineStr"/>
      <c r="F3682" s="12" t="inlineStr">
        <is>
          <t>CCS MV switchgear building (VFDs)</t>
        </is>
      </c>
      <c r="G3682" s="12" t="inlineStr"/>
      <c r="H3682" s="12" t="inlineStr">
        <is>
          <t>CT MCC / VFD e-house</t>
        </is>
      </c>
      <c r="I3682" s="12" t="inlineStr">
        <is>
          <t>MV 15 kV</t>
        </is>
      </c>
      <c r="J3682" s="12" t="inlineStr">
        <is>
          <t>MV-105 15 kV 1/C Cu, EPR 133%, Cu tape shield, PVC jacket (triplexed)</t>
        </is>
      </c>
      <c r="K3682" s="12" t="inlineStr">
        <is>
          <t>MV15|1/C|1/0</t>
        </is>
      </c>
      <c r="L3682" s="12" t="inlineStr">
        <is>
          <t>1/C</t>
        </is>
      </c>
      <c r="M3682" s="12" t="inlineStr">
        <is>
          <t>1/0</t>
        </is>
      </c>
      <c r="N3682" s="12" t="n">
        <v>1</v>
      </c>
      <c r="O3682" s="12" t="n">
        <v>3</v>
      </c>
      <c r="P3682" s="12" t="n">
        <v>13800</v>
      </c>
      <c r="Q3682" s="12" t="n">
        <v>3000</v>
      </c>
      <c r="R3682" s="12" t="n">
        <v>126</v>
      </c>
      <c r="S3682" s="12" t="inlineStr">
        <is>
          <t>Duct bank</t>
        </is>
      </c>
      <c r="T3682" s="16" t="n">
        <v>925</v>
      </c>
      <c r="U3682" s="16" t="n">
        <v>32</v>
      </c>
      <c r="V3682" s="16">
        <f>ROUNDUP((T3682+U3682+2*'Read Me'!$B$13)*(1+'Read Me'!$B$12),-1)</f>
        <v/>
      </c>
      <c r="W3682" s="16">
        <f>V3682*N3682*O3682</f>
        <v/>
      </c>
      <c r="X3682" s="12">
        <f>IF(LEFT(I3682,2)="MV",2*N3682*IF(L3682="1/C",O3682,1),0)</f>
        <v/>
      </c>
      <c r="Y3682" s="12">
        <f>IF(OR(LEFT(K3682,4)="LVAX",LEFT(K3682,6)="MV15AX",LEFT(K3682,4)="CTAX",LEFT(K3682,2)="W|"),2*N3682*O3682,0)</f>
        <v/>
      </c>
      <c r="Z3682" s="12" t="inlineStr"/>
      <c r="AA3682" s="12">
        <f>N3682*O3682</f>
        <v/>
      </c>
    </row>
    <row r="3683">
      <c r="A3683" s="12" t="inlineStr">
        <is>
          <t>G-MV-0011</t>
        </is>
      </c>
      <c r="B3683" s="12" t="inlineStr">
        <is>
          <t>G</t>
        </is>
      </c>
      <c r="C3683" s="12" t="inlineStr">
        <is>
          <t>Carbon capture</t>
        </is>
      </c>
      <c r="D3683" s="12" t="inlineStr">
        <is>
          <t>CT MCC / VFD e-house transformer</t>
        </is>
      </c>
      <c r="E3683" s="12" t="inlineStr"/>
      <c r="F3683" s="12" t="inlineStr">
        <is>
          <t>CCS MV switchgear building (VFDs)</t>
        </is>
      </c>
      <c r="G3683" s="12" t="inlineStr"/>
      <c r="H3683" s="12" t="inlineStr">
        <is>
          <t>CT MCC / VFD e-house</t>
        </is>
      </c>
      <c r="I3683" s="12" t="inlineStr">
        <is>
          <t>MV 15 kV</t>
        </is>
      </c>
      <c r="J3683" s="12" t="inlineStr">
        <is>
          <t>MV-105 15 kV 1/C Cu, EPR 133%, Cu tape shield, PVC jacket (triplexed)</t>
        </is>
      </c>
      <c r="K3683" s="12" t="inlineStr">
        <is>
          <t>MV15|1/C|1/0</t>
        </is>
      </c>
      <c r="L3683" s="12" t="inlineStr">
        <is>
          <t>1/C</t>
        </is>
      </c>
      <c r="M3683" s="12" t="inlineStr">
        <is>
          <t>1/0</t>
        </is>
      </c>
      <c r="N3683" s="12" t="n">
        <v>1</v>
      </c>
      <c r="O3683" s="12" t="n">
        <v>3</v>
      </c>
      <c r="P3683" s="12" t="n">
        <v>13800</v>
      </c>
      <c r="Q3683" s="12" t="n">
        <v>3000</v>
      </c>
      <c r="R3683" s="12" t="n">
        <v>126</v>
      </c>
      <c r="S3683" s="12" t="inlineStr">
        <is>
          <t>Duct bank</t>
        </is>
      </c>
      <c r="T3683" s="16" t="n">
        <v>925</v>
      </c>
      <c r="U3683" s="16" t="n">
        <v>32</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G-MV-0012</t>
        </is>
      </c>
      <c r="B3684" s="12" t="inlineStr">
        <is>
          <t>G</t>
        </is>
      </c>
      <c r="C3684" s="12" t="inlineStr">
        <is>
          <t>Carbon capture</t>
        </is>
      </c>
      <c r="D3684" s="12" t="inlineStr">
        <is>
          <t>CCS circulating-water pump 1</t>
        </is>
      </c>
      <c r="E3684" s="12" t="inlineStr"/>
      <c r="F3684" s="12" t="inlineStr">
        <is>
          <t>CCS MV switchgear building (VFDs)</t>
        </is>
      </c>
      <c r="G3684" s="12" t="inlineStr"/>
      <c r="H3684" s="12" t="inlineStr">
        <is>
          <t>CCS circulating-water pumps</t>
        </is>
      </c>
      <c r="I3684" s="12" t="inlineStr">
        <is>
          <t>MV 5 kV</t>
        </is>
      </c>
      <c r="J3684" s="12" t="inlineStr">
        <is>
          <t>MV-105 5 kV 3/C Cu, EPR 133%, tape shield, gnd, PVC jacket</t>
        </is>
      </c>
      <c r="K3684" s="12" t="inlineStr">
        <is>
          <t>MV5|3/C|4/0</t>
        </is>
      </c>
      <c r="L3684" s="12" t="inlineStr">
        <is>
          <t>3/C</t>
        </is>
      </c>
      <c r="M3684" s="12" t="inlineStr">
        <is>
          <t>4/0</t>
        </is>
      </c>
      <c r="N3684" s="12" t="n">
        <v>1</v>
      </c>
      <c r="O3684" s="12" t="n">
        <v>1</v>
      </c>
      <c r="P3684" s="12" t="n">
        <v>4160</v>
      </c>
      <c r="Q3684" s="12" t="n">
        <v>1200</v>
      </c>
      <c r="R3684" s="12" t="n">
        <v>185</v>
      </c>
      <c r="S3684" s="12" t="inlineStr">
        <is>
          <t>Duct bank</t>
        </is>
      </c>
      <c r="T3684" s="16" t="n">
        <v>925</v>
      </c>
      <c r="U3684" s="16" t="n">
        <v>72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G-MV-0013</t>
        </is>
      </c>
      <c r="B3685" s="12" t="inlineStr">
        <is>
          <t>G</t>
        </is>
      </c>
      <c r="C3685" s="12" t="inlineStr">
        <is>
          <t>Carbon capture</t>
        </is>
      </c>
      <c r="D3685" s="12" t="inlineStr">
        <is>
          <t>CCS circulating-water pump 2</t>
        </is>
      </c>
      <c r="E3685" s="12" t="inlineStr"/>
      <c r="F3685" s="12" t="inlineStr">
        <is>
          <t>CCS MV switchgear building (VFDs)</t>
        </is>
      </c>
      <c r="G3685" s="12" t="inlineStr"/>
      <c r="H3685" s="12" t="inlineStr">
        <is>
          <t>CCS circulating-water pumps</t>
        </is>
      </c>
      <c r="I3685" s="12" t="inlineStr">
        <is>
          <t>MV 5 kV</t>
        </is>
      </c>
      <c r="J3685" s="12" t="inlineStr">
        <is>
          <t>MV-105 5 kV 3/C Cu, EPR 133%, tape shield, gnd, PVC jacket</t>
        </is>
      </c>
      <c r="K3685" s="12" t="inlineStr">
        <is>
          <t>MV5|3/C|4/0</t>
        </is>
      </c>
      <c r="L3685" s="12" t="inlineStr">
        <is>
          <t>3/C</t>
        </is>
      </c>
      <c r="M3685" s="12" t="inlineStr">
        <is>
          <t>4/0</t>
        </is>
      </c>
      <c r="N3685" s="12" t="n">
        <v>1</v>
      </c>
      <c r="O3685" s="12" t="n">
        <v>1</v>
      </c>
      <c r="P3685" s="12" t="n">
        <v>4160</v>
      </c>
      <c r="Q3685" s="12" t="n">
        <v>1200</v>
      </c>
      <c r="R3685" s="12" t="n">
        <v>185</v>
      </c>
      <c r="S3685" s="12" t="inlineStr">
        <is>
          <t>Duct bank</t>
        </is>
      </c>
      <c r="T3685" s="16" t="n">
        <v>925</v>
      </c>
      <c r="U3685" s="16" t="n">
        <v>72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G-MV-0014</t>
        </is>
      </c>
      <c r="B3686" s="12" t="inlineStr">
        <is>
          <t>G</t>
        </is>
      </c>
      <c r="C3686" s="12" t="inlineStr">
        <is>
          <t>Carbon capture</t>
        </is>
      </c>
      <c r="D3686" s="12" t="inlineStr">
        <is>
          <t>CCS circulating-water pump 3</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G-MV-0015</t>
        </is>
      </c>
      <c r="B3687" s="12" t="inlineStr">
        <is>
          <t>G</t>
        </is>
      </c>
      <c r="C3687" s="12" t="inlineStr">
        <is>
          <t>Carbon capture</t>
        </is>
      </c>
      <c r="D3687" s="12" t="inlineStr">
        <is>
          <t>CCS circulating-water pump 4</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G-MV-0016</t>
        </is>
      </c>
      <c r="B3688" s="12" t="inlineStr">
        <is>
          <t>G</t>
        </is>
      </c>
      <c r="C3688" s="12" t="inlineStr">
        <is>
          <t>Carbon capture</t>
        </is>
      </c>
      <c r="D3688" s="12" t="inlineStr">
        <is>
          <t>Rich / lean amine pumps (A)</t>
        </is>
      </c>
      <c r="E3688" s="12" t="inlineStr"/>
      <c r="F3688" s="12" t="inlineStr">
        <is>
          <t>CCS MV switchgear building (VFDs)</t>
        </is>
      </c>
      <c r="G3688" s="12" t="inlineStr"/>
      <c r="H3688" s="12" t="inlineStr">
        <is>
          <t>Rich/lean pumps, cross exchanger, lean cooler A</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Tray</t>
        </is>
      </c>
      <c r="T3688" s="16" t="n">
        <v>465</v>
      </c>
      <c r="U3688" s="16" t="n">
        <v>112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G-MV-0017</t>
        </is>
      </c>
      <c r="B3689" s="12" t="inlineStr">
        <is>
          <t>G</t>
        </is>
      </c>
      <c r="C3689" s="12" t="inlineStr">
        <is>
          <t>Carbon capture</t>
        </is>
      </c>
      <c r="D3689" s="12" t="inlineStr">
        <is>
          <t>Rich / lean amine pumps (A)</t>
        </is>
      </c>
      <c r="E3689" s="12" t="inlineStr"/>
      <c r="F3689" s="12" t="inlineStr">
        <is>
          <t>CCS MV switchgear building (VFDs)</t>
        </is>
      </c>
      <c r="G3689" s="12" t="inlineStr"/>
      <c r="H3689" s="12" t="inlineStr">
        <is>
          <t>Rich/lean pumps, cross exchanger, lean cooler A</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Tray</t>
        </is>
      </c>
      <c r="T3689" s="16" t="n">
        <v>465</v>
      </c>
      <c r="U3689" s="16" t="n">
        <v>112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G-MV-0018</t>
        </is>
      </c>
      <c r="B3690" s="12" t="inlineStr">
        <is>
          <t>G</t>
        </is>
      </c>
      <c r="C3690" s="12" t="inlineStr">
        <is>
          <t>Carbon capture</t>
        </is>
      </c>
      <c r="D3690" s="12" t="inlineStr">
        <is>
          <t>Rich / lean amine pumps (B)</t>
        </is>
      </c>
      <c r="E3690" s="12" t="inlineStr"/>
      <c r="F3690" s="12" t="inlineStr">
        <is>
          <t>CCS MV switchgear building (VFDs)</t>
        </is>
      </c>
      <c r="G3690" s="12" t="inlineStr"/>
      <c r="H3690" s="12" t="inlineStr">
        <is>
          <t>Rich/lean pumps, cross exchanger, lean cooler B</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305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G-MV-0019</t>
        </is>
      </c>
      <c r="B3691" s="12" t="inlineStr">
        <is>
          <t>G</t>
        </is>
      </c>
      <c r="C3691" s="12" t="inlineStr">
        <is>
          <t>Carbon capture</t>
        </is>
      </c>
      <c r="D3691" s="12" t="inlineStr">
        <is>
          <t>Rich / lean amine pumps (B)</t>
        </is>
      </c>
      <c r="E3691" s="12" t="inlineStr"/>
      <c r="F3691" s="12" t="inlineStr">
        <is>
          <t>CCS MV switchgear building (VFDs)</t>
        </is>
      </c>
      <c r="G3691" s="12" t="inlineStr"/>
      <c r="H3691" s="12" t="inlineStr">
        <is>
          <t>Rich/lean pumps, cross exchanger, lean cooler B</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305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G-MV-0020</t>
        </is>
      </c>
      <c r="B3692" s="12" t="inlineStr">
        <is>
          <t>G</t>
        </is>
      </c>
      <c r="C3692" s="12" t="inlineStr">
        <is>
          <t>Carbon capture</t>
        </is>
      </c>
      <c r="D3692" s="12" t="inlineStr">
        <is>
          <t>Rich / lean amine pumps (C)</t>
        </is>
      </c>
      <c r="E3692" s="12" t="inlineStr"/>
      <c r="F3692" s="12" t="inlineStr">
        <is>
          <t>CCS MV switchgear building (VFDs)</t>
        </is>
      </c>
      <c r="G3692" s="12" t="inlineStr"/>
      <c r="H3692" s="12" t="inlineStr">
        <is>
          <t>Rich/lean pumps, cross exchanger, lean cooler C</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Duct bank</t>
        </is>
      </c>
      <c r="T3692" s="16" t="n">
        <v>0</v>
      </c>
      <c r="U3692" s="16" t="n">
        <v>69</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G-MV-0021</t>
        </is>
      </c>
      <c r="B3693" s="12" t="inlineStr">
        <is>
          <t>G</t>
        </is>
      </c>
      <c r="C3693" s="12" t="inlineStr">
        <is>
          <t>Carbon capture</t>
        </is>
      </c>
      <c r="D3693" s="12" t="inlineStr">
        <is>
          <t>Rich / lean amine pumps (C)</t>
        </is>
      </c>
      <c r="E3693" s="12" t="inlineStr"/>
      <c r="F3693" s="12" t="inlineStr">
        <is>
          <t>CCS MV switchgear building (VFDs)</t>
        </is>
      </c>
      <c r="G3693" s="12" t="inlineStr"/>
      <c r="H3693" s="12" t="inlineStr">
        <is>
          <t>Rich/lean pumps, cross exchanger, lean cooler C</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Duct bank</t>
        </is>
      </c>
      <c r="T3693" s="16" t="n">
        <v>0</v>
      </c>
      <c r="U3693" s="16" t="n">
        <v>69</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H-L-0001</t>
        </is>
      </c>
      <c r="B3694" s="12" t="inlineStr">
        <is>
          <t>H</t>
        </is>
      </c>
      <c r="C3694" s="12" t="inlineStr">
        <is>
          <t>BESS</t>
        </is>
      </c>
      <c r="D3694" s="12" t="inlineStr">
        <is>
          <t>Lighting, receptacles and small power branch circuits (allowance)</t>
        </is>
      </c>
      <c r="E3694" s="12" t="inlineStr"/>
      <c r="F3694" s="12" t="inlineStr">
        <is>
          <t>34.5 kV collector e-house (arc-resistant)</t>
        </is>
      </c>
      <c r="G3694" s="12" t="inlineStr"/>
      <c r="H3694" s="12" t="inlineStr">
        <is>
          <t>34.5 kV collector e-house (arc-resistant)</t>
        </is>
      </c>
      <c r="I3694" s="12" t="inlineStr">
        <is>
          <t>Building wire</t>
        </is>
      </c>
      <c r="J3694" s="12" t="inlineStr">
        <is>
          <t>SIMpull THHN/THWN-2 600 V 1/C Cu (lighting, receptacles, small power)</t>
        </is>
      </c>
      <c r="K3694" s="12" t="inlineStr">
        <is>
          <t>THHN|1/C|12</t>
        </is>
      </c>
      <c r="L3694" s="12" t="inlineStr">
        <is>
          <t>1/C</t>
        </is>
      </c>
      <c r="M3694" s="12" t="inlineStr">
        <is>
          <t>12</t>
        </is>
      </c>
      <c r="N3694" s="12" t="n">
        <v>1</v>
      </c>
      <c r="O3694" s="12" t="n">
        <v>1</v>
      </c>
      <c r="P3694" s="12" t="n">
        <v>277</v>
      </c>
      <c r="Q3694" s="12" t="n"/>
      <c r="R3694" s="12" t="n"/>
      <c r="S3694" s="12" t="inlineStr">
        <is>
          <t>Conduit</t>
        </is>
      </c>
      <c r="T3694" s="16" t="n">
        <v>1280</v>
      </c>
      <c r="U3694" s="16" t="n">
        <v>0</v>
      </c>
      <c r="V3694" s="16">
        <f>ROUNDUP((T3694+U3694+2*'Read Me'!$B$13)*(1+'Read Me'!$B$12),-1)</f>
        <v/>
      </c>
      <c r="W3694" s="16">
        <f>V3694*N3694*O3694</f>
        <v/>
      </c>
      <c r="X3694" s="12">
        <f>IF(LEFT(I3694,2)="MV",2*N3694*IF(L3694="1/C",O3694,1),0)</f>
        <v/>
      </c>
      <c r="Y3694" s="12">
        <f>IF(OR(LEFT(K3694,4)="LVAX",LEFT(K3694,6)="MV15AX",LEFT(K3694,4)="CTAX",LEFT(K3694,2)="W|"),2*N3694*O3694,0)</f>
        <v/>
      </c>
      <c r="Z3694" s="12" t="inlineStr">
        <is>
          <t>allowance: 1.6 ft of conductor per ft2 of floor</t>
        </is>
      </c>
      <c r="AA3694" s="12">
        <f>N3694*O3694</f>
        <v/>
      </c>
    </row>
    <row r="3695">
      <c r="A3695" s="12" t="inlineStr">
        <is>
          <t>H-L-0002</t>
        </is>
      </c>
      <c r="B3695" s="12" t="inlineStr">
        <is>
          <t>H</t>
        </is>
      </c>
      <c r="C3695" s="12" t="inlineStr">
        <is>
          <t>BESS</t>
        </is>
      </c>
      <c r="D3695" s="12" t="inlineStr">
        <is>
          <t>Lighting, receptacles and small power branch circuits (allowance)</t>
        </is>
      </c>
      <c r="E3695" s="12" t="inlineStr"/>
      <c r="F3695" s="12" t="inlineStr">
        <is>
          <t>BESS EMS / SCADA and revenue metering</t>
        </is>
      </c>
      <c r="G3695" s="12" t="inlineStr"/>
      <c r="H3695" s="12" t="inlineStr">
        <is>
          <t>BESS EMS / SCADA and revenue metering</t>
        </is>
      </c>
      <c r="I3695" s="12" t="inlineStr">
        <is>
          <t>Building wire</t>
        </is>
      </c>
      <c r="J3695" s="12" t="inlineStr">
        <is>
          <t>SIMpull THHN/THWN-2 600 V 1/C Cu (lighting, receptacles, small power)</t>
        </is>
      </c>
      <c r="K3695" s="12" t="inlineStr">
        <is>
          <t>THHN|1/C|12</t>
        </is>
      </c>
      <c r="L3695" s="12" t="inlineStr">
        <is>
          <t>1/C</t>
        </is>
      </c>
      <c r="M3695" s="12" t="inlineStr">
        <is>
          <t>12</t>
        </is>
      </c>
      <c r="N3695" s="12" t="n">
        <v>1</v>
      </c>
      <c r="O3695" s="12" t="n">
        <v>1</v>
      </c>
      <c r="P3695" s="12" t="n">
        <v>277</v>
      </c>
      <c r="Q3695" s="12" t="n"/>
      <c r="R3695" s="12" t="n"/>
      <c r="S3695" s="12" t="inlineStr">
        <is>
          <t>Conduit</t>
        </is>
      </c>
      <c r="T3695" s="16" t="n">
        <v>384</v>
      </c>
      <c r="U3695" s="16" t="n">
        <v>0</v>
      </c>
      <c r="V3695" s="16">
        <f>ROUNDUP((T3695+U3695+2*'Read Me'!$B$13)*(1+'Read Me'!$B$12),-1)</f>
        <v/>
      </c>
      <c r="W3695" s="16">
        <f>V3695*N3695*O3695</f>
        <v/>
      </c>
      <c r="X3695" s="12">
        <f>IF(LEFT(I3695,2)="MV",2*N3695*IF(L3695="1/C",O3695,1),0)</f>
        <v/>
      </c>
      <c r="Y3695" s="12">
        <f>IF(OR(LEFT(K3695,4)="LVAX",LEFT(K3695,6)="MV15AX",LEFT(K3695,4)="CTAX",LEFT(K3695,2)="W|"),2*N3695*O3695,0)</f>
        <v/>
      </c>
      <c r="Z3695" s="12" t="inlineStr">
        <is>
          <t>allowance: 1.6 ft of conductor per ft2 of floor</t>
        </is>
      </c>
      <c r="AA3695" s="12">
        <f>N3695*O3695</f>
        <v/>
      </c>
    </row>
    <row r="3696">
      <c r="A3696" s="12" t="inlineStr">
        <is>
          <t>H-C-0001</t>
        </is>
      </c>
      <c r="B3696" s="12" t="inlineStr">
        <is>
          <t>H</t>
        </is>
      </c>
      <c r="C3696" s="12" t="inlineStr">
        <is>
          <t>BESS</t>
        </is>
      </c>
      <c r="D3696" s="12" t="inlineStr">
        <is>
          <t>Control</t>
        </is>
      </c>
      <c r="E3696" s="12" t="inlineStr"/>
      <c r="F3696" s="12" t="inlineStr">
        <is>
          <t>BESS EMS / SCADA and revenue metering</t>
        </is>
      </c>
      <c r="G3696" s="12" t="inlineStr"/>
      <c r="H3696" s="12" t="inlineStr">
        <is>
          <t>34.5 kV collector e-house (arc-resistant)</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6" t="n">
        <v>68</v>
      </c>
      <c r="U3696" s="16" t="n">
        <v>37</v>
      </c>
      <c r="V3696" s="16">
        <f>ROUNDUP((T3696+U3696+2*'Read Me'!$B$13)*(1+'Read Me'!$B$12),-1)</f>
        <v/>
      </c>
      <c r="W3696" s="16">
        <f>V3696*N3696*O3696</f>
        <v/>
      </c>
      <c r="X3696" s="12">
        <f>IF(LEFT(I3696,2)="MV",2*N3696*IF(L3696="1/C",O3696,1),0)</f>
        <v/>
      </c>
      <c r="Y3696" s="12">
        <f>IF(OR(LEFT(K3696,4)="LVAX",LEFT(K3696,6)="MV15AX",LEFT(K3696,4)="CTAX",LEFT(K3696,2)="W|"),2*N3696*O3696,0)</f>
        <v/>
      </c>
      <c r="Z3696" s="12" t="inlineStr"/>
      <c r="AA3696" s="12">
        <f>N3696*O3696</f>
        <v/>
      </c>
    </row>
    <row r="3697">
      <c r="A3697" s="12" t="inlineStr">
        <is>
          <t>H-C-0002</t>
        </is>
      </c>
      <c r="B3697" s="12" t="inlineStr">
        <is>
          <t>H</t>
        </is>
      </c>
      <c r="C3697" s="12" t="inlineStr">
        <is>
          <t>BESS</t>
        </is>
      </c>
      <c r="D3697" s="12" t="inlineStr">
        <is>
          <t>Control</t>
        </is>
      </c>
      <c r="E3697" s="12" t="inlineStr"/>
      <c r="F3697" s="12" t="inlineStr">
        <is>
          <t>BESS EMS / SCADA and revenue metering</t>
        </is>
      </c>
      <c r="G3697" s="12" t="inlineStr"/>
      <c r="H3697" s="12" t="inlineStr">
        <is>
          <t>BESS EMS / SCADA and revenue metering</t>
        </is>
      </c>
      <c r="I3697" s="12" t="inlineStr">
        <is>
          <t>Control</t>
        </is>
      </c>
      <c r="J3697" s="12" t="inlineStr">
        <is>
          <t>ARMOR-X MC-HL 600 V control, Cu #14 AWG (Class I Div 2)</t>
        </is>
      </c>
      <c r="K3697" s="12" t="inlineStr">
        <is>
          <t>CTAX|7/C|14</t>
        </is>
      </c>
      <c r="L3697" s="12" t="inlineStr">
        <is>
          <t>7/C</t>
        </is>
      </c>
      <c r="M3697" s="12" t="inlineStr">
        <is>
          <t>14</t>
        </is>
      </c>
      <c r="N3697" s="12" t="n">
        <v>1</v>
      </c>
      <c r="O3697" s="12" t="n">
        <v>1</v>
      </c>
      <c r="P3697" s="12" t="n"/>
      <c r="Q3697" s="12" t="n"/>
      <c r="R3697" s="12" t="n"/>
      <c r="S3697" s="12" t="inlineStr">
        <is>
          <t>Tray</t>
        </is>
      </c>
      <c r="T3697" s="16" t="n">
        <v>0</v>
      </c>
      <c r="U3697" s="16" t="n">
        <v>32</v>
      </c>
      <c r="V3697" s="16">
        <f>ROUNDUP((T3697+U3697+2*'Read Me'!$B$13)*(1+'Read Me'!$B$12),-1)</f>
        <v/>
      </c>
      <c r="W3697" s="16">
        <f>V3697*N3697*O3697</f>
        <v/>
      </c>
      <c r="X3697" s="12">
        <f>IF(LEFT(I3697,2)="MV",2*N3697*IF(L3697="1/C",O3697,1),0)</f>
        <v/>
      </c>
      <c r="Y3697" s="12">
        <f>IF(OR(LEFT(K3697,4)="LVAX",LEFT(K3697,6)="MV15AX",LEFT(K3697,4)="CTAX",LEFT(K3697,2)="W|"),2*N3697*O3697,0)</f>
        <v/>
      </c>
      <c r="Z3697" s="12" t="inlineStr"/>
      <c r="AA3697" s="12">
        <f>N3697*O3697</f>
        <v/>
      </c>
    </row>
    <row r="3698">
      <c r="A3698" s="12" t="inlineStr">
        <is>
          <t>H-C-0003</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318</v>
      </c>
      <c r="U3698" s="16" t="n">
        <v>103</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H-C-0004</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6" t="n">
        <v>318</v>
      </c>
      <c r="U3699" s="16" t="n">
        <v>103</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H-C-0005</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178</v>
      </c>
      <c r="U3700" s="16" t="n">
        <v>123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H-C-0006</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178</v>
      </c>
      <c r="U3701" s="16" t="n">
        <v>123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H-C-0007</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74</v>
      </c>
      <c r="U3702" s="16" t="n">
        <v>107</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H-C-0008</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74</v>
      </c>
      <c r="U3703" s="16" t="n">
        <v>107</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H-C-0009</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318</v>
      </c>
      <c r="U3704" s="16" t="n">
        <v>161</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H-C-0010</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318</v>
      </c>
      <c r="U3705" s="16" t="n">
        <v>161</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H-C-0011</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178</v>
      </c>
      <c r="U3706" s="16" t="n">
        <v>181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H-C-0012</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178</v>
      </c>
      <c r="U3707" s="16" t="n">
        <v>181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H-C-0013</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74</v>
      </c>
      <c r="U3708" s="16" t="n">
        <v>165</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H-C-0014</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74</v>
      </c>
      <c r="U3709" s="16" t="n">
        <v>165</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H-C-0015</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318</v>
      </c>
      <c r="U3710" s="16" t="n">
        <v>219</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H-C-0016</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318</v>
      </c>
      <c r="U3711" s="16" t="n">
        <v>219</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H-C-0017</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178</v>
      </c>
      <c r="U3712" s="16" t="n">
        <v>239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H-C-0018</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178</v>
      </c>
      <c r="U3713" s="16" t="n">
        <v>239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H-C-0019</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380</v>
      </c>
      <c r="U3714" s="16" t="n">
        <v>149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H-C-0020</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380</v>
      </c>
      <c r="U3715" s="16" t="n">
        <v>149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H-C-0021</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620</v>
      </c>
      <c r="U3716" s="16" t="n">
        <v>91</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H-C-0022</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620</v>
      </c>
      <c r="U3717" s="16" t="n">
        <v>91</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H-C-0023</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500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H-C-0024</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500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H-C-0025</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380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H-C-0026</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380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H-C-0027</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620</v>
      </c>
      <c r="U3722" s="16" t="n">
        <v>37</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H-C-0028</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620</v>
      </c>
      <c r="U3723" s="16" t="n">
        <v>37</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H-C-0029</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500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H-C-0030</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500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H-C-0031</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380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H-C-0032</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380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H-C-0033</t>
        </is>
      </c>
      <c r="B3728" s="12" t="inlineStr">
        <is>
          <t>H</t>
        </is>
      </c>
      <c r="C3728" s="12" t="inlineStr">
        <is>
          <t>BESS</t>
        </is>
      </c>
      <c r="D3728" s="12" t="inlineStr">
        <is>
          <t>Control</t>
        </is>
      </c>
      <c r="E3728" s="12" t="inlineStr"/>
      <c r="F3728" s="12" t="inlineStr">
        <is>
          <t>BESS EMS / SCADA and revenue metering</t>
        </is>
      </c>
      <c r="G3728" s="12" t="inlineStr"/>
      <c r="H3728" s="12" t="inlineStr">
        <is>
          <t>BESS auxiliary transformer</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Tray</t>
        </is>
      </c>
      <c r="T3728" s="16" t="n">
        <v>38</v>
      </c>
      <c r="U3728" s="16" t="n">
        <v>32</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H-C-0034</t>
        </is>
      </c>
      <c r="B3729" s="12" t="inlineStr">
        <is>
          <t>H</t>
        </is>
      </c>
      <c r="C3729" s="12" t="inlineStr">
        <is>
          <t>BESS</t>
        </is>
      </c>
      <c r="D3729" s="12" t="inlineStr">
        <is>
          <t>Control</t>
        </is>
      </c>
      <c r="E3729" s="12" t="inlineStr"/>
      <c r="F3729" s="12" t="inlineStr">
        <is>
          <t>BESS EMS / SCADA and revenue metering</t>
        </is>
      </c>
      <c r="G3729" s="12" t="inlineStr"/>
      <c r="H3729" s="12" t="inlineStr">
        <is>
          <t>BESS auxiliary transformer</t>
        </is>
      </c>
      <c r="I3729" s="12" t="inlineStr">
        <is>
          <t>Control</t>
        </is>
      </c>
      <c r="J3729" s="12" t="inlineStr">
        <is>
          <t>Control cable 600 V Type TC-ER, Cu #14 AWG, PVC jacket</t>
        </is>
      </c>
      <c r="K3729" s="12" t="inlineStr">
        <is>
          <t>CT|12/C|14</t>
        </is>
      </c>
      <c r="L3729" s="12" t="inlineStr">
        <is>
          <t>12/C</t>
        </is>
      </c>
      <c r="M3729" s="12" t="inlineStr">
        <is>
          <t>14</t>
        </is>
      </c>
      <c r="N3729" s="12" t="n">
        <v>1</v>
      </c>
      <c r="O3729" s="12" t="n">
        <v>1</v>
      </c>
      <c r="P3729" s="12" t="n"/>
      <c r="Q3729" s="12" t="n"/>
      <c r="R3729" s="12" t="n"/>
      <c r="S3729" s="12" t="inlineStr">
        <is>
          <t>Tray</t>
        </is>
      </c>
      <c r="T3729" s="16" t="n">
        <v>38</v>
      </c>
      <c r="U3729" s="16" t="n">
        <v>32</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H-C-0035</t>
        </is>
      </c>
      <c r="B3730" s="12" t="inlineStr">
        <is>
          <t>H</t>
        </is>
      </c>
      <c r="C3730" s="12" t="inlineStr">
        <is>
          <t>BESS</t>
        </is>
      </c>
      <c r="D3730" s="12" t="inlineStr">
        <is>
          <t>CT / VT</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#10 AWG (CT / VT circuits)</t>
        </is>
      </c>
      <c r="K3730" s="12" t="inlineStr">
        <is>
          <t>CTCT|4/C|10</t>
        </is>
      </c>
      <c r="L3730" s="12" t="inlineStr">
        <is>
          <t>4/C</t>
        </is>
      </c>
      <c r="M3730" s="12" t="inlineStr">
        <is>
          <t>10</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H-C-0036</t>
        </is>
      </c>
      <c r="B3731" s="12" t="inlineStr">
        <is>
          <t>H</t>
        </is>
      </c>
      <c r="C3731" s="12" t="inlineStr">
        <is>
          <t>BESS</t>
        </is>
      </c>
      <c r="D3731" s="12" t="inlineStr">
        <is>
          <t>CT / VT</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#10 AWG (CT / VT circuits)</t>
        </is>
      </c>
      <c r="K3731" s="12" t="inlineStr">
        <is>
          <t>CTCT|4/C|10</t>
        </is>
      </c>
      <c r="L3731" s="12" t="inlineStr">
        <is>
          <t>4/C</t>
        </is>
      </c>
      <c r="M3731" s="12" t="inlineStr">
        <is>
          <t>10</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H-C-0037</t>
        </is>
      </c>
      <c r="B3732" s="12" t="inlineStr">
        <is>
          <t>H</t>
        </is>
      </c>
      <c r="C3732" s="12" t="inlineStr">
        <is>
          <t>BESS</t>
        </is>
      </c>
      <c r="D3732" s="12" t="inlineStr">
        <is>
          <t>Control</t>
        </is>
      </c>
      <c r="E3732" s="12" t="inlineStr"/>
      <c r="F3732" s="12" t="inlineStr">
        <is>
          <t>BESS EMS / SCADA and revenue metering</t>
        </is>
      </c>
      <c r="G3732" s="12" t="inlineStr">
        <is>
          <t>BESS</t>
        </is>
      </c>
      <c r="H3732" s="12" t="inlineStr">
        <is>
          <t>BESS blocks: 30 containers + 15 PCS / MV skids</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6" t="n">
        <v>336</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H-C-0038</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6" t="n">
        <v>10</v>
      </c>
      <c r="U3733" s="16" t="n">
        <v>150</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H-C-0039</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6" t="n">
        <v>0</v>
      </c>
      <c r="U3734" s="16" t="n">
        <v>160</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H-C-0040</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Tray</t>
        </is>
      </c>
      <c r="T3735" s="16" t="n">
        <v>0</v>
      </c>
      <c r="U3735" s="16" t="n">
        <v>200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H-C-0041</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200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H-C-0042</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168</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H-C-0043</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168</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H-C-0044</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6" t="n">
        <v>10</v>
      </c>
      <c r="U3739" s="16" t="n">
        <v>266</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H-C-0045</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276</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H-C-0046</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6" t="n">
        <v>0</v>
      </c>
      <c r="U3741" s="16" t="n">
        <v>316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H-C-0047</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316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H-C-0048</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284</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H-C-0049</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284</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H-C-0050</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290</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H-C-0051</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290</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H-C-0052</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H-C-0053</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H-C-0054</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H-C-0055</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H-C-0056</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174</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H-C-0057</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174</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H-C-0058</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H-C-0059</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H-C-0060</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H-C-0061</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H-C-0062</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62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H-C-0063</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62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H-C-0064</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H-C-0065</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H-C-0066</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H-C-0067</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H-C-0068</t>
        </is>
      </c>
      <c r="B3763" s="12" t="inlineStr">
        <is>
          <t>H</t>
        </is>
      </c>
      <c r="C3763" s="12" t="inlineStr">
        <is>
          <t>BESS</t>
        </is>
      </c>
      <c r="D3763" s="12" t="inlineStr">
        <is>
          <t>Motor 1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6" t="n">
        <v>180</v>
      </c>
      <c r="U3763" s="16" t="n">
        <v>32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H-C-0069</t>
        </is>
      </c>
      <c r="B3764" s="12" t="inlineStr">
        <is>
          <t>H</t>
        </is>
      </c>
      <c r="C3764" s="12" t="inlineStr">
        <is>
          <t>BESS</t>
        </is>
      </c>
      <c r="D3764" s="12" t="inlineStr">
        <is>
          <t>Motor 2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180</v>
      </c>
      <c r="U3764" s="16" t="n">
        <v>32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H-C-0070</t>
        </is>
      </c>
      <c r="B3765" s="12" t="inlineStr">
        <is>
          <t>H</t>
        </is>
      </c>
      <c r="C3765" s="12" t="inlineStr">
        <is>
          <t>BESS</t>
        </is>
      </c>
      <c r="D3765" s="12" t="inlineStr">
        <is>
          <t>Motor 3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H-C-0071</t>
        </is>
      </c>
      <c r="B3766" s="12" t="inlineStr">
        <is>
          <t>H</t>
        </is>
      </c>
      <c r="C3766" s="12" t="inlineStr">
        <is>
          <t>BESS</t>
        </is>
      </c>
      <c r="D3766" s="12" t="inlineStr">
        <is>
          <t>Motor 4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H-C-0072</t>
        </is>
      </c>
      <c r="B3767" s="12" t="inlineStr">
        <is>
          <t>H</t>
        </is>
      </c>
      <c r="C3767" s="12" t="inlineStr">
        <is>
          <t>BESS</t>
        </is>
      </c>
      <c r="D3767" s="12" t="inlineStr">
        <is>
          <t>Motor 5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H-C-0073</t>
        </is>
      </c>
      <c r="B3768" s="12" t="inlineStr">
        <is>
          <t>H</t>
        </is>
      </c>
      <c r="C3768" s="12" t="inlineStr">
        <is>
          <t>BESS</t>
        </is>
      </c>
      <c r="D3768" s="12" t="inlineStr">
        <is>
          <t>Motor 6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H-C-0074</t>
        </is>
      </c>
      <c r="B3769" s="12" t="inlineStr">
        <is>
          <t>H</t>
        </is>
      </c>
      <c r="C3769" s="12" t="inlineStr">
        <is>
          <t>BESS</t>
        </is>
      </c>
      <c r="D3769" s="12" t="inlineStr">
        <is>
          <t>Control</t>
        </is>
      </c>
      <c r="E3769" s="12" t="inlineStr"/>
      <c r="F3769" s="12" t="inlineStr">
        <is>
          <t>BESS EMS / SCADA and revenue metering</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162</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H-C-0075</t>
        </is>
      </c>
      <c r="B3770" s="12" t="inlineStr">
        <is>
          <t>H</t>
        </is>
      </c>
      <c r="C3770" s="12" t="inlineStr">
        <is>
          <t>BESS</t>
        </is>
      </c>
      <c r="D3770" s="12" t="inlineStr">
        <is>
          <t>Control</t>
        </is>
      </c>
      <c r="E3770" s="12" t="inlineStr"/>
      <c r="F3770" s="12" t="inlineStr">
        <is>
          <t>BESS EMS / SCADA and revenue metering</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6" t="n">
        <v>162</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H-C-0076</t>
        </is>
      </c>
      <c r="B3771" s="12" t="inlineStr">
        <is>
          <t>H</t>
        </is>
      </c>
      <c r="C3771" s="12" t="inlineStr">
        <is>
          <t>BESS</t>
        </is>
      </c>
      <c r="D3771" s="12" t="inlineStr">
        <is>
          <t>CT / VT</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H-C-0077</t>
        </is>
      </c>
      <c r="B3772" s="12" t="inlineStr">
        <is>
          <t>H</t>
        </is>
      </c>
      <c r="C3772" s="12" t="inlineStr">
        <is>
          <t>BESS</t>
        </is>
      </c>
      <c r="D3772" s="12" t="inlineStr">
        <is>
          <t>CT / VT</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H-C-0078</t>
        </is>
      </c>
      <c r="B3773" s="12" t="inlineStr">
        <is>
          <t>H</t>
        </is>
      </c>
      <c r="C3773" s="12" t="inlineStr">
        <is>
          <t>BESS</t>
        </is>
      </c>
      <c r="D3773" s="12" t="inlineStr">
        <is>
          <t>Control</t>
        </is>
      </c>
      <c r="E3773" s="12" t="inlineStr"/>
      <c r="F3773" s="12" t="inlineStr">
        <is>
          <t>BESS EMS / SCADA and revenue metering</t>
        </is>
      </c>
      <c r="G3773" s="12" t="inlineStr"/>
      <c r="H3773" s="12" t="inlineStr">
        <is>
          <t>CONDITIONAL: grounding transformer</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280</v>
      </c>
      <c r="U3773" s="16" t="n">
        <v>87</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H-C-0079</t>
        </is>
      </c>
      <c r="B3774" s="12" t="inlineStr">
        <is>
          <t>H</t>
        </is>
      </c>
      <c r="C3774" s="12" t="inlineStr">
        <is>
          <t>BESS</t>
        </is>
      </c>
      <c r="D3774" s="12" t="inlineStr">
        <is>
          <t>Control</t>
        </is>
      </c>
      <c r="E3774" s="12" t="inlineStr"/>
      <c r="F3774" s="12" t="inlineStr">
        <is>
          <t>BESS EMS / SCADA and revenue metering</t>
        </is>
      </c>
      <c r="G3774" s="12" t="inlineStr"/>
      <c r="H3774" s="12" t="inlineStr">
        <is>
          <t>CONDITIONAL: grounding transformer</t>
        </is>
      </c>
      <c r="I3774" s="12" t="inlineStr">
        <is>
          <t>Control</t>
        </is>
      </c>
      <c r="J3774" s="12" t="inlineStr">
        <is>
          <t>Control cable 600 V Type TC-ER, Cu #14 AWG, PVC jacket</t>
        </is>
      </c>
      <c r="K3774" s="12" t="inlineStr">
        <is>
          <t>CT|12/C|14</t>
        </is>
      </c>
      <c r="L3774" s="12" t="inlineStr">
        <is>
          <t>12/C</t>
        </is>
      </c>
      <c r="M3774" s="12" t="inlineStr">
        <is>
          <t>14</t>
        </is>
      </c>
      <c r="N3774" s="12" t="n">
        <v>1</v>
      </c>
      <c r="O3774" s="12" t="n">
        <v>1</v>
      </c>
      <c r="P3774" s="12" t="n"/>
      <c r="Q3774" s="12" t="n"/>
      <c r="R3774" s="12" t="n"/>
      <c r="S3774" s="12" t="inlineStr">
        <is>
          <t>Duct bank</t>
        </is>
      </c>
      <c r="T3774" s="16" t="n">
        <v>280</v>
      </c>
      <c r="U3774" s="16" t="n">
        <v>87</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H-C-0080</t>
        </is>
      </c>
      <c r="B3775" s="12" t="inlineStr">
        <is>
          <t>H</t>
        </is>
      </c>
      <c r="C3775" s="12" t="inlineStr">
        <is>
          <t>BESS</t>
        </is>
      </c>
      <c r="D3775" s="12" t="inlineStr">
        <is>
          <t>CT / VT</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#10 AWG (CT / VT circuits)</t>
        </is>
      </c>
      <c r="K3775" s="12" t="inlineStr">
        <is>
          <t>CTCT|4/C|10</t>
        </is>
      </c>
      <c r="L3775" s="12" t="inlineStr">
        <is>
          <t>4/C</t>
        </is>
      </c>
      <c r="M3775" s="12" t="inlineStr">
        <is>
          <t>10</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H-C-0081</t>
        </is>
      </c>
      <c r="B3776" s="12" t="inlineStr">
        <is>
          <t>H</t>
        </is>
      </c>
      <c r="C3776" s="12" t="inlineStr">
        <is>
          <t>BESS</t>
        </is>
      </c>
      <c r="D3776" s="12" t="inlineStr">
        <is>
          <t>CT / VT</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#10 AWG (CT / VT circuits)</t>
        </is>
      </c>
      <c r="K3776" s="12" t="inlineStr">
        <is>
          <t>CTCT|4/C|10</t>
        </is>
      </c>
      <c r="L3776" s="12" t="inlineStr">
        <is>
          <t>4/C</t>
        </is>
      </c>
      <c r="M3776" s="12" t="inlineStr">
        <is>
          <t>10</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H-DC-0001</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Duct bank</t>
        </is>
      </c>
      <c r="T3777" s="16" t="n">
        <v>10</v>
      </c>
      <c r="U3777" s="16" t="n">
        <v>150</v>
      </c>
      <c r="V3777" s="16">
        <f>ROUNDUP((T3777+U3777+2*'Read Me'!$B$13)*(1+'Read Me'!$B$12),-1)</f>
        <v/>
      </c>
      <c r="W3777" s="16">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H-DC-0002</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Tray</t>
        </is>
      </c>
      <c r="T3778" s="16" t="n">
        <v>0</v>
      </c>
      <c r="U3778" s="16" t="n">
        <v>160</v>
      </c>
      <c r="V3778" s="16">
        <f>ROUNDUP((T3778+U3778+2*'Read Me'!$B$13)*(1+'Read Me'!$B$12),-1)</f>
        <v/>
      </c>
      <c r="W3778" s="16">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H-DC-0003</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Tray</t>
        </is>
      </c>
      <c r="T3779" s="16" t="n">
        <v>0</v>
      </c>
      <c r="U3779" s="16" t="n">
        <v>200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H-DC-0004</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200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H-DC-0005</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168</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H-DC-0006</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Duct bank</t>
        </is>
      </c>
      <c r="T3782" s="16" t="n">
        <v>10</v>
      </c>
      <c r="U3782" s="16" t="n">
        <v>158</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H-DC-0007</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Duct bank</t>
        </is>
      </c>
      <c r="T3783" s="16" t="n">
        <v>10</v>
      </c>
      <c r="U3783" s="16" t="n">
        <v>266</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H-DC-0008</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Tray</t>
        </is>
      </c>
      <c r="T3784" s="16" t="n">
        <v>0</v>
      </c>
      <c r="U3784" s="16" t="n">
        <v>276</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H-DC-0009</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6" t="n">
        <v>0</v>
      </c>
      <c r="U3785" s="16" t="n">
        <v>316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H-DC-0010</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316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H-DC-0011</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284</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H-DC-0012</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Duct bank</t>
        </is>
      </c>
      <c r="T3788" s="16" t="n">
        <v>10</v>
      </c>
      <c r="U3788" s="16" t="n">
        <v>274</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H-DC-0013</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290</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H-DC-0014</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6" t="n">
        <v>0</v>
      </c>
      <c r="U3790" s="16" t="n">
        <v>290</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H-DC-0015</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H-DC-0016</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H-DC-0017</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H-DC-0018</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27</v>
      </c>
      <c r="U3794" s="16" t="n">
        <v>263</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H-DC-0019</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174</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H-DC-0020</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0</v>
      </c>
      <c r="U3796" s="16" t="n">
        <v>174</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H-DC-0021</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H-DC-0022</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H-DC-0023</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H-DC-0024</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H-DC-0025</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62</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H-DC-0026</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62</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H-DC-0027</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H-DC-0028</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H-DC-0029</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H-DC-0030</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H-F-0001</t>
        </is>
      </c>
      <c r="B3807" s="12" t="inlineStr">
        <is>
          <t>H</t>
        </is>
      </c>
      <c r="C3807" s="12" t="inlineStr">
        <is>
          <t>BESS</t>
        </is>
      </c>
      <c r="D3807" s="12" t="inlineStr">
        <is>
          <t>Plant network / DCS fibre</t>
        </is>
      </c>
      <c r="E3807" s="12" t="inlineStr">
        <is>
          <t>CR</t>
        </is>
      </c>
      <c r="F3807" s="12" t="inlineStr">
        <is>
          <t>Control / admin building (main control room)</t>
        </is>
      </c>
      <c r="G3807" s="12" t="inlineStr"/>
      <c r="H3807" s="12" t="inlineStr">
        <is>
          <t>34.5 kV collector e-house (arc-resistant)</t>
        </is>
      </c>
      <c r="I3807" s="12" t="inlineStr">
        <is>
          <t>Fibre / data</t>
        </is>
      </c>
      <c r="J3807" s="12" t="inlineStr">
        <is>
          <t>Fibre optic, single-mode, 12-fibre, armored, orange jacket</t>
        </is>
      </c>
      <c r="K3807" s="12" t="inlineStr">
        <is>
          <t>FO|12 SM|-</t>
        </is>
      </c>
      <c r="L3807" s="12" t="inlineStr">
        <is>
          <t>12 SM</t>
        </is>
      </c>
      <c r="M3807" s="12" t="inlineStr">
        <is>
          <t>-</t>
        </is>
      </c>
      <c r="N3807" s="12" t="n">
        <v>1</v>
      </c>
      <c r="O3807" s="12" t="n">
        <v>1</v>
      </c>
      <c r="P3807" s="12" t="n"/>
      <c r="Q3807" s="12" t="n"/>
      <c r="R3807" s="12" t="n"/>
      <c r="S3807" s="12" t="inlineStr">
        <is>
          <t>Trench</t>
        </is>
      </c>
      <c r="T3807" s="16" t="n">
        <v>2496</v>
      </c>
      <c r="U3807" s="16" t="n">
        <v>36</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H-F-0002</t>
        </is>
      </c>
      <c r="B3808" s="12" t="inlineStr">
        <is>
          <t>H</t>
        </is>
      </c>
      <c r="C3808" s="12" t="inlineStr">
        <is>
          <t>BESS</t>
        </is>
      </c>
      <c r="D3808" s="12" t="inlineStr">
        <is>
          <t>Plant network / DCS fibre</t>
        </is>
      </c>
      <c r="E3808" s="12" t="inlineStr">
        <is>
          <t>CR</t>
        </is>
      </c>
      <c r="F3808" s="12" t="inlineStr">
        <is>
          <t>Control / admin building (main control room)</t>
        </is>
      </c>
      <c r="G3808" s="12" t="inlineStr"/>
      <c r="H3808" s="12" t="inlineStr">
        <is>
          <t>BESS EMS / SCADA and revenue metering</t>
        </is>
      </c>
      <c r="I3808" s="12" t="inlineStr">
        <is>
          <t>Fibre / data</t>
        </is>
      </c>
      <c r="J3808" s="12" t="inlineStr">
        <is>
          <t>Fibre optic, single-mode, 12-fibre, armored, orange jacket</t>
        </is>
      </c>
      <c r="K3808" s="12" t="inlineStr">
        <is>
          <t>FO|12 SM|-</t>
        </is>
      </c>
      <c r="L3808" s="12" t="inlineStr">
        <is>
          <t>12 SM</t>
        </is>
      </c>
      <c r="M3808" s="12" t="inlineStr">
        <is>
          <t>-</t>
        </is>
      </c>
      <c r="N3808" s="12" t="n">
        <v>1</v>
      </c>
      <c r="O3808" s="12" t="n">
        <v>1</v>
      </c>
      <c r="P3808" s="12" t="n"/>
      <c r="Q3808" s="12" t="n"/>
      <c r="R3808" s="12" t="n"/>
      <c r="S3808" s="12" t="inlineStr">
        <is>
          <t>Trench</t>
        </is>
      </c>
      <c r="T3808" s="16" t="n">
        <v>2583</v>
      </c>
      <c r="U3808" s="16" t="n">
        <v>76</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H-FA-0001</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34.5 kV collector e-house (arc-resistant)</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6" t="n">
        <v>68</v>
      </c>
      <c r="U3809" s="16" t="n">
        <v>37</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H-FA-0002</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EMS / SCADA and revenue metering</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Tray</t>
        </is>
      </c>
      <c r="T3810" s="16" t="n">
        <v>0</v>
      </c>
      <c r="U3810" s="16" t="n">
        <v>32</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H-FA-0003</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is>
          <t>BESS</t>
        </is>
      </c>
      <c r="H3811" s="12" t="inlineStr">
        <is>
          <t>BESS blocks: 30 containers + 15 PCS / MV skids</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336</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H-FA-0004</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6" t="n">
        <v>300</v>
      </c>
      <c r="U3812" s="16" t="n">
        <v>89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H-FA-0005</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160</v>
      </c>
      <c r="U3813" s="16" t="n">
        <v>169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H-FA-0006</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160</v>
      </c>
      <c r="U3814" s="16" t="n">
        <v>109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H-FA-0007</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70</v>
      </c>
      <c r="U3815" s="16" t="n">
        <v>139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H-FA-0008</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30</v>
      </c>
      <c r="U3816" s="16" t="n">
        <v>93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H-FA-0009</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Tray</t>
        </is>
      </c>
      <c r="T3817" s="16" t="n">
        <v>0</v>
      </c>
      <c r="U3817" s="16" t="n">
        <v>83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H-FA-0010</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300</v>
      </c>
      <c r="U3818" s="16" t="n">
        <v>147</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H-FA-0011</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Duct bank</t>
        </is>
      </c>
      <c r="T3819" s="16" t="n">
        <v>160</v>
      </c>
      <c r="U3819" s="16" t="n">
        <v>227</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H-FA-0012</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160</v>
      </c>
      <c r="U3820" s="16" t="n">
        <v>167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H-FA-0013</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30</v>
      </c>
      <c r="U3821" s="16" t="n">
        <v>211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H-FA-0014</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30</v>
      </c>
      <c r="U3822" s="16" t="n">
        <v>151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H-FA-0015</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Tray</t>
        </is>
      </c>
      <c r="T3823" s="16" t="n">
        <v>0</v>
      </c>
      <c r="U3823" s="16" t="n">
        <v>141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H-FA-0016</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300</v>
      </c>
      <c r="U3824" s="16" t="n">
        <v>205</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H-FA-0017</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6" t="n">
        <v>300</v>
      </c>
      <c r="U3825" s="16" t="n">
        <v>205</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H-FA-0018</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160</v>
      </c>
      <c r="U3826" s="16" t="n">
        <v>225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H-FA-0019</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160</v>
      </c>
      <c r="U3827" s="16" t="n">
        <v>225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H-FA-0020</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30</v>
      </c>
      <c r="U3828" s="16" t="n">
        <v>209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H-FA-0021</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336</v>
      </c>
      <c r="U3829" s="16" t="n">
        <v>173</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H-FA-0022</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340</v>
      </c>
      <c r="U3830" s="16" t="n">
        <v>253</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H-FA-0023</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300</v>
      </c>
      <c r="U3831" s="16" t="n">
        <v>263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H-FA-0024</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160</v>
      </c>
      <c r="U3832" s="16" t="n">
        <v>283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H-FA-0025</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160</v>
      </c>
      <c r="U3833" s="16" t="n">
        <v>283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H-FA-0026</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336</v>
      </c>
      <c r="U3834" s="16" t="n">
        <v>115</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H-FA-0027</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336</v>
      </c>
      <c r="U3835" s="16" t="n">
        <v>115</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H-FA-0028</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602</v>
      </c>
      <c r="U3836" s="16" t="n">
        <v>57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H-FA-0029</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482</v>
      </c>
      <c r="U3837" s="16" t="n">
        <v>117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H-FA-0030</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336</v>
      </c>
      <c r="U3838" s="16" t="n">
        <v>177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H-FA-0031</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336</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H-FA-0032</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57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H-FA-0033</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57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H-I-0001</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6" t="n">
        <v>43</v>
      </c>
      <c r="U3842" s="16" t="n">
        <v>10</v>
      </c>
      <c r="V3842" s="16">
        <f>ROUNDUP((T3842+U3842+2*'Read Me'!$B$13)*(1+'Read Me'!$B$12),-1)</f>
        <v/>
      </c>
      <c r="W3842" s="16">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H-I-0002</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6" t="n">
        <v>300</v>
      </c>
      <c r="U3843" s="16" t="n">
        <v>103</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H-I-0003</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H-I-0004</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H-I-0005</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H-I-0006</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160</v>
      </c>
      <c r="U3847" s="16" t="n">
        <v>123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H-I-0007</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H-I-0008</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H-I-0009</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H-I-0010</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30</v>
      </c>
      <c r="U3851" s="16" t="n">
        <v>107</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H-I-0011</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H-I-0012</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H-I-0013</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H-I-0014</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300</v>
      </c>
      <c r="U3855" s="16" t="n">
        <v>161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H-I-0015</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H-I-0016</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H-I-0017</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H-I-0018</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160</v>
      </c>
      <c r="U3859" s="16" t="n">
        <v>181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H-I-0019</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H-I-0020</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H-I-0021</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H-I-0022</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30</v>
      </c>
      <c r="U3863" s="16" t="n">
        <v>165</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H-I-0023</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H-I-0024</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H-I-0025</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H-I-0026</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300</v>
      </c>
      <c r="U3867" s="16" t="n">
        <v>219</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H-I-0027</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H-I-0028</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H-I-0029</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H-I-0030</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160</v>
      </c>
      <c r="U3871" s="16" t="n">
        <v>239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H-I-0031</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H-I-0032</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H-I-0033</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H-I-0034</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336</v>
      </c>
      <c r="U3875" s="16" t="n">
        <v>149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H-I-0035</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H-I-0036</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H-I-0037</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H-I-0038</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602</v>
      </c>
      <c r="U3879" s="16" t="n">
        <v>91</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H-I-0039</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H-I-0040</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H-I-0041</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H-I-0042</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336</v>
      </c>
      <c r="U3883" s="16" t="n">
        <v>211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H-I-0043</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H-I-0044</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H-I-0045</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H-I-0046</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91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H-I-0047</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H-I-0048</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H-I-0049</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H-I-0050</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602</v>
      </c>
      <c r="U3891" s="16" t="n">
        <v>37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H-I-0051</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H-I-0052</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H-I-0053</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H-I-0054</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336</v>
      </c>
      <c r="U3895" s="16" t="n">
        <v>157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H-I-0055</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H-I-0056</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H-I-0057</t>
        </is>
      </c>
      <c r="B3898" s="12" t="inlineStr">
        <is>
          <t>H</t>
        </is>
      </c>
      <c r="C3898" s="12" t="inlineStr">
        <is>
          <t>BESS</t>
        </is>
      </c>
      <c r="D3898" s="12" t="inlineStr">
        <is>
          <t>Analog instrument to JB JB-BESS PCS / MV skid-AI01: 6 x 1 pr (field cables)</t>
        </is>
      </c>
      <c r="E3898" s="12" t="inlineStr"/>
      <c r="F3898" s="12" t="inlineStr">
        <is>
          <t>BESS PCS / MV skid</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6</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H-I-0058</t>
        </is>
      </c>
      <c r="B3899" s="12" t="inlineStr">
        <is>
          <t>H</t>
        </is>
      </c>
      <c r="C3899" s="12" t="inlineStr">
        <is>
          <t>BESS</t>
        </is>
      </c>
      <c r="D3899" s="12" t="inlineStr">
        <is>
          <t>Home run JB-BESS PCS / MV skid-AI01 to the control / marshalling room</t>
        </is>
      </c>
      <c r="E3899" s="12" t="inlineStr"/>
      <c r="F3899" s="12" t="inlineStr">
        <is>
          <t>BESS EMS / SCADA and revenue metering</t>
        </is>
      </c>
      <c r="G3899" s="12" t="inlineStr">
        <is>
          <t>JB-BESS PCS / MV skid-AI01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37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H-I-0059</t>
        </is>
      </c>
      <c r="B3900" s="12" t="inlineStr">
        <is>
          <t>H</t>
        </is>
      </c>
      <c r="C3900" s="12" t="inlineStr">
        <is>
          <t>BESS</t>
        </is>
      </c>
      <c r="D3900" s="12" t="inlineStr">
        <is>
          <t>Discrete device to JB JB-BESS PCS / MV skid-DI01: 10 x 1 pr (field cables)</t>
        </is>
      </c>
      <c r="E3900" s="12" t="inlineStr"/>
      <c r="F3900" s="12" t="inlineStr">
        <is>
          <t>BESS PCS / MV skid</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10</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H-I-0060</t>
        </is>
      </c>
      <c r="B3901" s="12" t="inlineStr">
        <is>
          <t>H</t>
        </is>
      </c>
      <c r="C3901" s="12" t="inlineStr">
        <is>
          <t>BESS</t>
        </is>
      </c>
      <c r="D3901" s="12" t="inlineStr">
        <is>
          <t>Home run JB-BESS PCS / MV skid-DI01 to the control / marshalling room</t>
        </is>
      </c>
      <c r="E3901" s="12" t="inlineStr"/>
      <c r="F3901" s="12" t="inlineStr">
        <is>
          <t>BESS EMS / SCADA and revenue metering</t>
        </is>
      </c>
      <c r="G3901" s="12" t="inlineStr">
        <is>
          <t>JB-BESS PCS / MV skid-DI01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H-I-0061</t>
        </is>
      </c>
      <c r="B3902" s="12" t="inlineStr">
        <is>
          <t>H</t>
        </is>
      </c>
      <c r="C3902" s="12" t="inlineStr">
        <is>
          <t>BESS</t>
        </is>
      </c>
      <c r="D3902" s="12" t="inlineStr">
        <is>
          <t>Instrumentation</t>
        </is>
      </c>
      <c r="E3902" s="12" t="inlineStr"/>
      <c r="F3902" s="12" t="inlineStr">
        <is>
          <t>BESS EMS / SCADA and revenue metering</t>
        </is>
      </c>
      <c r="G3902" s="12" t="inlineStr"/>
      <c r="H3902" s="12" t="inlineStr">
        <is>
          <t>BESS auxiliary transformer</t>
        </is>
      </c>
      <c r="I3902" s="12" t="inlineStr">
        <is>
          <t>Instrumentation</t>
        </is>
      </c>
      <c r="J3902" s="12" t="inlineStr">
        <is>
          <t>Instrumentation PLTC / TC-ER 300 V, #18 twisted shielded pairs, overall shield</t>
        </is>
      </c>
      <c r="K3902" s="12" t="inlineStr">
        <is>
          <t>PLTC|4 pr|18</t>
        </is>
      </c>
      <c r="L3902" s="12" t="inlineStr">
        <is>
          <t>4 pr</t>
        </is>
      </c>
      <c r="M3902" s="12" t="inlineStr">
        <is>
          <t>18</t>
        </is>
      </c>
      <c r="N3902" s="12" t="n">
        <v>1</v>
      </c>
      <c r="O3902" s="12" t="n">
        <v>1</v>
      </c>
      <c r="P3902" s="12" t="n"/>
      <c r="Q3902" s="12" t="n"/>
      <c r="R3902" s="12" t="n"/>
      <c r="S3902" s="12" t="inlineStr">
        <is>
          <t>Tray</t>
        </is>
      </c>
      <c r="T3902" s="16" t="n">
        <v>38</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H-I-0062</t>
        </is>
      </c>
      <c r="B3903" s="12" t="inlineStr">
        <is>
          <t>H</t>
        </is>
      </c>
      <c r="C3903" s="12" t="inlineStr">
        <is>
          <t>BESS</t>
        </is>
      </c>
      <c r="D3903" s="12" t="inlineStr">
        <is>
          <t>Instrumentation</t>
        </is>
      </c>
      <c r="E3903" s="12" t="inlineStr"/>
      <c r="F3903" s="12" t="inlineStr">
        <is>
          <t>BESS EMS / SCADA and revenue metering</t>
        </is>
      </c>
      <c r="G3903" s="12" t="inlineStr">
        <is>
          <t>BESS</t>
        </is>
      </c>
      <c r="H3903" s="12" t="inlineStr">
        <is>
          <t>BESS blocks: 30 containers + 15 PCS / MV skids</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6" t="n">
        <v>336</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H-I-0063</t>
        </is>
      </c>
      <c r="B3904" s="12" t="inlineStr">
        <is>
          <t>H</t>
        </is>
      </c>
      <c r="C3904" s="12" t="inlineStr">
        <is>
          <t>BESS</t>
        </is>
      </c>
      <c r="D3904" s="12" t="inlineStr">
        <is>
          <t>Instrumentation</t>
        </is>
      </c>
      <c r="E3904" s="12" t="inlineStr"/>
      <c r="F3904" s="12" t="inlineStr">
        <is>
          <t>BESS EMS / SCADA and revenue metering</t>
        </is>
      </c>
      <c r="G3904" s="12" t="inlineStr">
        <is>
          <t>BESS</t>
        </is>
      </c>
      <c r="H3904" s="12" t="inlineStr">
        <is>
          <t>BESS blocks: 30 containers + 15 PCS / MV skids</t>
        </is>
      </c>
      <c r="I3904" s="12" t="inlineStr">
        <is>
          <t>Instrumentation</t>
        </is>
      </c>
      <c r="J3904" s="12" t="inlineStr">
        <is>
          <t>Instrumentation PLTC / TC-ER 300 V, #18 twisted shielded pairs, overall shield</t>
        </is>
      </c>
      <c r="K3904" s="12" t="inlineStr">
        <is>
          <t>PLTC|12 pr|18</t>
        </is>
      </c>
      <c r="L3904" s="12" t="inlineStr">
        <is>
          <t>12 pr</t>
        </is>
      </c>
      <c r="M3904" s="12" t="inlineStr">
        <is>
          <t>18</t>
        </is>
      </c>
      <c r="N3904" s="12" t="n">
        <v>1</v>
      </c>
      <c r="O3904" s="12" t="n">
        <v>1</v>
      </c>
      <c r="P3904" s="12" t="n"/>
      <c r="Q3904" s="12" t="n"/>
      <c r="R3904" s="12" t="n"/>
      <c r="S3904" s="12" t="inlineStr">
        <is>
          <t>Duct bank</t>
        </is>
      </c>
      <c r="T3904" s="16" t="n">
        <v>336</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H-I-0064</t>
        </is>
      </c>
      <c r="B3905" s="12" t="inlineStr">
        <is>
          <t>H</t>
        </is>
      </c>
      <c r="C3905" s="12" t="inlineStr">
        <is>
          <t>BESS</t>
        </is>
      </c>
      <c r="D3905" s="12" t="inlineStr">
        <is>
          <t>Thermocouples</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Thermocouple extension KX, #16 shielded pairs, PLTC</t>
        </is>
      </c>
      <c r="K3905" s="12" t="inlineStr">
        <is>
          <t>TCX|12 pr|16</t>
        </is>
      </c>
      <c r="L3905" s="12" t="inlineStr">
        <is>
          <t>12 pr</t>
        </is>
      </c>
      <c r="M3905" s="12" t="inlineStr">
        <is>
          <t>16</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H-I-0065</t>
        </is>
      </c>
      <c r="B3906" s="12" t="inlineStr">
        <is>
          <t>H</t>
        </is>
      </c>
      <c r="C3906" s="12" t="inlineStr">
        <is>
          <t>BESS</t>
        </is>
      </c>
      <c r="D3906" s="12" t="inlineStr">
        <is>
          <t>Thermocouples</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Thermocouple extension KX, #16 shielded pairs, PLTC</t>
        </is>
      </c>
      <c r="K3906" s="12" t="inlineStr">
        <is>
          <t>TCX|12 pr|16</t>
        </is>
      </c>
      <c r="L3906" s="12" t="inlineStr">
        <is>
          <t>12 pr</t>
        </is>
      </c>
      <c r="M3906" s="12" t="inlineStr">
        <is>
          <t>16</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H-I-0066</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Duct bank</t>
        </is>
      </c>
      <c r="T3907" s="16" t="n">
        <v>10</v>
      </c>
      <c r="U3907" s="16" t="n">
        <v>150</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H-I-0067</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6" t="n">
        <v>0</v>
      </c>
      <c r="U3908" s="16" t="n">
        <v>160</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H-I-0068</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Tray</t>
        </is>
      </c>
      <c r="T3909" s="16" t="n">
        <v>0</v>
      </c>
      <c r="U3909" s="16" t="n">
        <v>200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H-I-0069</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200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H-I-0070</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168</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H-I-0071</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168</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H-I-0072</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Duct bank</t>
        </is>
      </c>
      <c r="T3913" s="16" t="n">
        <v>10</v>
      </c>
      <c r="U3913" s="16" t="n">
        <v>266</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H-I-0073</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276</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H-I-0074</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6" t="n">
        <v>0</v>
      </c>
      <c r="U3915" s="16" t="n">
        <v>316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H-I-0075</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316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H-I-0076</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284</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H-I-0077</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284</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H-I-0078</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290</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H-I-0079</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290</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H-I-0080</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H-I-0081</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H-I-0082</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H-I-0083</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H-I-0084</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174</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H-I-0085</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174</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H-I-0086</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H-I-0087</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H-I-0088</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H-I-0089</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H-I-0090</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62</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H-I-0091</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62</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H-I-0092</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H-I-0093</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H-I-0094</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H-I-0095</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H-I-0096</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6" t="n">
        <v>53</v>
      </c>
      <c r="U3937" s="16" t="n">
        <v>10</v>
      </c>
      <c r="V3937" s="16">
        <f>ROUNDUP((T3937+U3937+2*'Read Me'!$B$13)*(1+'Read Me'!$B$12),-1)</f>
        <v/>
      </c>
      <c r="W3937" s="16">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H-I-0097</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6" t="n">
        <v>300</v>
      </c>
      <c r="U3938" s="16" t="n">
        <v>89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H-I-0098</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H-I-0099</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160</v>
      </c>
      <c r="U3940" s="16" t="n">
        <v>169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H-I-0100</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H-I-0101</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109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H-I-0102</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H-I-0103</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70</v>
      </c>
      <c r="U3944" s="16" t="n">
        <v>139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H-I-0104</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H-I-0105</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30</v>
      </c>
      <c r="U3946" s="16" t="n">
        <v>93</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H-I-0106</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H-I-0107</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Tray</t>
        </is>
      </c>
      <c r="T3948" s="16" t="n">
        <v>0</v>
      </c>
      <c r="U3948" s="16" t="n">
        <v>83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H-I-0108</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H-I-0109</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6" t="n">
        <v>300</v>
      </c>
      <c r="U3950" s="16" t="n">
        <v>147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H-I-0110</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H-I-0111</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160</v>
      </c>
      <c r="U3952" s="16" t="n">
        <v>227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H-I-0112</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H-I-0113</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167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H-I-0114</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H-I-0115</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30</v>
      </c>
      <c r="U3956" s="16" t="n">
        <v>211</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H-I-0116</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H-I-0117</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151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H-I-0118</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H-I-0119</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Tray</t>
        </is>
      </c>
      <c r="T3960" s="16" t="n">
        <v>0</v>
      </c>
      <c r="U3960" s="16" t="n">
        <v>141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H-I-0120</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H-I-0121</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H-I-0122</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H-I-0123</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H-I-0124</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H-I-0125</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160</v>
      </c>
      <c r="U3966" s="16" t="n">
        <v>225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H-I-0126</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H-I-0127</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H-I-0128</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H-I-0129</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30</v>
      </c>
      <c r="U3970" s="16" t="n">
        <v>209</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H-I-0130</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H-I-0131</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336</v>
      </c>
      <c r="U3972" s="16" t="n">
        <v>173</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H-I-0132</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H-I-0133</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340</v>
      </c>
      <c r="U3974" s="16" t="n">
        <v>253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H-I-0134</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H-I-0135</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300</v>
      </c>
      <c r="U3976" s="16" t="n">
        <v>263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H-I-0136</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H-I-0137</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160</v>
      </c>
      <c r="U3978" s="16" t="n">
        <v>283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H-I-0138</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H-I-0139</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H-I-0140</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H-I-0141</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336</v>
      </c>
      <c r="U3982" s="16" t="n">
        <v>115</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H-I-0142</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H-I-0143</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H-I-0144</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H-I-0145</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602</v>
      </c>
      <c r="U3986" s="16" t="n">
        <v>57</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H-I-0146</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H-I-0147</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482</v>
      </c>
      <c r="U3988" s="16" t="n">
        <v>117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H-I-0148</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H-I-0149</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336</v>
      </c>
      <c r="U3990" s="16" t="n">
        <v>177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H-I-0150</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H-I-0151</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117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H-I-0152</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H-I-0153</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57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H-I-0154</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H-I-0155</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H-I-0156</t>
        </is>
      </c>
      <c r="B3997" s="12" t="inlineStr">
        <is>
          <t>H</t>
        </is>
      </c>
      <c r="C3997" s="12" t="inlineStr">
        <is>
          <t>BESS</t>
        </is>
      </c>
      <c r="D3997" s="12" t="inlineStr">
        <is>
          <t>Analog instrument to JB JB-BESS MPT-AI01: 8 x 1 pr (field cables)</t>
        </is>
      </c>
      <c r="E3997" s="12" t="inlineStr">
        <is>
          <t>BESS MPT</t>
        </is>
      </c>
      <c r="F3997" s="12" t="inlineStr">
        <is>
          <t>BESS main power transformer 34.5/230 kV (to D4 upper)</t>
        </is>
      </c>
      <c r="G3997" s="12" t="inlineStr">
        <is>
          <t>JB-BESS MPT-AI01</t>
        </is>
      </c>
      <c r="H3997" s="12" t="inlineStr">
        <is>
          <t>BESS main power transformer 34.5/230 kV (to D4 upper)</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77</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H-I-0157</t>
        </is>
      </c>
      <c r="B3998" s="12" t="inlineStr">
        <is>
          <t>H</t>
        </is>
      </c>
      <c r="C3998" s="12" t="inlineStr">
        <is>
          <t>BESS</t>
        </is>
      </c>
      <c r="D3998" s="12" t="inlineStr">
        <is>
          <t>Home run JB-BESS MPT-AI01 to the control / marshalling room</t>
        </is>
      </c>
      <c r="E3998" s="12" t="inlineStr"/>
      <c r="F3998" s="12" t="inlineStr">
        <is>
          <t>BESS EMS / SCADA and revenue metering</t>
        </is>
      </c>
      <c r="G3998" s="12" t="inlineStr">
        <is>
          <t>JB-BESS MPT-AI01</t>
        </is>
      </c>
      <c r="H3998" s="12" t="inlineStr">
        <is>
          <t>BESS main power transformer 34.5/230 kV (to D4 upper)</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162</v>
      </c>
      <c r="U3998" s="16" t="n">
        <v>32</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H-I-0158</t>
        </is>
      </c>
      <c r="B3999" s="12" t="inlineStr">
        <is>
          <t>H</t>
        </is>
      </c>
      <c r="C3999" s="12" t="inlineStr">
        <is>
          <t>BESS</t>
        </is>
      </c>
      <c r="D3999" s="12" t="inlineStr">
        <is>
          <t>Discrete device to JB JB-BESS MPT-DI01: 16 x 1 pr (field cables)</t>
        </is>
      </c>
      <c r="E3999" s="12" t="inlineStr">
        <is>
          <t>BESS MPT</t>
        </is>
      </c>
      <c r="F3999" s="12" t="inlineStr">
        <is>
          <t>BESS main power transformer 34.5/230 kV (to D4 upper)</t>
        </is>
      </c>
      <c r="G3999" s="12" t="inlineStr">
        <is>
          <t>JB-BESS MPT-DI01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16</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H-I-0159</t>
        </is>
      </c>
      <c r="B4000" s="12" t="inlineStr">
        <is>
          <t>H</t>
        </is>
      </c>
      <c r="C4000" s="12" t="inlineStr">
        <is>
          <t>BESS</t>
        </is>
      </c>
      <c r="D4000" s="12" t="inlineStr">
        <is>
          <t>Home run JB-BESS MPT-DI01 to the control / marshalling room</t>
        </is>
      </c>
      <c r="E4000" s="12" t="inlineStr"/>
      <c r="F4000" s="12" t="inlineStr">
        <is>
          <t>BESS EMS / SCADA and revenue metering</t>
        </is>
      </c>
      <c r="G4000" s="12" t="inlineStr">
        <is>
          <t>JB-BESS MPT-DI01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H-I-0160</t>
        </is>
      </c>
      <c r="B4001" s="12" t="inlineStr">
        <is>
          <t>H</t>
        </is>
      </c>
      <c r="C4001" s="12" t="inlineStr">
        <is>
          <t>BESS</t>
        </is>
      </c>
      <c r="D4001" s="12" t="inlineStr">
        <is>
          <t>Instrumentation</t>
        </is>
      </c>
      <c r="E4001" s="12" t="inlineStr"/>
      <c r="F4001" s="12" t="inlineStr">
        <is>
          <t>BESS EMS / SCADA and revenue metering</t>
        </is>
      </c>
      <c r="G4001" s="12" t="inlineStr"/>
      <c r="H4001" s="12" t="inlineStr">
        <is>
          <t>CONDITIONAL: grounding transformer</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280</v>
      </c>
      <c r="U4001" s="16" t="n">
        <v>87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H-P-0001</t>
        </is>
      </c>
      <c r="B4002" s="12" t="inlineStr">
        <is>
          <t>H</t>
        </is>
      </c>
      <c r="C4002" s="12" t="inlineStr">
        <is>
          <t>BESS</t>
        </is>
      </c>
      <c r="D4002" s="12" t="inlineStr">
        <is>
          <t>LV panel / distribution feeder</t>
        </is>
      </c>
      <c r="E4002" s="12" t="inlineStr"/>
      <c r="F4002" s="12" t="inlineStr">
        <is>
          <t>BESS auxiliary transformer</t>
        </is>
      </c>
      <c r="G4002" s="12" t="inlineStr"/>
      <c r="H4002" s="12" t="inlineStr">
        <is>
          <t>34.5 kV collector e-house (arc-resistant)</t>
        </is>
      </c>
      <c r="I4002" s="12" t="inlineStr">
        <is>
          <t>LV 600 V</t>
        </is>
      </c>
      <c r="J4002" s="12" t="inlineStr">
        <is>
          <t>Type TC-ER 600 V 3/C Cu XHHW-2 + ground, PVC jacket</t>
        </is>
      </c>
      <c r="K4002" s="12" t="inlineStr">
        <is>
          <t>LV|3/C+G|6</t>
        </is>
      </c>
      <c r="L4002" s="12" t="inlineStr">
        <is>
          <t>3/C+G</t>
        </is>
      </c>
      <c r="M4002" s="12" t="inlineStr">
        <is>
          <t>6</t>
        </is>
      </c>
      <c r="N4002" s="12" t="n">
        <v>1</v>
      </c>
      <c r="O4002" s="12" t="n">
        <v>1</v>
      </c>
      <c r="P4002" s="12" t="n">
        <v>480</v>
      </c>
      <c r="Q4002" s="12" t="n">
        <v>30</v>
      </c>
      <c r="R4002" s="12" t="n">
        <v>42.5</v>
      </c>
      <c r="S4002" s="12" t="inlineStr">
        <is>
          <t>Duct bank</t>
        </is>
      </c>
      <c r="T4002" s="16" t="n">
        <v>30</v>
      </c>
      <c r="U4002" s="16" t="n">
        <v>37</v>
      </c>
      <c r="V4002" s="16">
        <f>ROUNDUP((T4002+U4002+2*'Read Me'!$B$13)*(1+'Read Me'!$B$12),-1)</f>
        <v/>
      </c>
      <c r="W4002" s="16">
        <f>V4002*N4002*O4002</f>
        <v/>
      </c>
      <c r="X4002" s="12">
        <f>IF(LEFT(I4002,2)="MV",2*N4002*IF(L4002="1/C",O4002,1),0)</f>
        <v/>
      </c>
      <c r="Y4002" s="12">
        <f>IF(OR(LEFT(K4002,4)="LVAX",LEFT(K4002,6)="MV15AX",LEFT(K4002,4)="CTAX",LEFT(K4002,2)="W|"),2*N4002*O4002,0)</f>
        <v/>
      </c>
      <c r="Z4002" s="12" t="inlineStr">
        <is>
          <t>VD 0.6 %</t>
        </is>
      </c>
      <c r="AA4002" s="12">
        <f>N4002*O4002</f>
        <v/>
      </c>
    </row>
    <row r="4003">
      <c r="A4003" s="12" t="inlineStr">
        <is>
          <t>H-P-0002</t>
        </is>
      </c>
      <c r="B4003" s="12" t="inlineStr">
        <is>
          <t>H</t>
        </is>
      </c>
      <c r="C4003" s="12" t="inlineStr">
        <is>
          <t>BESS</t>
        </is>
      </c>
      <c r="D4003" s="12" t="inlineStr">
        <is>
          <t>LV panel / distribution feeder</t>
        </is>
      </c>
      <c r="E4003" s="12" t="inlineStr"/>
      <c r="F4003" s="12" t="inlineStr">
        <is>
          <t>BESS auxiliary transformer</t>
        </is>
      </c>
      <c r="G4003" s="12" t="inlineStr"/>
      <c r="H4003" s="12" t="inlineStr">
        <is>
          <t>BESS EMS / SCADA and revenue metering</t>
        </is>
      </c>
      <c r="I4003" s="12" t="inlineStr">
        <is>
          <t>LV 600 V</t>
        </is>
      </c>
      <c r="J4003" s="12" t="inlineStr">
        <is>
          <t>ARMOR-X MC-HL 600 V 3/C Cu XHHW-2 + ground, CWA, black PVC (Class I Div 2)</t>
        </is>
      </c>
      <c r="K4003" s="12" t="inlineStr">
        <is>
          <t>LVAX|3/C+G|6</t>
        </is>
      </c>
      <c r="L4003" s="12" t="inlineStr">
        <is>
          <t>3/C+G</t>
        </is>
      </c>
      <c r="M4003" s="12" t="inlineStr">
        <is>
          <t>6</t>
        </is>
      </c>
      <c r="N4003" s="12" t="n">
        <v>1</v>
      </c>
      <c r="O4003" s="12" t="n">
        <v>1</v>
      </c>
      <c r="P4003" s="12" t="n">
        <v>480</v>
      </c>
      <c r="Q4003" s="12" t="n">
        <v>30</v>
      </c>
      <c r="R4003" s="12" t="n">
        <v>42.5</v>
      </c>
      <c r="S4003" s="12" t="inlineStr">
        <is>
          <t>Tray</t>
        </is>
      </c>
      <c r="T4003" s="16" t="n">
        <v>0</v>
      </c>
      <c r="U4003" s="16" t="n">
        <v>70</v>
      </c>
      <c r="V4003" s="16">
        <f>ROUNDUP((T4003+U4003+2*'Read Me'!$B$13)*(1+'Read Me'!$B$12),-1)</f>
        <v/>
      </c>
      <c r="W4003" s="16">
        <f>V4003*N4003*O4003</f>
        <v/>
      </c>
      <c r="X4003" s="12">
        <f>IF(LEFT(I4003,2)="MV",2*N4003*IF(L4003="1/C",O4003,1),0)</f>
        <v/>
      </c>
      <c r="Y4003" s="12">
        <f>IF(OR(LEFT(K4003,4)="LVAX",LEFT(K4003,6)="MV15AX",LEFT(K4003,4)="CTAX",LEFT(K4003,2)="W|"),2*N4003*O4003,0)</f>
        <v/>
      </c>
      <c r="Z4003" s="12" t="inlineStr">
        <is>
          <t>VD 0.6 %</t>
        </is>
      </c>
      <c r="AA4003" s="12">
        <f>N4003*O4003</f>
        <v/>
      </c>
    </row>
    <row r="4004">
      <c r="A4004" s="12" t="inlineStr">
        <is>
          <t>H-P-0003</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6" t="n">
        <v>318</v>
      </c>
      <c r="U4004" s="16" t="n">
        <v>103</v>
      </c>
      <c r="V4004" s="16">
        <f>ROUNDUP((T4004+U4004+2*'Read Me'!$B$13)*(1+'Read Me'!$B$12),-1)</f>
        <v/>
      </c>
      <c r="W4004" s="16">
        <f>V4004*N4004*O4004</f>
        <v/>
      </c>
      <c r="X4004" s="12">
        <f>IF(LEFT(I4004,2)="MV",2*N4004*IF(L4004="1/C",O4004,1),0)</f>
        <v/>
      </c>
      <c r="Y4004" s="12">
        <f>IF(OR(LEFT(K4004,4)="LVAX",LEFT(K4004,6)="MV15AX",LEFT(K4004,4)="CTAX",LEFT(K4004,2)="W|"),2*N4004*O4004,0)</f>
        <v/>
      </c>
      <c r="Z4004" s="12" t="inlineStr">
        <is>
          <t>VD 2.0 %</t>
        </is>
      </c>
      <c r="AA4004" s="12">
        <f>N4004*O4004</f>
        <v/>
      </c>
    </row>
    <row r="4005">
      <c r="A4005" s="12" t="inlineStr">
        <is>
          <t>H-P-0004</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6" t="n">
        <v>318</v>
      </c>
      <c r="U4005" s="16" t="n">
        <v>103</v>
      </c>
      <c r="V4005" s="16">
        <f>ROUNDUP((T4005+U4005+2*'Read Me'!$B$13)*(1+'Read Me'!$B$12),-1)</f>
        <v/>
      </c>
      <c r="W4005" s="16">
        <f>V4005*N4005*O4005</f>
        <v/>
      </c>
      <c r="X4005" s="12">
        <f>IF(LEFT(I4005,2)="MV",2*N4005*IF(L4005="1/C",O4005,1),0)</f>
        <v/>
      </c>
      <c r="Y4005" s="12">
        <f>IF(OR(LEFT(K4005,4)="LVAX",LEFT(K4005,6)="MV15AX",LEFT(K4005,4)="CTAX",LEFT(K4005,2)="W|"),2*N4005*O4005,0)</f>
        <v/>
      </c>
      <c r="Z4005" s="12" t="inlineStr">
        <is>
          <t>VD 2.0 %</t>
        </is>
      </c>
      <c r="AA4005" s="12">
        <f>N4005*O4005</f>
        <v/>
      </c>
    </row>
    <row r="4006">
      <c r="A4006" s="12" t="inlineStr">
        <is>
          <t>H-P-0005</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178</v>
      </c>
      <c r="U4006" s="16" t="n">
        <v>123</v>
      </c>
      <c r="V4006" s="16">
        <f>ROUNDUP((T4006+U4006+2*'Read Me'!$B$13)*(1+'Read Me'!$B$12),-1)</f>
        <v/>
      </c>
      <c r="W4006" s="16">
        <f>V4006*N4006*O4006</f>
        <v/>
      </c>
      <c r="X4006" s="12">
        <f>IF(LEFT(I4006,2)="MV",2*N4006*IF(L4006="1/C",O4006,1),0)</f>
        <v/>
      </c>
      <c r="Y4006" s="12">
        <f>IF(OR(LEFT(K4006,4)="LVAX",LEFT(K4006,6)="MV15AX",LEFT(K4006,4)="CTAX",LEFT(K4006,2)="W|"),2*N4006*O4006,0)</f>
        <v/>
      </c>
      <c r="Z4006" s="12" t="inlineStr">
        <is>
          <t>VD 1.4 %</t>
        </is>
      </c>
      <c r="AA4006" s="12">
        <f>N4006*O4006</f>
        <v/>
      </c>
    </row>
    <row r="4007">
      <c r="A4007" s="12" t="inlineStr">
        <is>
          <t>H-P-0006</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178</v>
      </c>
      <c r="U4007" s="16" t="n">
        <v>123</v>
      </c>
      <c r="V4007" s="16">
        <f>ROUNDUP((T4007+U4007+2*'Read Me'!$B$13)*(1+'Read Me'!$B$12),-1)</f>
        <v/>
      </c>
      <c r="W4007" s="16">
        <f>V4007*N4007*O4007</f>
        <v/>
      </c>
      <c r="X4007" s="12">
        <f>IF(LEFT(I4007,2)="MV",2*N4007*IF(L4007="1/C",O4007,1),0)</f>
        <v/>
      </c>
      <c r="Y4007" s="12">
        <f>IF(OR(LEFT(K4007,4)="LVAX",LEFT(K4007,6)="MV15AX",LEFT(K4007,4)="CTAX",LEFT(K4007,2)="W|"),2*N4007*O4007,0)</f>
        <v/>
      </c>
      <c r="Z4007" s="12" t="inlineStr">
        <is>
          <t>VD 1.4 %</t>
        </is>
      </c>
      <c r="AA4007" s="12">
        <f>N4007*O4007</f>
        <v/>
      </c>
    </row>
    <row r="4008">
      <c r="A4008" s="12" t="inlineStr">
        <is>
          <t>H-P-0007</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74</v>
      </c>
      <c r="U4008" s="16" t="n">
        <v>107</v>
      </c>
      <c r="V4008" s="16">
        <f>ROUNDUP((T4008+U4008+2*'Read Me'!$B$13)*(1+'Read Me'!$B$12),-1)</f>
        <v/>
      </c>
      <c r="W4008" s="16">
        <f>V4008*N4008*O4008</f>
        <v/>
      </c>
      <c r="X4008" s="12">
        <f>IF(LEFT(I4008,2)="MV",2*N4008*IF(L4008="1/C",O4008,1),0)</f>
        <v/>
      </c>
      <c r="Y4008" s="12">
        <f>IF(OR(LEFT(K4008,4)="LVAX",LEFT(K4008,6)="MV15AX",LEFT(K4008,4)="CTAX",LEFT(K4008,2)="W|"),2*N4008*O4008,0)</f>
        <v/>
      </c>
      <c r="Z4008" s="12" t="inlineStr">
        <is>
          <t>VD 0.9 %</t>
        </is>
      </c>
      <c r="AA4008" s="12">
        <f>N4008*O4008</f>
        <v/>
      </c>
    </row>
    <row r="4009">
      <c r="A4009" s="12" t="inlineStr">
        <is>
          <t>H-P-0008</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74</v>
      </c>
      <c r="U4009" s="16" t="n">
        <v>107</v>
      </c>
      <c r="V4009" s="16">
        <f>ROUNDUP((T4009+U4009+2*'Read Me'!$B$13)*(1+'Read Me'!$B$12),-1)</f>
        <v/>
      </c>
      <c r="W4009" s="16">
        <f>V4009*N4009*O4009</f>
        <v/>
      </c>
      <c r="X4009" s="12">
        <f>IF(LEFT(I4009,2)="MV",2*N4009*IF(L4009="1/C",O4009,1),0)</f>
        <v/>
      </c>
      <c r="Y4009" s="12">
        <f>IF(OR(LEFT(K4009,4)="LVAX",LEFT(K4009,6)="MV15AX",LEFT(K4009,4)="CTAX",LEFT(K4009,2)="W|"),2*N4009*O4009,0)</f>
        <v/>
      </c>
      <c r="Z4009" s="12" t="inlineStr">
        <is>
          <t>VD 0.9 %</t>
        </is>
      </c>
      <c r="AA4009" s="12">
        <f>N4009*O4009</f>
        <v/>
      </c>
    </row>
    <row r="4010">
      <c r="A4010" s="12" t="inlineStr">
        <is>
          <t>H-P-0009</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318</v>
      </c>
      <c r="U4010" s="16" t="n">
        <v>161</v>
      </c>
      <c r="V4010" s="16">
        <f>ROUNDUP((T4010+U4010+2*'Read Me'!$B$13)*(1+'Read Me'!$B$12),-1)</f>
        <v/>
      </c>
      <c r="W4010" s="16">
        <f>V4010*N4010*O4010</f>
        <v/>
      </c>
      <c r="X4010" s="12">
        <f>IF(LEFT(I4010,2)="MV",2*N4010*IF(L4010="1/C",O4010,1),0)</f>
        <v/>
      </c>
      <c r="Y4010" s="12">
        <f>IF(OR(LEFT(K4010,4)="LVAX",LEFT(K4010,6)="MV15AX",LEFT(K4010,4)="CTAX",LEFT(K4010,2)="W|"),2*N4010*O4010,0)</f>
        <v/>
      </c>
      <c r="Z4010" s="12" t="inlineStr">
        <is>
          <t>VD 2.3 %</t>
        </is>
      </c>
      <c r="AA4010" s="12">
        <f>N4010*O4010</f>
        <v/>
      </c>
    </row>
    <row r="4011">
      <c r="A4011" s="12" t="inlineStr">
        <is>
          <t>H-P-0010</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318</v>
      </c>
      <c r="U4011" s="16" t="n">
        <v>161</v>
      </c>
      <c r="V4011" s="16">
        <f>ROUNDUP((T4011+U4011+2*'Read Me'!$B$13)*(1+'Read Me'!$B$12),-1)</f>
        <v/>
      </c>
      <c r="W4011" s="16">
        <f>V4011*N4011*O4011</f>
        <v/>
      </c>
      <c r="X4011" s="12">
        <f>IF(LEFT(I4011,2)="MV",2*N4011*IF(L4011="1/C",O4011,1),0)</f>
        <v/>
      </c>
      <c r="Y4011" s="12">
        <f>IF(OR(LEFT(K4011,4)="LVAX",LEFT(K4011,6)="MV15AX",LEFT(K4011,4)="CTAX",LEFT(K4011,2)="W|"),2*N4011*O4011,0)</f>
        <v/>
      </c>
      <c r="Z4011" s="12" t="inlineStr">
        <is>
          <t>VD 2.3 %</t>
        </is>
      </c>
      <c r="AA4011" s="12">
        <f>N4011*O4011</f>
        <v/>
      </c>
    </row>
    <row r="4012">
      <c r="A4012" s="12" t="inlineStr">
        <is>
          <t>H-P-0011</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178</v>
      </c>
      <c r="U4012" s="16" t="n">
        <v>181</v>
      </c>
      <c r="V4012" s="16">
        <f>ROUNDUP((T4012+U4012+2*'Read Me'!$B$13)*(1+'Read Me'!$B$12),-1)</f>
        <v/>
      </c>
      <c r="W4012" s="16">
        <f>V4012*N4012*O4012</f>
        <v/>
      </c>
      <c r="X4012" s="12">
        <f>IF(LEFT(I4012,2)="MV",2*N4012*IF(L4012="1/C",O4012,1),0)</f>
        <v/>
      </c>
      <c r="Y4012" s="12">
        <f>IF(OR(LEFT(K4012,4)="LVAX",LEFT(K4012,6)="MV15AX",LEFT(K4012,4)="CTAX",LEFT(K4012,2)="W|"),2*N4012*O4012,0)</f>
        <v/>
      </c>
      <c r="Z4012" s="12" t="inlineStr">
        <is>
          <t>VD 1.7 %</t>
        </is>
      </c>
      <c r="AA4012" s="12">
        <f>N4012*O4012</f>
        <v/>
      </c>
    </row>
    <row r="4013">
      <c r="A4013" s="12" t="inlineStr">
        <is>
          <t>H-P-0012</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178</v>
      </c>
      <c r="U4013" s="16" t="n">
        <v>181</v>
      </c>
      <c r="V4013" s="16">
        <f>ROUNDUP((T4013+U4013+2*'Read Me'!$B$13)*(1+'Read Me'!$B$12),-1)</f>
        <v/>
      </c>
      <c r="W4013" s="16">
        <f>V4013*N4013*O4013</f>
        <v/>
      </c>
      <c r="X4013" s="12">
        <f>IF(LEFT(I4013,2)="MV",2*N4013*IF(L4013="1/C",O4013,1),0)</f>
        <v/>
      </c>
      <c r="Y4013" s="12">
        <f>IF(OR(LEFT(K4013,4)="LVAX",LEFT(K4013,6)="MV15AX",LEFT(K4013,4)="CTAX",LEFT(K4013,2)="W|"),2*N4013*O4013,0)</f>
        <v/>
      </c>
      <c r="Z4013" s="12" t="inlineStr">
        <is>
          <t>VD 1.7 %</t>
        </is>
      </c>
      <c r="AA4013" s="12">
        <f>N4013*O4013</f>
        <v/>
      </c>
    </row>
    <row r="4014">
      <c r="A4014" s="12" t="inlineStr">
        <is>
          <t>H-P-0013</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74</v>
      </c>
      <c r="U4014" s="16" t="n">
        <v>165</v>
      </c>
      <c r="V4014" s="16">
        <f>ROUNDUP((T4014+U4014+2*'Read Me'!$B$13)*(1+'Read Me'!$B$12),-1)</f>
        <v/>
      </c>
      <c r="W4014" s="16">
        <f>V4014*N4014*O4014</f>
        <v/>
      </c>
      <c r="X4014" s="12">
        <f>IF(LEFT(I4014,2)="MV",2*N4014*IF(L4014="1/C",O4014,1),0)</f>
        <v/>
      </c>
      <c r="Y4014" s="12">
        <f>IF(OR(LEFT(K4014,4)="LVAX",LEFT(K4014,6)="MV15AX",LEFT(K4014,4)="CTAX",LEFT(K4014,2)="W|"),2*N4014*O4014,0)</f>
        <v/>
      </c>
      <c r="Z4014" s="12" t="inlineStr">
        <is>
          <t>VD 1.1 %</t>
        </is>
      </c>
      <c r="AA4014" s="12">
        <f>N4014*O4014</f>
        <v/>
      </c>
    </row>
    <row r="4015">
      <c r="A4015" s="12" t="inlineStr">
        <is>
          <t>H-P-0014</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74</v>
      </c>
      <c r="U4015" s="16" t="n">
        <v>165</v>
      </c>
      <c r="V4015" s="16">
        <f>ROUNDUP((T4015+U4015+2*'Read Me'!$B$13)*(1+'Read Me'!$B$12),-1)</f>
        <v/>
      </c>
      <c r="W4015" s="16">
        <f>V4015*N4015*O4015</f>
        <v/>
      </c>
      <c r="X4015" s="12">
        <f>IF(LEFT(I4015,2)="MV",2*N4015*IF(L4015="1/C",O4015,1),0)</f>
        <v/>
      </c>
      <c r="Y4015" s="12">
        <f>IF(OR(LEFT(K4015,4)="LVAX",LEFT(K4015,6)="MV15AX",LEFT(K4015,4)="CTAX",LEFT(K4015,2)="W|"),2*N4015*O4015,0)</f>
        <v/>
      </c>
      <c r="Z4015" s="12" t="inlineStr">
        <is>
          <t>VD 1.1 %</t>
        </is>
      </c>
      <c r="AA4015" s="12">
        <f>N4015*O4015</f>
        <v/>
      </c>
    </row>
    <row r="4016">
      <c r="A4016" s="12" t="inlineStr">
        <is>
          <t>H-P-0015</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318</v>
      </c>
      <c r="U4016" s="16" t="n">
        <v>219</v>
      </c>
      <c r="V4016" s="16">
        <f>ROUNDUP((T4016+U4016+2*'Read Me'!$B$13)*(1+'Read Me'!$B$12),-1)</f>
        <v/>
      </c>
      <c r="W4016" s="16">
        <f>V4016*N4016*O4016</f>
        <v/>
      </c>
      <c r="X4016" s="12">
        <f>IF(LEFT(I4016,2)="MV",2*N4016*IF(L4016="1/C",O4016,1),0)</f>
        <v/>
      </c>
      <c r="Y4016" s="12">
        <f>IF(OR(LEFT(K4016,4)="LVAX",LEFT(K4016,6)="MV15AX",LEFT(K4016,4)="CTAX",LEFT(K4016,2)="W|"),2*N4016*O4016,0)</f>
        <v/>
      </c>
      <c r="Z4016" s="12" t="inlineStr">
        <is>
          <t>VD 2.6 %</t>
        </is>
      </c>
      <c r="AA4016" s="12">
        <f>N4016*O4016</f>
        <v/>
      </c>
    </row>
    <row r="4017">
      <c r="A4017" s="12" t="inlineStr">
        <is>
          <t>H-P-0016</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318</v>
      </c>
      <c r="U4017" s="16" t="n">
        <v>219</v>
      </c>
      <c r="V4017" s="16">
        <f>ROUNDUP((T4017+U4017+2*'Read Me'!$B$13)*(1+'Read Me'!$B$12),-1)</f>
        <v/>
      </c>
      <c r="W4017" s="16">
        <f>V4017*N4017*O4017</f>
        <v/>
      </c>
      <c r="X4017" s="12">
        <f>IF(LEFT(I4017,2)="MV",2*N4017*IF(L4017="1/C",O4017,1),0)</f>
        <v/>
      </c>
      <c r="Y4017" s="12">
        <f>IF(OR(LEFT(K4017,4)="LVAX",LEFT(K4017,6)="MV15AX",LEFT(K4017,4)="CTAX",LEFT(K4017,2)="W|"),2*N4017*O4017,0)</f>
        <v/>
      </c>
      <c r="Z4017" s="12" t="inlineStr">
        <is>
          <t>VD 2.6 %</t>
        </is>
      </c>
      <c r="AA4017" s="12">
        <f>N4017*O4017</f>
        <v/>
      </c>
    </row>
    <row r="4018">
      <c r="A4018" s="12" t="inlineStr">
        <is>
          <t>H-P-0017</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178</v>
      </c>
      <c r="U4018" s="16" t="n">
        <v>239</v>
      </c>
      <c r="V4018" s="16">
        <f>ROUNDUP((T4018+U4018+2*'Read Me'!$B$13)*(1+'Read Me'!$B$12),-1)</f>
        <v/>
      </c>
      <c r="W4018" s="16">
        <f>V4018*N4018*O4018</f>
        <v/>
      </c>
      <c r="X4018" s="12">
        <f>IF(LEFT(I4018,2)="MV",2*N4018*IF(L4018="1/C",O4018,1),0)</f>
        <v/>
      </c>
      <c r="Y4018" s="12">
        <f>IF(OR(LEFT(K4018,4)="LVAX",LEFT(K4018,6)="MV15AX",LEFT(K4018,4)="CTAX",LEFT(K4018,2)="W|"),2*N4018*O4018,0)</f>
        <v/>
      </c>
      <c r="Z4018" s="12" t="inlineStr">
        <is>
          <t>VD 2.0 %</t>
        </is>
      </c>
      <c r="AA4018" s="12">
        <f>N4018*O4018</f>
        <v/>
      </c>
    </row>
    <row r="4019">
      <c r="A4019" s="12" t="inlineStr">
        <is>
          <t>H-P-0018</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178</v>
      </c>
      <c r="U4019" s="16" t="n">
        <v>239</v>
      </c>
      <c r="V4019" s="16">
        <f>ROUNDUP((T4019+U4019+2*'Read Me'!$B$13)*(1+'Read Me'!$B$12),-1)</f>
        <v/>
      </c>
      <c r="W4019" s="16">
        <f>V4019*N4019*O4019</f>
        <v/>
      </c>
      <c r="X4019" s="12">
        <f>IF(LEFT(I4019,2)="MV",2*N4019*IF(L4019="1/C",O4019,1),0)</f>
        <v/>
      </c>
      <c r="Y4019" s="12">
        <f>IF(OR(LEFT(K4019,4)="LVAX",LEFT(K4019,6)="MV15AX",LEFT(K4019,4)="CTAX",LEFT(K4019,2)="W|"),2*N4019*O4019,0)</f>
        <v/>
      </c>
      <c r="Z4019" s="12" t="inlineStr">
        <is>
          <t>VD 2.0 %</t>
        </is>
      </c>
      <c r="AA4019" s="12">
        <f>N4019*O4019</f>
        <v/>
      </c>
    </row>
    <row r="4020">
      <c r="A4020" s="12" t="inlineStr">
        <is>
          <t>H-P-0019</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380</v>
      </c>
      <c r="U4020" s="16" t="n">
        <v>149</v>
      </c>
      <c r="V4020" s="16">
        <f>ROUNDUP((T4020+U4020+2*'Read Me'!$B$13)*(1+'Read Me'!$B$12),-1)</f>
        <v/>
      </c>
      <c r="W4020" s="16">
        <f>V4020*N4020*O4020</f>
        <v/>
      </c>
      <c r="X4020" s="12">
        <f>IF(LEFT(I4020,2)="MV",2*N4020*IF(L4020="1/C",O4020,1),0)</f>
        <v/>
      </c>
      <c r="Y4020" s="12">
        <f>IF(OR(LEFT(K4020,4)="LVAX",LEFT(K4020,6)="MV15AX",LEFT(K4020,4)="CTAX",LEFT(K4020,2)="W|"),2*N4020*O4020,0)</f>
        <v/>
      </c>
      <c r="Z4020" s="12" t="inlineStr">
        <is>
          <t>VD 2.5 %</t>
        </is>
      </c>
      <c r="AA4020" s="12">
        <f>N4020*O4020</f>
        <v/>
      </c>
    </row>
    <row r="4021">
      <c r="A4021" s="12" t="inlineStr">
        <is>
          <t>H-P-0020</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380</v>
      </c>
      <c r="U4021" s="16" t="n">
        <v>149</v>
      </c>
      <c r="V4021" s="16">
        <f>ROUNDUP((T4021+U4021+2*'Read Me'!$B$13)*(1+'Read Me'!$B$12),-1)</f>
        <v/>
      </c>
      <c r="W4021" s="16">
        <f>V4021*N4021*O4021</f>
        <v/>
      </c>
      <c r="X4021" s="12">
        <f>IF(LEFT(I4021,2)="MV",2*N4021*IF(L4021="1/C",O4021,1),0)</f>
        <v/>
      </c>
      <c r="Y4021" s="12">
        <f>IF(OR(LEFT(K4021,4)="LVAX",LEFT(K4021,6)="MV15AX",LEFT(K4021,4)="CTAX",LEFT(K4021,2)="W|"),2*N4021*O4021,0)</f>
        <v/>
      </c>
      <c r="Z4021" s="12" t="inlineStr">
        <is>
          <t>VD 2.5 %</t>
        </is>
      </c>
      <c r="AA4021" s="12">
        <f>N4021*O4021</f>
        <v/>
      </c>
    </row>
    <row r="4022">
      <c r="A4022" s="12" t="inlineStr">
        <is>
          <t>H-P-0021</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LV|3/C+G|8</t>
        </is>
      </c>
      <c r="L4022" s="12" t="inlineStr">
        <is>
          <t>3/C+G</t>
        </is>
      </c>
      <c r="M4022" s="12" t="inlineStr">
        <is>
          <t>8</t>
        </is>
      </c>
      <c r="N4022" s="12" t="n">
        <v>1</v>
      </c>
      <c r="O4022" s="12" t="n">
        <v>1</v>
      </c>
      <c r="P4022" s="12" t="n">
        <v>480</v>
      </c>
      <c r="Q4022" s="12" t="n">
        <v>7</v>
      </c>
      <c r="R4022" s="12" t="n">
        <v>9.9</v>
      </c>
      <c r="S4022" s="12" t="inlineStr">
        <is>
          <t>Duct bank</t>
        </is>
      </c>
      <c r="T4022" s="16" t="n">
        <v>620</v>
      </c>
      <c r="U4022" s="16" t="n">
        <v>91</v>
      </c>
      <c r="V4022" s="16">
        <f>ROUNDUP((T4022+U4022+2*'Read Me'!$B$13)*(1+'Read Me'!$B$12),-1)</f>
        <v/>
      </c>
      <c r="W4022" s="16">
        <f>V4022*N4022*O4022</f>
        <v/>
      </c>
      <c r="X4022" s="12">
        <f>IF(LEFT(I4022,2)="MV",2*N4022*IF(L4022="1/C",O4022,1),0)</f>
        <v/>
      </c>
      <c r="Y4022" s="12">
        <f>IF(OR(LEFT(K4022,4)="LVAX",LEFT(K4022,6)="MV15AX",LEFT(K4022,4)="CTAX",LEFT(K4022,2)="W|"),2*N4022*O4022,0)</f>
        <v/>
      </c>
      <c r="Z4022" s="12" t="inlineStr">
        <is>
          <t>VD 2.1 %</t>
        </is>
      </c>
      <c r="AA4022" s="12">
        <f>N4022*O4022</f>
        <v/>
      </c>
    </row>
    <row r="4023">
      <c r="A4023" s="12" t="inlineStr">
        <is>
          <t>H-P-0022</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LV|3/C+G|8</t>
        </is>
      </c>
      <c r="L4023" s="12" t="inlineStr">
        <is>
          <t>3/C+G</t>
        </is>
      </c>
      <c r="M4023" s="12" t="inlineStr">
        <is>
          <t>8</t>
        </is>
      </c>
      <c r="N4023" s="12" t="n">
        <v>1</v>
      </c>
      <c r="O4023" s="12" t="n">
        <v>1</v>
      </c>
      <c r="P4023" s="12" t="n">
        <v>480</v>
      </c>
      <c r="Q4023" s="12" t="n">
        <v>7</v>
      </c>
      <c r="R4023" s="12" t="n">
        <v>9.9</v>
      </c>
      <c r="S4023" s="12" t="inlineStr">
        <is>
          <t>Duct bank</t>
        </is>
      </c>
      <c r="T4023" s="16" t="n">
        <v>620</v>
      </c>
      <c r="U4023" s="16" t="n">
        <v>91</v>
      </c>
      <c r="V4023" s="16">
        <f>ROUNDUP((T4023+U4023+2*'Read Me'!$B$13)*(1+'Read Me'!$B$12),-1)</f>
        <v/>
      </c>
      <c r="W4023" s="16">
        <f>V4023*N4023*O4023</f>
        <v/>
      </c>
      <c r="X4023" s="12">
        <f>IF(LEFT(I4023,2)="MV",2*N4023*IF(L4023="1/C",O4023,1),0)</f>
        <v/>
      </c>
      <c r="Y4023" s="12">
        <f>IF(OR(LEFT(K4023,4)="LVAX",LEFT(K4023,6)="MV15AX",LEFT(K4023,4)="CTAX",LEFT(K4023,2)="W|"),2*N4023*O4023,0)</f>
        <v/>
      </c>
      <c r="Z4023" s="12" t="inlineStr">
        <is>
          <t>VD 2.1 %</t>
        </is>
      </c>
      <c r="AA4023" s="12">
        <f>N4023*O4023</f>
        <v/>
      </c>
    </row>
    <row r="4024">
      <c r="A4024" s="12" t="inlineStr">
        <is>
          <t>H-P-0023</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6" t="n">
        <v>500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2.8 %</t>
        </is>
      </c>
      <c r="AA4024" s="12">
        <f>N4024*O4024</f>
        <v/>
      </c>
    </row>
    <row r="4025">
      <c r="A4025" s="12" t="inlineStr">
        <is>
          <t>H-P-0024</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6" t="n">
        <v>500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2.8 %</t>
        </is>
      </c>
      <c r="AA4025" s="12">
        <f>N4025*O4025</f>
        <v/>
      </c>
    </row>
    <row r="4026">
      <c r="A4026" s="12" t="inlineStr">
        <is>
          <t>H-P-0025</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380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2.2 %</t>
        </is>
      </c>
      <c r="AA4026" s="12">
        <f>N4026*O4026</f>
        <v/>
      </c>
    </row>
    <row r="4027">
      <c r="A4027" s="12" t="inlineStr">
        <is>
          <t>H-P-0026</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380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2.2 %</t>
        </is>
      </c>
      <c r="AA4027" s="12">
        <f>N4027*O4027</f>
        <v/>
      </c>
    </row>
    <row r="4028">
      <c r="A4028" s="12" t="inlineStr">
        <is>
          <t>H-P-0027</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LV|3/C+G|8</t>
        </is>
      </c>
      <c r="L4028" s="12" t="inlineStr">
        <is>
          <t>3/C+G</t>
        </is>
      </c>
      <c r="M4028" s="12" t="inlineStr">
        <is>
          <t>8</t>
        </is>
      </c>
      <c r="N4028" s="12" t="n">
        <v>1</v>
      </c>
      <c r="O4028" s="12" t="n">
        <v>1</v>
      </c>
      <c r="P4028" s="12" t="n">
        <v>480</v>
      </c>
      <c r="Q4028" s="12" t="n">
        <v>7</v>
      </c>
      <c r="R4028" s="12" t="n">
        <v>9.9</v>
      </c>
      <c r="S4028" s="12" t="inlineStr">
        <is>
          <t>Duct bank</t>
        </is>
      </c>
      <c r="T4028" s="16" t="n">
        <v>620</v>
      </c>
      <c r="U4028" s="16" t="n">
        <v>37</v>
      </c>
      <c r="V4028" s="16">
        <f>ROUNDUP((T4028+U4028+2*'Read Me'!$B$13)*(1+'Read Me'!$B$12),-1)</f>
        <v/>
      </c>
      <c r="W4028" s="16">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H-P-0028</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LV|3/C+G|8</t>
        </is>
      </c>
      <c r="L4029" s="12" t="inlineStr">
        <is>
          <t>3/C+G</t>
        </is>
      </c>
      <c r="M4029" s="12" t="inlineStr">
        <is>
          <t>8</t>
        </is>
      </c>
      <c r="N4029" s="12" t="n">
        <v>1</v>
      </c>
      <c r="O4029" s="12" t="n">
        <v>1</v>
      </c>
      <c r="P4029" s="12" t="n">
        <v>480</v>
      </c>
      <c r="Q4029" s="12" t="n">
        <v>7</v>
      </c>
      <c r="R4029" s="12" t="n">
        <v>9.9</v>
      </c>
      <c r="S4029" s="12" t="inlineStr">
        <is>
          <t>Duct bank</t>
        </is>
      </c>
      <c r="T4029" s="16" t="n">
        <v>620</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H-P-0029</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6" t="n">
        <v>500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2.6 %</t>
        </is>
      </c>
      <c r="AA4030" s="12">
        <f>N4030*O4030</f>
        <v/>
      </c>
    </row>
    <row r="4031">
      <c r="A4031" s="12" t="inlineStr">
        <is>
          <t>H-P-0030</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6" t="n">
        <v>500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2.6 %</t>
        </is>
      </c>
      <c r="AA4031" s="12">
        <f>N4031*O4031</f>
        <v/>
      </c>
    </row>
    <row r="4032">
      <c r="A4032" s="12" t="inlineStr">
        <is>
          <t>H-P-0031</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380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2.0 %</t>
        </is>
      </c>
      <c r="AA4032" s="12">
        <f>N4032*O4032</f>
        <v/>
      </c>
    </row>
    <row r="4033">
      <c r="A4033" s="12" t="inlineStr">
        <is>
          <t>H-P-0032</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380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2.0 %</t>
        </is>
      </c>
      <c r="AA4033" s="12">
        <f>N4033*O4033</f>
        <v/>
      </c>
    </row>
    <row r="4034">
      <c r="A4034" s="12" t="inlineStr">
        <is>
          <t>H-P-0033</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Duct bank</t>
        </is>
      </c>
      <c r="T4034" s="16" t="n">
        <v>10</v>
      </c>
      <c r="U4034" s="16" t="n">
        <v>150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H-P-0034</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6" t="n">
        <v>0</v>
      </c>
      <c r="U4035" s="16" t="n">
        <v>160</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H-P-0035</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Tray</t>
        </is>
      </c>
      <c r="T4036" s="16" t="n">
        <v>0</v>
      </c>
      <c r="U4036" s="16" t="n">
        <v>200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H-P-0036</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200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H-P-0037</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168</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H-P-0038</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168</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H-P-0039</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Duct bank</t>
        </is>
      </c>
      <c r="T4040" s="16" t="n">
        <v>10</v>
      </c>
      <c r="U4040" s="16" t="n">
        <v>266</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H-P-0040</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276</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H-P-0041</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6" t="n">
        <v>0</v>
      </c>
      <c r="U4042" s="16" t="n">
        <v>316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H-P-0042</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316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H-P-0043</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284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H-P-0044</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284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H-P-0045</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290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H-P-0046</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290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H-P-0047</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H-P-0048</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H-P-0049</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H-P-0050</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H-P-0051</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174</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H-P-0052</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174</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H-P-0053</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H-P-0054</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H-P-0055</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H-P-0056</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H-P-0057</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62</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H-P-0058</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62</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H-P-0059</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H-P-0060</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H-P-0061</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H-P-0062</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H-P-0063</t>
        </is>
      </c>
      <c r="B4064" s="12" t="inlineStr">
        <is>
          <t>H</t>
        </is>
      </c>
      <c r="C4064" s="12" t="inlineStr">
        <is>
          <t>BESS</t>
        </is>
      </c>
      <c r="D4064" s="12" t="inlineStr">
        <is>
          <t>Motor 1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6" t="n">
        <v>180</v>
      </c>
      <c r="U4064" s="16" t="n">
        <v>32</v>
      </c>
      <c r="V4064" s="16">
        <f>ROUNDUP((T4064+U4064+2*'Read Me'!$B$13)*(1+'Read Me'!$B$12),-1)</f>
        <v/>
      </c>
      <c r="W4064" s="16">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H-P-0064</t>
        </is>
      </c>
      <c r="B4065" s="12" t="inlineStr">
        <is>
          <t>H</t>
        </is>
      </c>
      <c r="C4065" s="12" t="inlineStr">
        <is>
          <t>BESS</t>
        </is>
      </c>
      <c r="D4065" s="12" t="inlineStr">
        <is>
          <t>Motor 2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6" t="n">
        <v>180</v>
      </c>
      <c r="U4065" s="16" t="n">
        <v>32</v>
      </c>
      <c r="V4065" s="16">
        <f>ROUNDUP((T4065+U4065+2*'Read Me'!$B$13)*(1+'Read Me'!$B$12),-1)</f>
        <v/>
      </c>
      <c r="W4065" s="16">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H-P-0065</t>
        </is>
      </c>
      <c r="B4066" s="12" t="inlineStr">
        <is>
          <t>H</t>
        </is>
      </c>
      <c r="C4066" s="12" t="inlineStr">
        <is>
          <t>BESS</t>
        </is>
      </c>
      <c r="D4066" s="12" t="inlineStr">
        <is>
          <t>Motor 3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H-P-0066</t>
        </is>
      </c>
      <c r="B4067" s="12" t="inlineStr">
        <is>
          <t>H</t>
        </is>
      </c>
      <c r="C4067" s="12" t="inlineStr">
        <is>
          <t>BESS</t>
        </is>
      </c>
      <c r="D4067" s="12" t="inlineStr">
        <is>
          <t>Motor 4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H-P-0067</t>
        </is>
      </c>
      <c r="B4068" s="12" t="inlineStr">
        <is>
          <t>H</t>
        </is>
      </c>
      <c r="C4068" s="12" t="inlineStr">
        <is>
          <t>BESS</t>
        </is>
      </c>
      <c r="D4068" s="12" t="inlineStr">
        <is>
          <t>Motor 5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H-P-0068</t>
        </is>
      </c>
      <c r="B4069" s="12" t="inlineStr">
        <is>
          <t>H</t>
        </is>
      </c>
      <c r="C4069" s="12" t="inlineStr">
        <is>
          <t>BESS</t>
        </is>
      </c>
      <c r="D4069" s="12" t="inlineStr">
        <is>
          <t>Motor 6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H-P-0069</t>
        </is>
      </c>
      <c r="B4070" s="12" t="inlineStr">
        <is>
          <t>H</t>
        </is>
      </c>
      <c r="C4070" s="12" t="inlineStr">
        <is>
          <t>BESS</t>
        </is>
      </c>
      <c r="D4070" s="12" t="inlineStr">
        <is>
          <t>Yard lighting circuit 1 (10 floodlights)</t>
        </is>
      </c>
      <c r="E4070" s="12" t="inlineStr"/>
      <c r="F4070" s="12" t="inlineStr">
        <is>
          <t>BESS auxiliary transformer</t>
        </is>
      </c>
      <c r="G4070" s="12" t="inlineStr"/>
      <c r="H4070" s="12" t="inlineStr">
        <is>
          <t>BESS yard: surfacing, fence, gate, signage, lighting</t>
        </is>
      </c>
      <c r="I4070" s="12" t="inlineStr">
        <is>
          <t>LV 600 V</t>
        </is>
      </c>
      <c r="J4070" s="12" t="inlineStr">
        <is>
          <t>Type TC-ER 600 V 3/C Cu XHHW-2 + ground, PVC jacket</t>
        </is>
      </c>
      <c r="K4070" s="12" t="inlineStr">
        <is>
          <t>LV|3/C+G|8</t>
        </is>
      </c>
      <c r="L4070" s="12" t="inlineStr">
        <is>
          <t>3/C+G</t>
        </is>
      </c>
      <c r="M4070" s="12" t="inlineStr">
        <is>
          <t>8</t>
        </is>
      </c>
      <c r="N4070" s="12" t="n">
        <v>1</v>
      </c>
      <c r="O4070" s="12" t="n">
        <v>1</v>
      </c>
      <c r="P4070" s="12" t="n">
        <v>480</v>
      </c>
      <c r="Q4070" s="12" t="n">
        <v>4</v>
      </c>
      <c r="R4070" s="12" t="n">
        <v>6</v>
      </c>
      <c r="S4070" s="12" t="inlineStr">
        <is>
          <t>Buried</t>
        </is>
      </c>
      <c r="T4070" s="16" t="n">
        <v>900</v>
      </c>
      <c r="U4070" s="16" t="n">
        <v>30</v>
      </c>
      <c r="V4070" s="16">
        <f>ROUNDUP((T4070+U4070+2*'Read Me'!$B$13)*(1+'Read Me'!$B$12),-1)</f>
        <v/>
      </c>
      <c r="W4070" s="16">
        <f>V4070*N4070*O4070</f>
        <v/>
      </c>
      <c r="X4070" s="12">
        <f>IF(LEFT(I4070,2)="MV",2*N4070*IF(L4070="1/C",O4070,1),0)</f>
        <v/>
      </c>
      <c r="Y4070" s="12">
        <f>IF(OR(LEFT(K4070,4)="LVAX",LEFT(K4070,6)="MV15AX",LEFT(K4070,4)="CTAX",LEFT(K4070,2)="W|"),2*N4070*O4070,0)</f>
        <v/>
      </c>
      <c r="Z4070" s="12" t="inlineStr">
        <is>
          <t>pole to pole, buried</t>
        </is>
      </c>
      <c r="AA4070" s="12">
        <f>N4070*O4070</f>
        <v/>
      </c>
    </row>
    <row r="4071">
      <c r="A4071" s="12" t="inlineStr">
        <is>
          <t>H-P-0070</t>
        </is>
      </c>
      <c r="B4071" s="12" t="inlineStr">
        <is>
          <t>H</t>
        </is>
      </c>
      <c r="C4071" s="12" t="inlineStr">
        <is>
          <t>BESS</t>
        </is>
      </c>
      <c r="D4071" s="12" t="inlineStr">
        <is>
          <t>Yard lighting circuit 2 (10 floodlights)</t>
        </is>
      </c>
      <c r="E4071" s="12" t="inlineStr"/>
      <c r="F4071" s="12" t="inlineStr">
        <is>
          <t>BESS auxiliary transformer</t>
        </is>
      </c>
      <c r="G4071" s="12" t="inlineStr"/>
      <c r="H4071" s="12" t="inlineStr">
        <is>
          <t>BESS yard: surfacing, fence, gate, signage, lighting</t>
        </is>
      </c>
      <c r="I4071" s="12" t="inlineStr">
        <is>
          <t>LV 600 V</t>
        </is>
      </c>
      <c r="J4071" s="12" t="inlineStr">
        <is>
          <t>Type TC-ER 600 V 3/C Cu XHHW-2 + ground, PVC jacket</t>
        </is>
      </c>
      <c r="K4071" s="12" t="inlineStr">
        <is>
          <t>LV|3/C+G|8</t>
        </is>
      </c>
      <c r="L4071" s="12" t="inlineStr">
        <is>
          <t>3/C+G</t>
        </is>
      </c>
      <c r="M4071" s="12" t="inlineStr">
        <is>
          <t>8</t>
        </is>
      </c>
      <c r="N4071" s="12" t="n">
        <v>1</v>
      </c>
      <c r="O4071" s="12" t="n">
        <v>1</v>
      </c>
      <c r="P4071" s="12" t="n">
        <v>480</v>
      </c>
      <c r="Q4071" s="12" t="n">
        <v>4</v>
      </c>
      <c r="R4071" s="12" t="n">
        <v>6</v>
      </c>
      <c r="S4071" s="12" t="inlineStr">
        <is>
          <t>Buried</t>
        </is>
      </c>
      <c r="T4071" s="16" t="n">
        <v>900</v>
      </c>
      <c r="U4071" s="16" t="n">
        <v>30</v>
      </c>
      <c r="V4071" s="16">
        <f>ROUNDUP((T4071+U4071+2*'Read Me'!$B$13)*(1+'Read Me'!$B$12),-1)</f>
        <v/>
      </c>
      <c r="W4071" s="16">
        <f>V4071*N4071*O4071</f>
        <v/>
      </c>
      <c r="X4071" s="12">
        <f>IF(LEFT(I4071,2)="MV",2*N4071*IF(L4071="1/C",O4071,1),0)</f>
        <v/>
      </c>
      <c r="Y4071" s="12">
        <f>IF(OR(LEFT(K4071,4)="LVAX",LEFT(K4071,6)="MV15AX",LEFT(K4071,4)="CTAX",LEFT(K4071,2)="W|"),2*N4071*O4071,0)</f>
        <v/>
      </c>
      <c r="Z4071" s="12" t="inlineStr">
        <is>
          <t>pole to pole, buried</t>
        </is>
      </c>
      <c r="AA4071" s="12">
        <f>N4071*O4071</f>
        <v/>
      </c>
    </row>
    <row r="4072">
      <c r="A4072" s="12" t="inlineStr">
        <is>
          <t>H-P-0071</t>
        </is>
      </c>
      <c r="B4072" s="12" t="inlineStr">
        <is>
          <t>H</t>
        </is>
      </c>
      <c r="C4072" s="12" t="inlineStr">
        <is>
          <t>BESS</t>
        </is>
      </c>
      <c r="D4072" s="12" t="inlineStr">
        <is>
          <t>Yard lighting circuit 3 (4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H-MV-0001</t>
        </is>
      </c>
      <c r="B4073" s="12" t="inlineStr">
        <is>
          <t>H</t>
        </is>
      </c>
      <c r="C4073" s="12" t="inlineStr">
        <is>
          <t>BESS</t>
        </is>
      </c>
      <c r="D4073" s="12" t="inlineStr">
        <is>
          <t>34.5 kV collection loop 1</t>
        </is>
      </c>
      <c r="E4073" s="12" t="inlineStr"/>
      <c r="F4073" s="12" t="inlineStr">
        <is>
          <t>BESS PCS / MV skid</t>
        </is>
      </c>
      <c r="G4073" s="12" t="inlineStr"/>
      <c r="H4073" s="12" t="inlineStr">
        <is>
          <t>34.5 kV collector e-house (arc-resistant)</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Duct bank</t>
        </is>
      </c>
      <c r="T4073" s="16" t="n">
        <v>556</v>
      </c>
      <c r="U4073" s="16" t="n">
        <v>37</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H-MV-0002</t>
        </is>
      </c>
      <c r="B4074" s="12" t="inlineStr">
        <is>
          <t>H</t>
        </is>
      </c>
      <c r="C4074" s="12" t="inlineStr">
        <is>
          <t>BESS</t>
        </is>
      </c>
      <c r="D4074" s="12" t="inlineStr">
        <is>
          <t>34.5 kV collection loop 2</t>
        </is>
      </c>
      <c r="E4074" s="12" t="inlineStr"/>
      <c r="F4074" s="12" t="inlineStr">
        <is>
          <t>BESS PCS / MV skid</t>
        </is>
      </c>
      <c r="G4074" s="12" t="inlineStr"/>
      <c r="H4074" s="12" t="inlineStr">
        <is>
          <t>34.5 kV collector e-house (arc-resistant)</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Duct bank</t>
        </is>
      </c>
      <c r="T4074" s="16" t="n">
        <v>436</v>
      </c>
      <c r="U4074" s="16" t="n">
        <v>37</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H-MV-0003</t>
        </is>
      </c>
      <c r="B4075" s="12" t="inlineStr">
        <is>
          <t>H</t>
        </is>
      </c>
      <c r="C4075" s="12" t="inlineStr">
        <is>
          <t>BESS</t>
        </is>
      </c>
      <c r="D4075" s="12" t="inlineStr">
        <is>
          <t>34.5 kV collection loop 3</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350</v>
      </c>
      <c r="U4075" s="16" t="n">
        <v>42</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H-MV-0004</t>
        </is>
      </c>
      <c r="B4076" s="12" t="inlineStr">
        <is>
          <t>H</t>
        </is>
      </c>
      <c r="C4076" s="12" t="inlineStr">
        <is>
          <t>BESS</t>
        </is>
      </c>
      <c r="D4076" s="12" t="inlineStr">
        <is>
          <t>34.5 kV collection loop 1</t>
        </is>
      </c>
      <c r="E4076" s="12" t="inlineStr"/>
      <c r="F4076" s="12" t="inlineStr">
        <is>
          <t>34.5 kV collector e-house (arc-resistant)</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254</v>
      </c>
      <c r="U4076" s="16" t="n">
        <v>103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H-MV-0005</t>
        </is>
      </c>
      <c r="B4077" s="12" t="inlineStr">
        <is>
          <t>H</t>
        </is>
      </c>
      <c r="C4077" s="12" t="inlineStr">
        <is>
          <t>BESS</t>
        </is>
      </c>
      <c r="D4077" s="12" t="inlineStr">
        <is>
          <t>34.5 kV collection loop 1</t>
        </is>
      </c>
      <c r="E4077" s="12" t="inlineStr"/>
      <c r="F4077" s="12" t="inlineStr">
        <is>
          <t>BESS PCS / MV skid</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Tray</t>
        </is>
      </c>
      <c r="T4077" s="16" t="n">
        <v>0</v>
      </c>
      <c r="U4077" s="16" t="n">
        <v>232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H-MV-0006</t>
        </is>
      </c>
      <c r="B4078" s="12" t="inlineStr">
        <is>
          <t>H</t>
        </is>
      </c>
      <c r="C4078" s="12" t="inlineStr">
        <is>
          <t>BESS</t>
        </is>
      </c>
      <c r="D4078" s="12" t="inlineStr">
        <is>
          <t>34.5 kV collection loop 1</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6" t="n">
        <v>0</v>
      </c>
      <c r="U4078" s="16" t="n">
        <v>348</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H-MV-0007</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208</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H-MV-0008</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96</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H-MV-0009</t>
        </is>
      </c>
      <c r="B4081" s="12" t="inlineStr">
        <is>
          <t>H</t>
        </is>
      </c>
      <c r="C4081" s="12" t="inlineStr">
        <is>
          <t>BESS</t>
        </is>
      </c>
      <c r="D4081" s="12" t="inlineStr">
        <is>
          <t>34.5 kV collection loop 2</t>
        </is>
      </c>
      <c r="E4081" s="12" t="inlineStr"/>
      <c r="F4081" s="12" t="inlineStr">
        <is>
          <t>34.5 kV collector e-house (arc-resistant)</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Duct bank</t>
        </is>
      </c>
      <c r="T4081" s="16" t="n">
        <v>35</v>
      </c>
      <c r="U4081" s="16" t="n">
        <v>185</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H-MV-0010</t>
        </is>
      </c>
      <c r="B4082" s="12" t="inlineStr">
        <is>
          <t>H</t>
        </is>
      </c>
      <c r="C4082" s="12" t="inlineStr">
        <is>
          <t>BESS</t>
        </is>
      </c>
      <c r="D4082" s="12" t="inlineStr">
        <is>
          <t>34.5 kV collection loop 2</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272</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H-MV-0011</t>
        </is>
      </c>
      <c r="B4083" s="12" t="inlineStr">
        <is>
          <t>H</t>
        </is>
      </c>
      <c r="C4083" s="12" t="inlineStr">
        <is>
          <t>BESS</t>
        </is>
      </c>
      <c r="D4083" s="12" t="inlineStr">
        <is>
          <t>34.5 kV collection loop 2</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6" t="n">
        <v>0</v>
      </c>
      <c r="U4083" s="16" t="n">
        <v>388</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H-MV-0012</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208</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H-MV-0013</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96</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H-MV-0014</t>
        </is>
      </c>
      <c r="B4086" s="12" t="inlineStr">
        <is>
          <t>H</t>
        </is>
      </c>
      <c r="C4086" s="12" t="inlineStr">
        <is>
          <t>BESS</t>
        </is>
      </c>
      <c r="D4086" s="12" t="inlineStr">
        <is>
          <t>34.5 kV collection loop 3</t>
        </is>
      </c>
      <c r="E4086" s="12" t="inlineStr"/>
      <c r="F4086" s="12" t="inlineStr">
        <is>
          <t>34.5 kV collector e-house (arc-resistant)</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Duct bank</t>
        </is>
      </c>
      <c r="T4086" s="16" t="n">
        <v>24</v>
      </c>
      <c r="U4086" s="16" t="n">
        <v>123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H-MV-0015</t>
        </is>
      </c>
      <c r="B4087" s="12" t="inlineStr">
        <is>
          <t>H</t>
        </is>
      </c>
      <c r="C4087" s="12" t="inlineStr">
        <is>
          <t>BESS</t>
        </is>
      </c>
      <c r="D4087" s="12" t="inlineStr">
        <is>
          <t>34.5 kV collection loop 3</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240</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H-MV-0016</t>
        </is>
      </c>
      <c r="B4088" s="12" t="inlineStr">
        <is>
          <t>H</t>
        </is>
      </c>
      <c r="C4088" s="12" t="inlineStr">
        <is>
          <t>BESS</t>
        </is>
      </c>
      <c r="D4088" s="12" t="inlineStr">
        <is>
          <t>34.5 kV collection loop 3</t>
        </is>
      </c>
      <c r="E4088" s="12" t="inlineStr"/>
      <c r="F4088" s="12" t="inlineStr">
        <is>
          <t>BESS PCS / MV skid</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306</v>
      </c>
      <c r="U4088" s="16" t="n">
        <v>282</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H-MV-0017</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208</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H-MV-0018</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Tray</t>
        </is>
      </c>
      <c r="T4090" s="16" t="n">
        <v>0</v>
      </c>
      <c r="U4090" s="16" t="n">
        <v>96</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H-MV-0019</t>
        </is>
      </c>
      <c r="B4091" s="12" t="inlineStr">
        <is>
          <t>H</t>
        </is>
      </c>
      <c r="C4091" s="12" t="inlineStr">
        <is>
          <t>BESS</t>
        </is>
      </c>
      <c r="D4091" s="12" t="inlineStr">
        <is>
          <t>BESS MPT 34.5 kV side</t>
        </is>
      </c>
      <c r="E4091" s="12" t="inlineStr"/>
      <c r="F4091" s="12" t="inlineStr">
        <is>
          <t>34.5 kV collector e-house (arc-resistant)</t>
        </is>
      </c>
      <c r="G4091" s="12" t="inlineStr">
        <is>
          <t>BESS MPT</t>
        </is>
      </c>
      <c r="H4091" s="12" t="inlineStr">
        <is>
          <t>BESS main power transformer 34.5/230 kV (to D4 upper)</t>
        </is>
      </c>
      <c r="I4091" s="12" t="inlineStr">
        <is>
          <t>MV 35 kV</t>
        </is>
      </c>
      <c r="J4091" s="12" t="inlineStr">
        <is>
          <t>MV-105 35 kV 1/C Al, EPR 133%, 1/3 concentric neutral, LLDPE jacket</t>
        </is>
      </c>
      <c r="K4091" s="12" t="inlineStr">
        <is>
          <t>MV35|1/C|750</t>
        </is>
      </c>
      <c r="L4091" s="12" t="inlineStr">
        <is>
          <t>1/C</t>
        </is>
      </c>
      <c r="M4091" s="12" t="inlineStr">
        <is>
          <t>750 kcmil</t>
        </is>
      </c>
      <c r="N4091" s="12" t="n">
        <v>5</v>
      </c>
      <c r="O4091" s="12" t="n">
        <v>3</v>
      </c>
      <c r="P4091" s="12" t="n">
        <v>34500</v>
      </c>
      <c r="Q4091" s="12" t="n">
        <v>100000</v>
      </c>
      <c r="R4091" s="12" t="n">
        <v>1674</v>
      </c>
      <c r="S4091" s="12" t="inlineStr">
        <is>
          <t>Duct bank</t>
        </is>
      </c>
      <c r="T4091" s="16" t="n">
        <v>35</v>
      </c>
      <c r="U4091" s="16" t="n">
        <v>32</v>
      </c>
      <c r="V4091" s="16">
        <f>ROUNDUP((T4091+U4091+2*'Read Me'!$B$13)*(1+'Read Me'!$B$12),-1)</f>
        <v/>
      </c>
      <c r="W4091" s="16">
        <f>V4091*N4091*O4091</f>
        <v/>
      </c>
      <c r="X4091" s="12">
        <f>IF(LEFT(I4091,2)="MV",2*N4091*IF(L4091="1/C",O4091,1),0)</f>
        <v/>
      </c>
      <c r="Y4091" s="12">
        <f>IF(OR(LEFT(K4091,4)="LVAX",LEFT(K4091,6)="MV15AX",LEFT(K4091,4)="CTAX",LEFT(K4091,2)="W|"),2*N4091*O4091,0)</f>
        <v/>
      </c>
      <c r="Z4091" s="12" t="inlineStr">
        <is>
          <t>100 MVA (typ.)</t>
        </is>
      </c>
      <c r="AA4091" s="12">
        <f>N4091*O4091</f>
        <v/>
      </c>
    </row>
    <row r="4092">
      <c r="A4092" s="12" t="inlineStr">
        <is>
          <t>H-MV-0020</t>
        </is>
      </c>
      <c r="B4092" s="12" t="inlineStr">
        <is>
          <t>H</t>
        </is>
      </c>
      <c r="C4092" s="12" t="inlineStr">
        <is>
          <t>BESS</t>
        </is>
      </c>
      <c r="D4092" s="12" t="inlineStr">
        <is>
          <t>Grounding transformer connection (34.5 kV)</t>
        </is>
      </c>
      <c r="E4092" s="12" t="inlineStr"/>
      <c r="F4092" s="12" t="inlineStr">
        <is>
          <t>34.5 kV collector e-house (arc-resistant)</t>
        </is>
      </c>
      <c r="G4092" s="12" t="inlineStr"/>
      <c r="H4092" s="12" t="inlineStr">
        <is>
          <t>CONDITIONAL: grounding transformer</t>
        </is>
      </c>
      <c r="I4092" s="12" t="inlineStr">
        <is>
          <t>MV 35 kV</t>
        </is>
      </c>
      <c r="J4092" s="12" t="inlineStr">
        <is>
          <t>MV-105 35 kV 1/C Al, EPR 133%, 1/3 concentric neutral, LLDPE jacket</t>
        </is>
      </c>
      <c r="K4092" s="12" t="inlineStr">
        <is>
          <t>MV35|1/C|2</t>
        </is>
      </c>
      <c r="L4092" s="12" t="inlineStr">
        <is>
          <t>1/C</t>
        </is>
      </c>
      <c r="M4092" s="12" t="inlineStr">
        <is>
          <t>2</t>
        </is>
      </c>
      <c r="N4092" s="12" t="n">
        <v>1</v>
      </c>
      <c r="O4092" s="12" t="n">
        <v>3</v>
      </c>
      <c r="P4092" s="12" t="n">
        <v>34500</v>
      </c>
      <c r="Q4092" s="12" t="n">
        <v>2000</v>
      </c>
      <c r="R4092" s="12" t="n">
        <v>33</v>
      </c>
      <c r="S4092" s="12" t="inlineStr">
        <is>
          <t>Duct bank</t>
        </is>
      </c>
      <c r="T4092" s="16" t="n">
        <v>234</v>
      </c>
      <c r="U4092" s="16" t="n">
        <v>87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I-L-0001</t>
        </is>
      </c>
      <c r="B4093" s="12" t="inlineStr">
        <is>
          <t>I</t>
        </is>
      </c>
      <c r="C4093" s="12" t="inlineStr">
        <is>
          <t>Modular / portable power</t>
        </is>
      </c>
      <c r="D4093" s="12" t="inlineStr">
        <is>
          <t>Lighting, receptacles and small power branch circuits (allowance)</t>
        </is>
      </c>
      <c r="E4093" s="12" t="inlineStr"/>
      <c r="F4093" s="12" t="inlineStr">
        <is>
          <t>Lube oil / starting air / oily water building</t>
        </is>
      </c>
      <c r="G4093" s="12" t="inlineStr"/>
      <c r="H4093" s="12" t="inlineStr">
        <is>
          <t>Lube oil / starting air / oily water building</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6" t="n">
        <v>10560</v>
      </c>
      <c r="U4093" s="16" t="n">
        <v>0</v>
      </c>
      <c r="V4093" s="16">
        <f>ROUNDUP((T4093+U4093+2*'Read Me'!$B$13)*(1+'Read Me'!$B$12),-1)</f>
        <v/>
      </c>
      <c r="W4093" s="16">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I-L-0002</t>
        </is>
      </c>
      <c r="B4094" s="12" t="inlineStr">
        <is>
          <t>I</t>
        </is>
      </c>
      <c r="C4094" s="12" t="inlineStr">
        <is>
          <t>Modular / portable power</t>
        </is>
      </c>
      <c r="D4094" s="12" t="inlineStr">
        <is>
          <t>Lighting, receptacles and small power branch circuits (allowance)</t>
        </is>
      </c>
      <c r="E4094" s="12" t="inlineStr">
        <is>
          <t>MOD-EH</t>
        </is>
      </c>
      <c r="F4094" s="12" t="inlineStr">
        <is>
          <t>MOD-EH: 13.8 kV modular collector e-house</t>
        </is>
      </c>
      <c r="G4094" s="12" t="inlineStr">
        <is>
          <t>MOD-EH</t>
        </is>
      </c>
      <c r="H4094" s="12" t="inlineStr">
        <is>
          <t>MOD-EH: 13.8 kV modular collector e-house</t>
        </is>
      </c>
      <c r="I4094" s="12" t="inlineStr">
        <is>
          <t>Building wire</t>
        </is>
      </c>
      <c r="J4094" s="12" t="inlineStr">
        <is>
          <t>SIMpull THHN/THWN-2 600 V 1/C Cu (lighting, receptacles, small power)</t>
        </is>
      </c>
      <c r="K4094" s="12" t="inlineStr">
        <is>
          <t>THHN|1/C|12</t>
        </is>
      </c>
      <c r="L4094" s="12" t="inlineStr">
        <is>
          <t>1/C</t>
        </is>
      </c>
      <c r="M4094" s="12" t="inlineStr">
        <is>
          <t>12</t>
        </is>
      </c>
      <c r="N4094" s="12" t="n">
        <v>1</v>
      </c>
      <c r="O4094" s="12" t="n">
        <v>1</v>
      </c>
      <c r="P4094" s="12" t="n">
        <v>277</v>
      </c>
      <c r="Q4094" s="12" t="n"/>
      <c r="R4094" s="12" t="n"/>
      <c r="S4094" s="12" t="inlineStr">
        <is>
          <t>Conduit</t>
        </is>
      </c>
      <c r="T4094" s="16" t="n">
        <v>2560</v>
      </c>
      <c r="U4094" s="16" t="n">
        <v>0</v>
      </c>
      <c r="V4094" s="16">
        <f>ROUNDUP((T4094+U4094+2*'Read Me'!$B$13)*(1+'Read Me'!$B$12),-1)</f>
        <v/>
      </c>
      <c r="W4094" s="16">
        <f>V4094*N4094*O4094</f>
        <v/>
      </c>
      <c r="X4094" s="12">
        <f>IF(LEFT(I4094,2)="MV",2*N4094*IF(L4094="1/C",O4094,1),0)</f>
        <v/>
      </c>
      <c r="Y4094" s="12">
        <f>IF(OR(LEFT(K4094,4)="LVAX",LEFT(K4094,6)="MV15AX",LEFT(K4094,4)="CTAX",LEFT(K4094,2)="W|"),2*N4094*O4094,0)</f>
        <v/>
      </c>
      <c r="Z4094" s="12" t="inlineStr">
        <is>
          <t>allowance: 1.6 ft of conductor per ft2 of floor</t>
        </is>
      </c>
      <c r="AA4094" s="12">
        <f>N4094*O4094</f>
        <v/>
      </c>
    </row>
    <row r="4095">
      <c r="A4095" s="12" t="inlineStr">
        <is>
          <t>I-L-0003</t>
        </is>
      </c>
      <c r="B4095" s="12" t="inlineStr">
        <is>
          <t>I</t>
        </is>
      </c>
      <c r="C4095" s="12" t="inlineStr">
        <is>
          <t>Modular / portable power</t>
        </is>
      </c>
      <c r="D4095" s="12" t="inlineStr">
        <is>
          <t>Lighting, receptacles and small power branch circuits (allowance)</t>
        </is>
      </c>
      <c r="E4095" s="12" t="inlineStr"/>
      <c r="F4095" s="12" t="inlineStr">
        <is>
          <t>PCM: power control module</t>
        </is>
      </c>
      <c r="G4095" s="12" t="inlineStr"/>
      <c r="H4095" s="12" t="inlineStr">
        <is>
          <t>PCM: power control module</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5120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I-L-0004</t>
        </is>
      </c>
      <c r="B4096" s="12" t="inlineStr">
        <is>
          <t>I</t>
        </is>
      </c>
      <c r="C4096" s="12" t="inlineStr">
        <is>
          <t>Modular / portable power</t>
        </is>
      </c>
      <c r="D4096" s="12" t="inlineStr">
        <is>
          <t>Lighting, receptacles and small power branch circuits (allowance)</t>
        </is>
      </c>
      <c r="E4096" s="12" t="inlineStr"/>
      <c r="F4096" s="12" t="inlineStr">
        <is>
          <t>RICE CEMS</t>
        </is>
      </c>
      <c r="G4096" s="12" t="inlineStr"/>
      <c r="H4096" s="12" t="inlineStr">
        <is>
          <t>RICE CEMS</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I-C-0001</t>
        </is>
      </c>
      <c r="B4097" s="12" t="inlineStr">
        <is>
          <t>I</t>
        </is>
      </c>
      <c r="C4097" s="12" t="inlineStr">
        <is>
          <t>Modular / portable power</t>
        </is>
      </c>
      <c r="D4097" s="12" t="inlineStr">
        <is>
          <t>Control</t>
        </is>
      </c>
      <c r="E4097" s="12" t="inlineStr"/>
      <c r="F4097" s="12" t="inlineStr">
        <is>
          <t>PCM: power control module</t>
        </is>
      </c>
      <c r="G4097" s="12" t="inlineStr"/>
      <c r="H4097" s="12" t="inlineStr">
        <is>
          <t>BS black-start switchgear</t>
        </is>
      </c>
      <c r="I4097" s="12" t="inlineStr">
        <is>
          <t>Control</t>
        </is>
      </c>
      <c r="J4097" s="12" t="inlineStr">
        <is>
          <t>Control cable 600 V Type TC-ER, Cu #14 AWG, PVC jacket</t>
        </is>
      </c>
      <c r="K4097" s="12" t="inlineStr">
        <is>
          <t>CT|7/C|14</t>
        </is>
      </c>
      <c r="L4097" s="12" t="inlineStr">
        <is>
          <t>7/C</t>
        </is>
      </c>
      <c r="M4097" s="12" t="inlineStr">
        <is>
          <t>14</t>
        </is>
      </c>
      <c r="N4097" s="12" t="n">
        <v>1</v>
      </c>
      <c r="O4097" s="12" t="n">
        <v>1</v>
      </c>
      <c r="P4097" s="12" t="n"/>
      <c r="Q4097" s="12" t="n"/>
      <c r="R4097" s="12" t="n"/>
      <c r="S4097" s="12" t="inlineStr">
        <is>
          <t>Duct bank</t>
        </is>
      </c>
      <c r="T4097" s="16" t="n">
        <v>562</v>
      </c>
      <c r="U4097" s="16" t="n">
        <v>64</v>
      </c>
      <c r="V4097" s="16">
        <f>ROUNDUP((T4097+U4097+2*'Read Me'!$B$13)*(1+'Read Me'!$B$12),-1)</f>
        <v/>
      </c>
      <c r="W4097" s="16">
        <f>V4097*N4097*O4097</f>
        <v/>
      </c>
      <c r="X4097" s="12">
        <f>IF(LEFT(I4097,2)="MV",2*N4097*IF(L4097="1/C",O4097,1),0)</f>
        <v/>
      </c>
      <c r="Y4097" s="12">
        <f>IF(OR(LEFT(K4097,4)="LVAX",LEFT(K4097,6)="MV15AX",LEFT(K4097,4)="CTAX",LEFT(K4097,2)="W|"),2*N4097*O4097,0)</f>
        <v/>
      </c>
      <c r="Z4097" s="12" t="inlineStr"/>
      <c r="AA4097" s="12">
        <f>N4097*O4097</f>
        <v/>
      </c>
    </row>
    <row r="4098">
      <c r="A4098" s="12" t="inlineStr">
        <is>
          <t>I-C-0002</t>
        </is>
      </c>
      <c r="B4098" s="12" t="inlineStr">
        <is>
          <t>I</t>
        </is>
      </c>
      <c r="C4098" s="12" t="inlineStr">
        <is>
          <t>Modular / portable power</t>
        </is>
      </c>
      <c r="D4098" s="12" t="inlineStr">
        <is>
          <t>Control</t>
        </is>
      </c>
      <c r="E4098" s="12" t="inlineStr"/>
      <c r="F4098" s="12" t="inlineStr">
        <is>
          <t>PCM: power control module</t>
        </is>
      </c>
      <c r="G4098" s="12" t="inlineStr"/>
      <c r="H4098" s="12" t="inlineStr">
        <is>
          <t>CONDITIONAL: BESS black-start alternative</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Duct bank</t>
        </is>
      </c>
      <c r="T4098" s="16" t="n">
        <v>550</v>
      </c>
      <c r="U4098" s="16" t="n">
        <v>32</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I-C-0003</t>
        </is>
      </c>
      <c r="B4099" s="12" t="inlineStr">
        <is>
          <t>I</t>
        </is>
      </c>
      <c r="C4099" s="12" t="inlineStr">
        <is>
          <t>Modular / portable power</t>
        </is>
      </c>
      <c r="D4099" s="12" t="inlineStr">
        <is>
          <t>Control</t>
        </is>
      </c>
      <c r="E4099" s="12" t="inlineStr"/>
      <c r="F4099" s="12" t="inlineStr">
        <is>
          <t>PCM: power control module</t>
        </is>
      </c>
      <c r="G4099" s="12" t="inlineStr"/>
      <c r="H4099" s="12" t="inlineStr">
        <is>
          <t>CONDITIONAL: SC-1 inlet chiller / evaporative cooler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40</v>
      </c>
      <c r="U4099" s="16" t="n">
        <v>52</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I-C-0004</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SC-2 inlet chiller / evaporative cooler</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HV duct bank</t>
        </is>
      </c>
      <c r="T4100" s="16" t="n">
        <v>4528</v>
      </c>
      <c r="U4100" s="16" t="n">
        <v>38</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I-C-0005</t>
        </is>
      </c>
      <c r="B4101" s="12" t="inlineStr">
        <is>
          <t>I</t>
        </is>
      </c>
      <c r="C4101" s="12" t="inlineStr">
        <is>
          <t>Modular / portable power</t>
        </is>
      </c>
      <c r="D4101" s="12" t="inlineStr">
        <is>
          <t>Control</t>
        </is>
      </c>
      <c r="E4101" s="12" t="inlineStr">
        <is>
          <t>PAD-EH</t>
        </is>
      </c>
      <c r="F4101" s="12" t="inlineStr">
        <is>
          <t>PAD-EH 13.8 kV switchgear e-house</t>
        </is>
      </c>
      <c r="G4101" s="12" t="inlineStr"/>
      <c r="H4101" s="12" t="inlineStr">
        <is>
          <t>FC-5..12 inverter / AC cabinet / desulfurizer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Surface</t>
        </is>
      </c>
      <c r="T4101" s="16" t="n">
        <v>202</v>
      </c>
      <c r="U4101" s="16" t="n">
        <v>37</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I-C-0006</t>
        </is>
      </c>
      <c r="B4102" s="12" t="inlineStr">
        <is>
          <t>I</t>
        </is>
      </c>
      <c r="C4102" s="12" t="inlineStr">
        <is>
          <t>Modular / portable power</t>
        </is>
      </c>
      <c r="D4102" s="12" t="inlineStr">
        <is>
          <t>Control</t>
        </is>
      </c>
      <c r="E4102" s="12" t="inlineStr"/>
      <c r="F4102" s="12" t="inlineStr">
        <is>
          <t>PCM: power control module</t>
        </is>
      </c>
      <c r="G4102" s="12" t="inlineStr"/>
      <c r="H4102" s="12" t="inlineStr">
        <is>
          <t>Fuel-cell inverter / AC cabinet / desulfurizer</t>
        </is>
      </c>
      <c r="I4102" s="12" t="inlineStr">
        <is>
          <t>Control</t>
        </is>
      </c>
      <c r="J4102" s="12" t="inlineStr">
        <is>
          <t>ARMOR-X MC-HL 600 V control, Cu #14 AWG (Class I Div 2)</t>
        </is>
      </c>
      <c r="K4102" s="12" t="inlineStr">
        <is>
          <t>CTAX|7/C|14</t>
        </is>
      </c>
      <c r="L4102" s="12" t="inlineStr">
        <is>
          <t>7/C</t>
        </is>
      </c>
      <c r="M4102" s="12" t="inlineStr">
        <is>
          <t>14</t>
        </is>
      </c>
      <c r="N4102" s="12" t="n">
        <v>1</v>
      </c>
      <c r="O4102" s="12" t="n">
        <v>1</v>
      </c>
      <c r="P4102" s="12" t="n"/>
      <c r="Q4102" s="12" t="n"/>
      <c r="R4102" s="12" t="n"/>
      <c r="S4102" s="12" t="inlineStr">
        <is>
          <t>Duct bank</t>
        </is>
      </c>
      <c r="T4102" s="16" t="n">
        <v>1032</v>
      </c>
      <c r="U4102" s="16" t="n">
        <v>34</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I-C-0007</t>
        </is>
      </c>
      <c r="B4103" s="12" t="inlineStr">
        <is>
          <t>I</t>
        </is>
      </c>
      <c r="C4103" s="12" t="inlineStr">
        <is>
          <t>Modular / portable power</t>
        </is>
      </c>
      <c r="D4103" s="12" t="inlineStr">
        <is>
          <t>Motor 1 of 6: control / local station</t>
        </is>
      </c>
      <c r="E4103" s="12" t="inlineStr"/>
      <c r="F4103" s="12" t="inlineStr">
        <is>
          <t>MOD-LV 480 V board + 480 V : 13.8 kV step-up</t>
        </is>
      </c>
      <c r="G4103" s="12" t="inlineStr"/>
      <c r="H4103" s="12" t="inlineStr">
        <is>
          <t>Fuel-gas compressors 3 x 100% electric</t>
        </is>
      </c>
      <c r="I4103" s="12" t="inlineStr">
        <is>
          <t>Control</t>
        </is>
      </c>
      <c r="J4103" s="12" t="inlineStr">
        <is>
          <t>ARMOR-X MC-HL 600 V control, Cu #14 AWG (Class I Div 2)</t>
        </is>
      </c>
      <c r="K4103" s="12" t="inlineStr">
        <is>
          <t>CTAX|7/C|14</t>
        </is>
      </c>
      <c r="L4103" s="12" t="inlineStr">
        <is>
          <t>7/C</t>
        </is>
      </c>
      <c r="M4103" s="12" t="inlineStr">
        <is>
          <t>14</t>
        </is>
      </c>
      <c r="N4103" s="12" t="n">
        <v>1</v>
      </c>
      <c r="O4103" s="12" t="n">
        <v>1</v>
      </c>
      <c r="P4103" s="12" t="n"/>
      <c r="Q4103" s="12" t="n"/>
      <c r="R4103" s="12" t="n"/>
      <c r="S4103" s="12" t="inlineStr">
        <is>
          <t>HV duct bank</t>
        </is>
      </c>
      <c r="T4103" s="16" t="n">
        <v>4396</v>
      </c>
      <c r="U4103" s="16" t="n">
        <v>40</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I-C-0008</t>
        </is>
      </c>
      <c r="B4104" s="12" t="inlineStr">
        <is>
          <t>I</t>
        </is>
      </c>
      <c r="C4104" s="12" t="inlineStr">
        <is>
          <t>Modular / portable power</t>
        </is>
      </c>
      <c r="D4104" s="12" t="inlineStr">
        <is>
          <t>Motor 2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4396</v>
      </c>
      <c r="U4104" s="16" t="n">
        <v>40</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I-C-0009</t>
        </is>
      </c>
      <c r="B4105" s="12" t="inlineStr">
        <is>
          <t>I</t>
        </is>
      </c>
      <c r="C4105" s="12" t="inlineStr">
        <is>
          <t>Modular / portable power</t>
        </is>
      </c>
      <c r="D4105" s="12" t="inlineStr">
        <is>
          <t>Motor 3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4396</v>
      </c>
      <c r="U4105" s="16" t="n">
        <v>40</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I-C-0010</t>
        </is>
      </c>
      <c r="B4106" s="12" t="inlineStr">
        <is>
          <t>I</t>
        </is>
      </c>
      <c r="C4106" s="12" t="inlineStr">
        <is>
          <t>Modular / portable power</t>
        </is>
      </c>
      <c r="D4106" s="12" t="inlineStr">
        <is>
          <t>Motor 4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4396</v>
      </c>
      <c r="U4106" s="16" t="n">
        <v>40</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I-C-0011</t>
        </is>
      </c>
      <c r="B4107" s="12" t="inlineStr">
        <is>
          <t>I</t>
        </is>
      </c>
      <c r="C4107" s="12" t="inlineStr">
        <is>
          <t>Modular / portable power</t>
        </is>
      </c>
      <c r="D4107" s="12" t="inlineStr">
        <is>
          <t>Motor 5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4396</v>
      </c>
      <c r="U4107" s="16" t="n">
        <v>40</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I-C-0012</t>
        </is>
      </c>
      <c r="B4108" s="12" t="inlineStr">
        <is>
          <t>I</t>
        </is>
      </c>
      <c r="C4108" s="12" t="inlineStr">
        <is>
          <t>Modular / portable power</t>
        </is>
      </c>
      <c r="D4108" s="12" t="inlineStr">
        <is>
          <t>Motor 6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4396</v>
      </c>
      <c r="U4108" s="16" t="n">
        <v>40</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I-C-0013</t>
        </is>
      </c>
      <c r="B4109" s="12" t="inlineStr">
        <is>
          <t>I</t>
        </is>
      </c>
      <c r="C4109" s="12" t="inlineStr">
        <is>
          <t>Modular / portable power</t>
        </is>
      </c>
      <c r="D4109" s="12" t="inlineStr">
        <is>
          <t>Control</t>
        </is>
      </c>
      <c r="E4109" s="12" t="inlineStr">
        <is>
          <t>PAD-EH</t>
        </is>
      </c>
      <c r="F4109" s="12" t="inlineStr">
        <is>
          <t>PAD-EH 13.8 kV switchgear e-house</t>
        </is>
      </c>
      <c r="G4109" s="12" t="inlineStr">
        <is>
          <t>GSP-1</t>
        </is>
      </c>
      <c r="H4109" s="12" t="inlineStr">
        <is>
          <t>GSP-1: generator breaker / protection</t>
        </is>
      </c>
      <c r="I4109" s="12" t="inlineStr">
        <is>
          <t>Control</t>
        </is>
      </c>
      <c r="J4109" s="12" t="inlineStr">
        <is>
          <t>Control cable 600 V Type TC-ER, Cu #14 AWG, PVC jacket</t>
        </is>
      </c>
      <c r="K4109" s="12" t="inlineStr">
        <is>
          <t>CT|12/C|14</t>
        </is>
      </c>
      <c r="L4109" s="12" t="inlineStr">
        <is>
          <t>12/C</t>
        </is>
      </c>
      <c r="M4109" s="12" t="inlineStr">
        <is>
          <t>14</t>
        </is>
      </c>
      <c r="N4109" s="12" t="n">
        <v>1</v>
      </c>
      <c r="O4109" s="12" t="n">
        <v>1</v>
      </c>
      <c r="P4109" s="12" t="n"/>
      <c r="Q4109" s="12" t="n"/>
      <c r="R4109" s="12" t="n"/>
      <c r="S4109" s="12" t="inlineStr">
        <is>
          <t>Surface</t>
        </is>
      </c>
      <c r="T4109" s="16" t="n">
        <v>269</v>
      </c>
      <c r="U4109" s="16" t="n">
        <v>66</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I-C-0014</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I-C-0015</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I-C-0016</t>
        </is>
      </c>
      <c r="B4112" s="12" t="inlineStr">
        <is>
          <t>I</t>
        </is>
      </c>
      <c r="C4112" s="12" t="inlineStr">
        <is>
          <t>Modular / portable power</t>
        </is>
      </c>
      <c r="D4112" s="12" t="inlineStr">
        <is>
          <t>CT / VT</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#10 AWG (CT / VT circuits)</t>
        </is>
      </c>
      <c r="K4112" s="12" t="inlineStr">
        <is>
          <t>CTCT|4/C|10</t>
        </is>
      </c>
      <c r="L4112" s="12" t="inlineStr">
        <is>
          <t>4/C</t>
        </is>
      </c>
      <c r="M4112" s="12" t="inlineStr">
        <is>
          <t>10</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I-C-0017</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I-C-0018</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I-C-0019</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I-C-0020</t>
        </is>
      </c>
      <c r="B4116" s="12" t="inlineStr">
        <is>
          <t>I</t>
        </is>
      </c>
      <c r="C4116" s="12" t="inlineStr">
        <is>
          <t>Modular / portable power</t>
        </is>
      </c>
      <c r="D4116" s="12" t="inlineStr">
        <is>
          <t>Control</t>
        </is>
      </c>
      <c r="E4116" s="12" t="inlineStr">
        <is>
          <t>PAD-EH</t>
        </is>
      </c>
      <c r="F4116" s="12" t="inlineStr">
        <is>
          <t>PAD-EH 13.8 kV switchgear e-house</t>
        </is>
      </c>
      <c r="G4116" s="12" t="inlineStr">
        <is>
          <t>GSP-2</t>
        </is>
      </c>
      <c r="H4116" s="12" t="inlineStr">
        <is>
          <t>GSP-2: generator breaker / protection</t>
        </is>
      </c>
      <c r="I4116" s="12" t="inlineStr">
        <is>
          <t>Control</t>
        </is>
      </c>
      <c r="J4116" s="12" t="inlineStr">
        <is>
          <t>Control cable 600 V Type TC-ER, Cu #14 AWG, PVC jacket</t>
        </is>
      </c>
      <c r="K4116" s="12" t="inlineStr">
        <is>
          <t>CT|12/C|14</t>
        </is>
      </c>
      <c r="L4116" s="12" t="inlineStr">
        <is>
          <t>12/C</t>
        </is>
      </c>
      <c r="M4116" s="12" t="inlineStr">
        <is>
          <t>14</t>
        </is>
      </c>
      <c r="N4116" s="12" t="n">
        <v>1</v>
      </c>
      <c r="O4116" s="12" t="n">
        <v>1</v>
      </c>
      <c r="P4116" s="12" t="n"/>
      <c r="Q4116" s="12" t="n"/>
      <c r="R4116" s="12" t="n"/>
      <c r="S4116" s="12" t="inlineStr">
        <is>
          <t>Surface</t>
        </is>
      </c>
      <c r="T4116" s="16" t="n">
        <v>269</v>
      </c>
      <c r="U4116" s="16" t="n">
        <v>37</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I-C-0021</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I-C-0022</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I-C-0023</t>
        </is>
      </c>
      <c r="B4119" s="12" t="inlineStr">
        <is>
          <t>I</t>
        </is>
      </c>
      <c r="C4119" s="12" t="inlineStr">
        <is>
          <t>Modular / portable power</t>
        </is>
      </c>
      <c r="D4119" s="12" t="inlineStr">
        <is>
          <t>CT / VT</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#10 AWG (CT / VT circuits)</t>
        </is>
      </c>
      <c r="K4119" s="12" t="inlineStr">
        <is>
          <t>CTCT|4/C|10</t>
        </is>
      </c>
      <c r="L4119" s="12" t="inlineStr">
        <is>
          <t>4/C</t>
        </is>
      </c>
      <c r="M4119" s="12" t="inlineStr">
        <is>
          <t>10</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I-C-0024</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I-C-0025</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I-C-0026</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I-C-0027</t>
        </is>
      </c>
      <c r="B4123" s="12" t="inlineStr">
        <is>
          <t>I</t>
        </is>
      </c>
      <c r="C4123" s="12" t="inlineStr">
        <is>
          <t>Modular / portable power</t>
        </is>
      </c>
      <c r="D4123" s="12" t="inlineStr">
        <is>
          <t>Control</t>
        </is>
      </c>
      <c r="E4123" s="12" t="inlineStr"/>
      <c r="F4123" s="12" t="inlineStr">
        <is>
          <t>PCM: power control module</t>
        </is>
      </c>
      <c r="G4123" s="12" t="inlineStr"/>
      <c r="H4123" s="12" t="inlineStr">
        <is>
          <t>Gas conditioning skid</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Tray</t>
        </is>
      </c>
      <c r="T4123" s="16" t="n">
        <v>32</v>
      </c>
      <c r="U4123" s="16" t="n">
        <v>94</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I-C-0028</t>
        </is>
      </c>
      <c r="B4124" s="12" t="inlineStr">
        <is>
          <t>I</t>
        </is>
      </c>
      <c r="C4124" s="12" t="inlineStr">
        <is>
          <t>Modular / portable power</t>
        </is>
      </c>
      <c r="D4124" s="12" t="inlineStr">
        <is>
          <t>Control</t>
        </is>
      </c>
      <c r="E4124" s="12" t="inlineStr">
        <is>
          <t>PAD-EH</t>
        </is>
      </c>
      <c r="F4124" s="12" t="inlineStr">
        <is>
          <t>PAD-EH 13.8 kV switchgear e-house</t>
        </is>
      </c>
      <c r="G4124" s="12" t="inlineStr">
        <is>
          <t>LB</t>
        </is>
      </c>
      <c r="H4124" s="12" t="inlineStr">
        <is>
          <t>LB: commissioning load bank (trailer)</t>
        </is>
      </c>
      <c r="I4124" s="12" t="inlineStr">
        <is>
          <t>Control</t>
        </is>
      </c>
      <c r="J4124" s="12" t="inlineStr">
        <is>
          <t>Control cable 600 V Type TC-ER, Cu #14 AWG, PVC jacket</t>
        </is>
      </c>
      <c r="K4124" s="12" t="inlineStr">
        <is>
          <t>CT|7/C|14</t>
        </is>
      </c>
      <c r="L4124" s="12" t="inlineStr">
        <is>
          <t>7/C</t>
        </is>
      </c>
      <c r="M4124" s="12" t="inlineStr">
        <is>
          <t>14</t>
        </is>
      </c>
      <c r="N4124" s="12" t="n">
        <v>1</v>
      </c>
      <c r="O4124" s="12" t="n">
        <v>1</v>
      </c>
      <c r="P4124" s="12" t="n"/>
      <c r="Q4124" s="12" t="n"/>
      <c r="R4124" s="12" t="n"/>
      <c r="S4124" s="12" t="inlineStr">
        <is>
          <t>Surface</t>
        </is>
      </c>
      <c r="T4124" s="16" t="n">
        <v>169</v>
      </c>
      <c r="U4124" s="16" t="n">
        <v>73</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I-C-0029</t>
        </is>
      </c>
      <c r="B4125" s="12" t="inlineStr">
        <is>
          <t>I</t>
        </is>
      </c>
      <c r="C4125" s="12" t="inlineStr">
        <is>
          <t>Modular / portable power</t>
        </is>
      </c>
      <c r="D4125" s="12" t="inlineStr">
        <is>
          <t>Control</t>
        </is>
      </c>
      <c r="E4125" s="12" t="inlineStr"/>
      <c r="F4125" s="12" t="inlineStr">
        <is>
          <t>PCM: power control module</t>
        </is>
      </c>
      <c r="G4125" s="12" t="inlineStr"/>
      <c r="H4125" s="12" t="inlineStr">
        <is>
          <t>Lube oil / starting air / oily water building</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Tray</t>
        </is>
      </c>
      <c r="T4125" s="16" t="n">
        <v>32</v>
      </c>
      <c r="U4125" s="16" t="n">
        <v>164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I-C-0030</t>
        </is>
      </c>
      <c r="B4126" s="12" t="inlineStr">
        <is>
          <t>I</t>
        </is>
      </c>
      <c r="C4126" s="12" t="inlineStr">
        <is>
          <t>Modular / portable power</t>
        </is>
      </c>
      <c r="D4126" s="12" t="inlineStr">
        <is>
          <t>Control</t>
        </is>
      </c>
      <c r="E4126" s="12" t="inlineStr"/>
      <c r="F4126" s="12" t="inlineStr">
        <is>
          <t>PCM: power control module</t>
        </is>
      </c>
      <c r="G4126" s="12" t="inlineStr">
        <is>
          <t>MOD-EH</t>
        </is>
      </c>
      <c r="H4126" s="12" t="inlineStr">
        <is>
          <t>MOD-EH: 13.8 kV modular collector e-house</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Duct bank</t>
        </is>
      </c>
      <c r="T4126" s="16" t="n">
        <v>355</v>
      </c>
      <c r="U4126" s="16" t="n">
        <v>32</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I-C-0031</t>
        </is>
      </c>
      <c r="B4127" s="12" t="inlineStr">
        <is>
          <t>I</t>
        </is>
      </c>
      <c r="C4127" s="12" t="inlineStr">
        <is>
          <t>Modular / portable power</t>
        </is>
      </c>
      <c r="D4127" s="12" t="inlineStr">
        <is>
          <t>Control</t>
        </is>
      </c>
      <c r="E4127" s="12" t="inlineStr"/>
      <c r="F4127" s="12" t="inlineStr">
        <is>
          <t>PCM: power control module</t>
        </is>
      </c>
      <c r="G4127" s="12" t="inlineStr"/>
      <c r="H4127" s="12" t="inlineStr">
        <is>
          <t>MOD-LV 480 V board + 480 V : 13.8 kV step-up</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773</v>
      </c>
      <c r="U4127" s="16" t="n">
        <v>34</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I-C-0032</t>
        </is>
      </c>
      <c r="B4128" s="12" t="inlineStr">
        <is>
          <t>I</t>
        </is>
      </c>
      <c r="C4128" s="12" t="inlineStr">
        <is>
          <t>Modular / portable power</t>
        </is>
      </c>
      <c r="D4128" s="12" t="inlineStr">
        <is>
          <t>Control</t>
        </is>
      </c>
      <c r="E4128" s="12" t="inlineStr"/>
      <c r="F4128" s="12" t="inlineStr">
        <is>
          <t>PCM: power control module</t>
        </is>
      </c>
      <c r="G4128" s="12" t="inlineStr"/>
      <c r="H4128" s="12" t="inlineStr">
        <is>
          <t>PCM: power control module</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Tray</t>
        </is>
      </c>
      <c r="T4128" s="16" t="n">
        <v>0</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I-C-0033</t>
        </is>
      </c>
      <c r="B4129" s="12" t="inlineStr">
        <is>
          <t>I</t>
        </is>
      </c>
      <c r="C4129" s="12" t="inlineStr">
        <is>
          <t>Modular / portable power</t>
        </is>
      </c>
      <c r="D4129" s="12" t="inlineStr">
        <is>
          <t>Motor 1 of 1: control / local station</t>
        </is>
      </c>
      <c r="E4129" s="12" t="inlineStr"/>
      <c r="F4129" s="12" t="inlineStr">
        <is>
          <t>PCM: power control module</t>
        </is>
      </c>
      <c r="G4129" s="12" t="inlineStr"/>
      <c r="H4129" s="12" t="inlineStr">
        <is>
          <t>RICE 1 SCR + oxidation catalyst and stack</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6" t="n">
        <v>470</v>
      </c>
      <c r="U4129" s="16" t="n">
        <v>160</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I-C-0034</t>
        </is>
      </c>
      <c r="B4130" s="12" t="inlineStr">
        <is>
          <t>I</t>
        </is>
      </c>
      <c r="C4130" s="12" t="inlineStr">
        <is>
          <t>Modular / portable power</t>
        </is>
      </c>
      <c r="D4130" s="12" t="inlineStr">
        <is>
          <t>Motor 1 of 5: control / local station</t>
        </is>
      </c>
      <c r="E4130" s="12" t="inlineStr"/>
      <c r="F4130" s="12" t="inlineStr">
        <is>
          <t>PCM: power control module</t>
        </is>
      </c>
      <c r="G4130" s="12" t="inlineStr"/>
      <c r="H4130" s="12" t="inlineStr">
        <is>
          <t>RICE 1 radiators (5)</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745</v>
      </c>
      <c r="U4130" s="16" t="n">
        <v>139</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I-C-0035</t>
        </is>
      </c>
      <c r="B4131" s="12" t="inlineStr">
        <is>
          <t>I</t>
        </is>
      </c>
      <c r="C4131" s="12" t="inlineStr">
        <is>
          <t>Modular / portable power</t>
        </is>
      </c>
      <c r="D4131" s="12" t="inlineStr">
        <is>
          <t>Motor 2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I-C-0036</t>
        </is>
      </c>
      <c r="B4132" s="12" t="inlineStr">
        <is>
          <t>I</t>
        </is>
      </c>
      <c r="C4132" s="12" t="inlineStr">
        <is>
          <t>Modular / portable power</t>
        </is>
      </c>
      <c r="D4132" s="12" t="inlineStr">
        <is>
          <t>Motor 3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I-C-0037</t>
        </is>
      </c>
      <c r="B4133" s="12" t="inlineStr">
        <is>
          <t>I</t>
        </is>
      </c>
      <c r="C4133" s="12" t="inlineStr">
        <is>
          <t>Modular / portable power</t>
        </is>
      </c>
      <c r="D4133" s="12" t="inlineStr">
        <is>
          <t>Motor 4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I-C-0038</t>
        </is>
      </c>
      <c r="B4134" s="12" t="inlineStr">
        <is>
          <t>I</t>
        </is>
      </c>
      <c r="C4134" s="12" t="inlineStr">
        <is>
          <t>Modular / portable power</t>
        </is>
      </c>
      <c r="D4134" s="12" t="inlineStr">
        <is>
          <t>Motor 5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I-C-0039</t>
        </is>
      </c>
      <c r="B4135" s="12" t="inlineStr">
        <is>
          <t>I</t>
        </is>
      </c>
      <c r="C4135" s="12" t="inlineStr">
        <is>
          <t>Modular / portable power</t>
        </is>
      </c>
      <c r="D4135" s="12" t="inlineStr">
        <is>
          <t>Motor 1 of 1: control / local station</t>
        </is>
      </c>
      <c r="E4135" s="12" t="inlineStr"/>
      <c r="F4135" s="12" t="inlineStr">
        <is>
          <t>PCM: power control module</t>
        </is>
      </c>
      <c r="G4135" s="12" t="inlineStr"/>
      <c r="H4135" s="12" t="inlineStr">
        <is>
          <t>RICE 2 SCR + oxidation catalyst and stack</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470</v>
      </c>
      <c r="U4135" s="16" t="n">
        <v>132</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I-C-0040</t>
        </is>
      </c>
      <c r="B4136" s="12" t="inlineStr">
        <is>
          <t>I</t>
        </is>
      </c>
      <c r="C4136" s="12" t="inlineStr">
        <is>
          <t>Modular / portable power</t>
        </is>
      </c>
      <c r="D4136" s="12" t="inlineStr">
        <is>
          <t>Motor 1 of 5: control / local station</t>
        </is>
      </c>
      <c r="E4136" s="12" t="inlineStr"/>
      <c r="F4136" s="12" t="inlineStr">
        <is>
          <t>PCM: power control module</t>
        </is>
      </c>
      <c r="G4136" s="12" t="inlineStr"/>
      <c r="H4136" s="12" t="inlineStr">
        <is>
          <t>RICE 2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550</v>
      </c>
      <c r="U4136" s="16" t="n">
        <v>192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I-C-0041</t>
        </is>
      </c>
      <c r="B4137" s="12" t="inlineStr">
        <is>
          <t>I</t>
        </is>
      </c>
      <c r="C4137" s="12" t="inlineStr">
        <is>
          <t>Modular / portable power</t>
        </is>
      </c>
      <c r="D4137" s="12" t="inlineStr">
        <is>
          <t>Motor 2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I-C-0042</t>
        </is>
      </c>
      <c r="B4138" s="12" t="inlineStr">
        <is>
          <t>I</t>
        </is>
      </c>
      <c r="C4138" s="12" t="inlineStr">
        <is>
          <t>Modular / portable power</t>
        </is>
      </c>
      <c r="D4138" s="12" t="inlineStr">
        <is>
          <t>Motor 3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I-C-0043</t>
        </is>
      </c>
      <c r="B4139" s="12" t="inlineStr">
        <is>
          <t>I</t>
        </is>
      </c>
      <c r="C4139" s="12" t="inlineStr">
        <is>
          <t>Modular / portable power</t>
        </is>
      </c>
      <c r="D4139" s="12" t="inlineStr">
        <is>
          <t>Motor 4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I-C-0044</t>
        </is>
      </c>
      <c r="B4140" s="12" t="inlineStr">
        <is>
          <t>I</t>
        </is>
      </c>
      <c r="C4140" s="12" t="inlineStr">
        <is>
          <t>Modular / portable power</t>
        </is>
      </c>
      <c r="D4140" s="12" t="inlineStr">
        <is>
          <t>Motor 5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I-C-0045</t>
        </is>
      </c>
      <c r="B4141" s="12" t="inlineStr">
        <is>
          <t>I</t>
        </is>
      </c>
      <c r="C4141" s="12" t="inlineStr">
        <is>
          <t>Modular / portable power</t>
        </is>
      </c>
      <c r="D4141" s="12" t="inlineStr">
        <is>
          <t>Motor 1 of 1: control / local station</t>
        </is>
      </c>
      <c r="E4141" s="12" t="inlineStr"/>
      <c r="F4141" s="12" t="inlineStr">
        <is>
          <t>PCM: power control module</t>
        </is>
      </c>
      <c r="G4141" s="12" t="inlineStr"/>
      <c r="H4141" s="12" t="inlineStr">
        <is>
          <t>RICE 3 SCR + oxidation catalyst and stack</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470</v>
      </c>
      <c r="U4141" s="16" t="n">
        <v>104</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I-C-0046</t>
        </is>
      </c>
      <c r="B4142" s="12" t="inlineStr">
        <is>
          <t>I</t>
        </is>
      </c>
      <c r="C4142" s="12" t="inlineStr">
        <is>
          <t>Modular / portable power</t>
        </is>
      </c>
      <c r="D4142" s="12" t="inlineStr">
        <is>
          <t>Motor 1 of 5: control / local station</t>
        </is>
      </c>
      <c r="E4142" s="12" t="inlineStr"/>
      <c r="F4142" s="12" t="inlineStr">
        <is>
          <t>PCM: power control module</t>
        </is>
      </c>
      <c r="G4142" s="12" t="inlineStr"/>
      <c r="H4142" s="12" t="inlineStr">
        <is>
          <t>RICE 3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6" t="n">
        <v>32</v>
      </c>
      <c r="U4142" s="16" t="n">
        <v>232</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I-C-0047</t>
        </is>
      </c>
      <c r="B4143" s="12" t="inlineStr">
        <is>
          <t>I</t>
        </is>
      </c>
      <c r="C4143" s="12" t="inlineStr">
        <is>
          <t>Modular / portable power</t>
        </is>
      </c>
      <c r="D4143" s="12" t="inlineStr">
        <is>
          <t>Motor 2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I-C-0048</t>
        </is>
      </c>
      <c r="B4144" s="12" t="inlineStr">
        <is>
          <t>I</t>
        </is>
      </c>
      <c r="C4144" s="12" t="inlineStr">
        <is>
          <t>Modular / portable power</t>
        </is>
      </c>
      <c r="D4144" s="12" t="inlineStr">
        <is>
          <t>Motor 3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I-C-0049</t>
        </is>
      </c>
      <c r="B4145" s="12" t="inlineStr">
        <is>
          <t>I</t>
        </is>
      </c>
      <c r="C4145" s="12" t="inlineStr">
        <is>
          <t>Modular / portable power</t>
        </is>
      </c>
      <c r="D4145" s="12" t="inlineStr">
        <is>
          <t>Motor 4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I-C-0050</t>
        </is>
      </c>
      <c r="B4146" s="12" t="inlineStr">
        <is>
          <t>I</t>
        </is>
      </c>
      <c r="C4146" s="12" t="inlineStr">
        <is>
          <t>Modular / portable power</t>
        </is>
      </c>
      <c r="D4146" s="12" t="inlineStr">
        <is>
          <t>Motor 5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I-C-0051</t>
        </is>
      </c>
      <c r="B4147" s="12" t="inlineStr">
        <is>
          <t>I</t>
        </is>
      </c>
      <c r="C4147" s="12" t="inlineStr">
        <is>
          <t>Modular / portable power</t>
        </is>
      </c>
      <c r="D4147" s="12" t="inlineStr">
        <is>
          <t>Motor 1 of 1: control / local station</t>
        </is>
      </c>
      <c r="E4147" s="12" t="inlineStr"/>
      <c r="F4147" s="12" t="inlineStr">
        <is>
          <t>PCM: power control module</t>
        </is>
      </c>
      <c r="G4147" s="12" t="inlineStr"/>
      <c r="H4147" s="12" t="inlineStr">
        <is>
          <t>RICE 4 SCR + oxidation catalyst and stack</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Duct bank</t>
        </is>
      </c>
      <c r="T4147" s="16" t="n">
        <v>470</v>
      </c>
      <c r="U4147" s="16" t="n">
        <v>76</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I-C-0052</t>
        </is>
      </c>
      <c r="B4148" s="12" t="inlineStr">
        <is>
          <t>I</t>
        </is>
      </c>
      <c r="C4148" s="12" t="inlineStr">
        <is>
          <t>Modular / portable power</t>
        </is>
      </c>
      <c r="D4148" s="12" t="inlineStr">
        <is>
          <t>Motor 1 of 5: control / local station</t>
        </is>
      </c>
      <c r="E4148" s="12" t="inlineStr"/>
      <c r="F4148" s="12" t="inlineStr">
        <is>
          <t>PCM: power control module</t>
        </is>
      </c>
      <c r="G4148" s="12" t="inlineStr"/>
      <c r="H4148" s="12" t="inlineStr">
        <is>
          <t>RICE 4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6" t="n">
        <v>0</v>
      </c>
      <c r="U4148" s="16" t="n">
        <v>206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I-C-0053</t>
        </is>
      </c>
      <c r="B4149" s="12" t="inlineStr">
        <is>
          <t>I</t>
        </is>
      </c>
      <c r="C4149" s="12" t="inlineStr">
        <is>
          <t>Modular / portable power</t>
        </is>
      </c>
      <c r="D4149" s="12" t="inlineStr">
        <is>
          <t>Motor 2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I-C-0054</t>
        </is>
      </c>
      <c r="B4150" s="12" t="inlineStr">
        <is>
          <t>I</t>
        </is>
      </c>
      <c r="C4150" s="12" t="inlineStr">
        <is>
          <t>Modular / portable power</t>
        </is>
      </c>
      <c r="D4150" s="12" t="inlineStr">
        <is>
          <t>Motor 3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I-C-0055</t>
        </is>
      </c>
      <c r="B4151" s="12" t="inlineStr">
        <is>
          <t>I</t>
        </is>
      </c>
      <c r="C4151" s="12" t="inlineStr">
        <is>
          <t>Modular / portable power</t>
        </is>
      </c>
      <c r="D4151" s="12" t="inlineStr">
        <is>
          <t>Motor 4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I-C-0056</t>
        </is>
      </c>
      <c r="B4152" s="12" t="inlineStr">
        <is>
          <t>I</t>
        </is>
      </c>
      <c r="C4152" s="12" t="inlineStr">
        <is>
          <t>Modular / portable power</t>
        </is>
      </c>
      <c r="D4152" s="12" t="inlineStr">
        <is>
          <t>Motor 5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I-C-0057</t>
        </is>
      </c>
      <c r="B4153" s="12" t="inlineStr">
        <is>
          <t>I</t>
        </is>
      </c>
      <c r="C4153" s="12" t="inlineStr">
        <is>
          <t>Modular / portable power</t>
        </is>
      </c>
      <c r="D4153" s="12" t="inlineStr">
        <is>
          <t>Motor 1 of 1: control / local station</t>
        </is>
      </c>
      <c r="E4153" s="12" t="inlineStr"/>
      <c r="F4153" s="12" t="inlineStr">
        <is>
          <t>PCM: power control module</t>
        </is>
      </c>
      <c r="G4153" s="12" t="inlineStr"/>
      <c r="H4153" s="12" t="inlineStr">
        <is>
          <t>RICE 5 SCR + oxidation catalyst and stack</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6" t="n">
        <v>322</v>
      </c>
      <c r="U4153" s="16" t="n">
        <v>196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I-C-0058</t>
        </is>
      </c>
      <c r="B4154" s="12" t="inlineStr">
        <is>
          <t>I</t>
        </is>
      </c>
      <c r="C4154" s="12" t="inlineStr">
        <is>
          <t>Modular / portable power</t>
        </is>
      </c>
      <c r="D4154" s="12" t="inlineStr">
        <is>
          <t>Motor 1 of 5: control / local station</t>
        </is>
      </c>
      <c r="E4154" s="12" t="inlineStr"/>
      <c r="F4154" s="12" t="inlineStr">
        <is>
          <t>PCM: power control module</t>
        </is>
      </c>
      <c r="G4154" s="12" t="inlineStr"/>
      <c r="H4154" s="12" t="inlineStr">
        <is>
          <t>RICE 5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6" t="n">
        <v>0</v>
      </c>
      <c r="U4154" s="16" t="n">
        <v>178</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I-C-0059</t>
        </is>
      </c>
      <c r="B4155" s="12" t="inlineStr">
        <is>
          <t>I</t>
        </is>
      </c>
      <c r="C4155" s="12" t="inlineStr">
        <is>
          <t>Modular / portable power</t>
        </is>
      </c>
      <c r="D4155" s="12" t="inlineStr">
        <is>
          <t>Motor 2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I-C-0060</t>
        </is>
      </c>
      <c r="B4156" s="12" t="inlineStr">
        <is>
          <t>I</t>
        </is>
      </c>
      <c r="C4156" s="12" t="inlineStr">
        <is>
          <t>Modular / portable power</t>
        </is>
      </c>
      <c r="D4156" s="12" t="inlineStr">
        <is>
          <t>Motor 3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I-C-0061</t>
        </is>
      </c>
      <c r="B4157" s="12" t="inlineStr">
        <is>
          <t>I</t>
        </is>
      </c>
      <c r="C4157" s="12" t="inlineStr">
        <is>
          <t>Modular / portable power</t>
        </is>
      </c>
      <c r="D4157" s="12" t="inlineStr">
        <is>
          <t>Motor 4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I-C-0062</t>
        </is>
      </c>
      <c r="B4158" s="12" t="inlineStr">
        <is>
          <t>I</t>
        </is>
      </c>
      <c r="C4158" s="12" t="inlineStr">
        <is>
          <t>Modular / portable power</t>
        </is>
      </c>
      <c r="D4158" s="12" t="inlineStr">
        <is>
          <t>Motor 5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I-C-0063</t>
        </is>
      </c>
      <c r="B4159" s="12" t="inlineStr">
        <is>
          <t>I</t>
        </is>
      </c>
      <c r="C4159" s="12" t="inlineStr">
        <is>
          <t>Modular / portable power</t>
        </is>
      </c>
      <c r="D4159" s="12" t="inlineStr">
        <is>
          <t>Motor 1 of 1: control / local station</t>
        </is>
      </c>
      <c r="E4159" s="12" t="inlineStr"/>
      <c r="F4159" s="12" t="inlineStr">
        <is>
          <t>PCM: power control module</t>
        </is>
      </c>
      <c r="G4159" s="12" t="inlineStr"/>
      <c r="H4159" s="12" t="inlineStr">
        <is>
          <t>RICE 6 SCR + oxidation catalyst and stack</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6" t="n">
        <v>322</v>
      </c>
      <c r="U4159" s="16" t="n">
        <v>168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I-C-0064</t>
        </is>
      </c>
      <c r="B4160" s="12" t="inlineStr">
        <is>
          <t>I</t>
        </is>
      </c>
      <c r="C4160" s="12" t="inlineStr">
        <is>
          <t>Modular / portable power</t>
        </is>
      </c>
      <c r="D4160" s="12" t="inlineStr">
        <is>
          <t>Motor 1 of 5: control / local station</t>
        </is>
      </c>
      <c r="E4160" s="12" t="inlineStr"/>
      <c r="F4160" s="12" t="inlineStr">
        <is>
          <t>PCM: power control module</t>
        </is>
      </c>
      <c r="G4160" s="12" t="inlineStr"/>
      <c r="H4160" s="12" t="inlineStr">
        <is>
          <t>RICE 6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6" t="n">
        <v>0</v>
      </c>
      <c r="U4160" s="16" t="n">
        <v>150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I-C-0065</t>
        </is>
      </c>
      <c r="B4161" s="12" t="inlineStr">
        <is>
          <t>I</t>
        </is>
      </c>
      <c r="C4161" s="12" t="inlineStr">
        <is>
          <t>Modular / portable power</t>
        </is>
      </c>
      <c r="D4161" s="12" t="inlineStr">
        <is>
          <t>Motor 2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I-C-0066</t>
        </is>
      </c>
      <c r="B4162" s="12" t="inlineStr">
        <is>
          <t>I</t>
        </is>
      </c>
      <c r="C4162" s="12" t="inlineStr">
        <is>
          <t>Modular / portable power</t>
        </is>
      </c>
      <c r="D4162" s="12" t="inlineStr">
        <is>
          <t>Motor 3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I-C-0067</t>
        </is>
      </c>
      <c r="B4163" s="12" t="inlineStr">
        <is>
          <t>I</t>
        </is>
      </c>
      <c r="C4163" s="12" t="inlineStr">
        <is>
          <t>Modular / portable power</t>
        </is>
      </c>
      <c r="D4163" s="12" t="inlineStr">
        <is>
          <t>Motor 4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I-C-0068</t>
        </is>
      </c>
      <c r="B4164" s="12" t="inlineStr">
        <is>
          <t>I</t>
        </is>
      </c>
      <c r="C4164" s="12" t="inlineStr">
        <is>
          <t>Modular / portable power</t>
        </is>
      </c>
      <c r="D4164" s="12" t="inlineStr">
        <is>
          <t>Motor 5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I-C-0069</t>
        </is>
      </c>
      <c r="B4165" s="12" t="inlineStr">
        <is>
          <t>I</t>
        </is>
      </c>
      <c r="C4165" s="12" t="inlineStr">
        <is>
          <t>Modular / portable power</t>
        </is>
      </c>
      <c r="D4165" s="12" t="inlineStr">
        <is>
          <t>Motor 1 of 1: control / local station</t>
        </is>
      </c>
      <c r="E4165" s="12" t="inlineStr"/>
      <c r="F4165" s="12" t="inlineStr">
        <is>
          <t>PCM: power control module</t>
        </is>
      </c>
      <c r="G4165" s="12" t="inlineStr"/>
      <c r="H4165" s="12" t="inlineStr">
        <is>
          <t>RICE 7 SCR + oxidation catalyst and stack</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Duct bank</t>
        </is>
      </c>
      <c r="T4165" s="16" t="n">
        <v>322</v>
      </c>
      <c r="U4165" s="16" t="n">
        <v>140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I-C-0070</t>
        </is>
      </c>
      <c r="B4166" s="12" t="inlineStr">
        <is>
          <t>I</t>
        </is>
      </c>
      <c r="C4166" s="12" t="inlineStr">
        <is>
          <t>Modular / portable power</t>
        </is>
      </c>
      <c r="D4166" s="12" t="inlineStr">
        <is>
          <t>Motor 1 of 5: control / local station</t>
        </is>
      </c>
      <c r="E4166" s="12" t="inlineStr"/>
      <c r="F4166" s="12" t="inlineStr">
        <is>
          <t>PCM: power control module</t>
        </is>
      </c>
      <c r="G4166" s="12" t="inlineStr"/>
      <c r="H4166" s="12" t="inlineStr">
        <is>
          <t>RICE 7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122</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I-C-0071</t>
        </is>
      </c>
      <c r="B4167" s="12" t="inlineStr">
        <is>
          <t>I</t>
        </is>
      </c>
      <c r="C4167" s="12" t="inlineStr">
        <is>
          <t>Modular / portable power</t>
        </is>
      </c>
      <c r="D4167" s="12" t="inlineStr">
        <is>
          <t>Motor 2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I-C-0072</t>
        </is>
      </c>
      <c r="B4168" s="12" t="inlineStr">
        <is>
          <t>I</t>
        </is>
      </c>
      <c r="C4168" s="12" t="inlineStr">
        <is>
          <t>Modular / portable power</t>
        </is>
      </c>
      <c r="D4168" s="12" t="inlineStr">
        <is>
          <t>Motor 3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I-C-0073</t>
        </is>
      </c>
      <c r="B4169" s="12" t="inlineStr">
        <is>
          <t>I</t>
        </is>
      </c>
      <c r="C4169" s="12" t="inlineStr">
        <is>
          <t>Modular / portable power</t>
        </is>
      </c>
      <c r="D4169" s="12" t="inlineStr">
        <is>
          <t>Motor 4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I-C-0074</t>
        </is>
      </c>
      <c r="B4170" s="12" t="inlineStr">
        <is>
          <t>I</t>
        </is>
      </c>
      <c r="C4170" s="12" t="inlineStr">
        <is>
          <t>Modular / portable power</t>
        </is>
      </c>
      <c r="D4170" s="12" t="inlineStr">
        <is>
          <t>Motor 5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I-C-0075</t>
        </is>
      </c>
      <c r="B4171" s="12" t="inlineStr">
        <is>
          <t>I</t>
        </is>
      </c>
      <c r="C4171" s="12" t="inlineStr">
        <is>
          <t>Modular / portable power</t>
        </is>
      </c>
      <c r="D4171" s="12" t="inlineStr">
        <is>
          <t>Motor 1 of 1: control / local station</t>
        </is>
      </c>
      <c r="E4171" s="12" t="inlineStr"/>
      <c r="F4171" s="12" t="inlineStr">
        <is>
          <t>PCM: power control module</t>
        </is>
      </c>
      <c r="G4171" s="12" t="inlineStr"/>
      <c r="H4171" s="12" t="inlineStr">
        <is>
          <t>RICE 8 SCR + oxidation catalyst and stack</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Duct bank</t>
        </is>
      </c>
      <c r="T4171" s="16" t="n">
        <v>322</v>
      </c>
      <c r="U4171" s="16" t="n">
        <v>112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I-C-0076</t>
        </is>
      </c>
      <c r="B4172" s="12" t="inlineStr">
        <is>
          <t>I</t>
        </is>
      </c>
      <c r="C4172" s="12" t="inlineStr">
        <is>
          <t>Modular / portable power</t>
        </is>
      </c>
      <c r="D4172" s="12" t="inlineStr">
        <is>
          <t>Motor 1 of 5: control / local station</t>
        </is>
      </c>
      <c r="E4172" s="12" t="inlineStr"/>
      <c r="F4172" s="12" t="inlineStr">
        <is>
          <t>PCM: power control module</t>
        </is>
      </c>
      <c r="G4172" s="12" t="inlineStr"/>
      <c r="H4172" s="12" t="inlineStr">
        <is>
          <t>RICE 8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6" t="n">
        <v>0</v>
      </c>
      <c r="U4172" s="16" t="n">
        <v>94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I-C-0077</t>
        </is>
      </c>
      <c r="B4173" s="12" t="inlineStr">
        <is>
          <t>I</t>
        </is>
      </c>
      <c r="C4173" s="12" t="inlineStr">
        <is>
          <t>Modular / portable power</t>
        </is>
      </c>
      <c r="D4173" s="12" t="inlineStr">
        <is>
          <t>Motor 2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I-C-0078</t>
        </is>
      </c>
      <c r="B4174" s="12" t="inlineStr">
        <is>
          <t>I</t>
        </is>
      </c>
      <c r="C4174" s="12" t="inlineStr">
        <is>
          <t>Modular / portable power</t>
        </is>
      </c>
      <c r="D4174" s="12" t="inlineStr">
        <is>
          <t>Motor 3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I-C-0079</t>
        </is>
      </c>
      <c r="B4175" s="12" t="inlineStr">
        <is>
          <t>I</t>
        </is>
      </c>
      <c r="C4175" s="12" t="inlineStr">
        <is>
          <t>Modular / portable power</t>
        </is>
      </c>
      <c r="D4175" s="12" t="inlineStr">
        <is>
          <t>Motor 4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I-C-0080</t>
        </is>
      </c>
      <c r="B4176" s="12" t="inlineStr">
        <is>
          <t>I</t>
        </is>
      </c>
      <c r="C4176" s="12" t="inlineStr">
        <is>
          <t>Modular / portable power</t>
        </is>
      </c>
      <c r="D4176" s="12" t="inlineStr">
        <is>
          <t>Motor 5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I-C-0081</t>
        </is>
      </c>
      <c r="B4177" s="12" t="inlineStr">
        <is>
          <t>I</t>
        </is>
      </c>
      <c r="C4177" s="12" t="inlineStr">
        <is>
          <t>Modular / portable power</t>
        </is>
      </c>
      <c r="D4177" s="12" t="inlineStr">
        <is>
          <t>Control</t>
        </is>
      </c>
      <c r="E4177" s="12" t="inlineStr"/>
      <c r="F4177" s="12" t="inlineStr">
        <is>
          <t>PCM: power control module</t>
        </is>
      </c>
      <c r="G4177" s="12" t="inlineStr"/>
      <c r="H4177" s="12" t="inlineStr">
        <is>
          <t>RICE CEMS</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6" t="n">
        <v>260</v>
      </c>
      <c r="U4177" s="16" t="n">
        <v>131</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I-C-0082</t>
        </is>
      </c>
      <c r="B4178" s="12" t="inlineStr">
        <is>
          <t>I</t>
        </is>
      </c>
      <c r="C4178" s="12" t="inlineStr">
        <is>
          <t>Modular / portable power</t>
        </is>
      </c>
      <c r="D4178" s="12" t="inlineStr">
        <is>
          <t>Control</t>
        </is>
      </c>
      <c r="E4178" s="12" t="inlineStr"/>
      <c r="F4178" s="12" t="inlineStr">
        <is>
          <t>PCM: power control module</t>
        </is>
      </c>
      <c r="G4178" s="12" t="inlineStr">
        <is>
          <t>RICE</t>
        </is>
      </c>
      <c r="H4178" s="12" t="inlineStr">
        <is>
          <t>RICE engine hall (8 engines)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367</v>
      </c>
      <c r="U4178" s="16" t="n">
        <v>95</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I-C-0083</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I-C-0084</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I-C-0085</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I-C-0086</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I-C-0087</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I-C-0088</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I-C-0089</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I-C-0090</t>
        </is>
      </c>
      <c r="B4186" s="12" t="inlineStr">
        <is>
          <t>I</t>
        </is>
      </c>
      <c r="C4186" s="12" t="inlineStr">
        <is>
          <t>Modular / portable power</t>
        </is>
      </c>
      <c r="D4186" s="12" t="inlineStr">
        <is>
          <t>Motor 1 of 6: control / local station</t>
        </is>
      </c>
      <c r="E4186" s="12" t="inlineStr"/>
      <c r="F4186" s="12" t="inlineStr">
        <is>
          <t>PCM: power control module</t>
        </is>
      </c>
      <c r="G4186" s="12" t="inlineStr">
        <is>
          <t>RICE-1</t>
        </is>
      </c>
      <c r="H4186" s="12" t="inlineStr">
        <is>
          <t>RICE engine-generator 1</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Duct bank</t>
        </is>
      </c>
      <c r="T4186" s="16" t="n">
        <v>550</v>
      </c>
      <c r="U4186" s="16" t="n">
        <v>137</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I-C-0091</t>
        </is>
      </c>
      <c r="B4187" s="12" t="inlineStr">
        <is>
          <t>I</t>
        </is>
      </c>
      <c r="C4187" s="12" t="inlineStr">
        <is>
          <t>Modular / portable power</t>
        </is>
      </c>
      <c r="D4187" s="12" t="inlineStr">
        <is>
          <t>Motor 2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I-C-0092</t>
        </is>
      </c>
      <c r="B4188" s="12" t="inlineStr">
        <is>
          <t>I</t>
        </is>
      </c>
      <c r="C4188" s="12" t="inlineStr">
        <is>
          <t>Modular / portable power</t>
        </is>
      </c>
      <c r="D4188" s="12" t="inlineStr">
        <is>
          <t>Motor 3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I-C-0093</t>
        </is>
      </c>
      <c r="B4189" s="12" t="inlineStr">
        <is>
          <t>I</t>
        </is>
      </c>
      <c r="C4189" s="12" t="inlineStr">
        <is>
          <t>Modular / portable power</t>
        </is>
      </c>
      <c r="D4189" s="12" t="inlineStr">
        <is>
          <t>Motor 4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I-C-0094</t>
        </is>
      </c>
      <c r="B4190" s="12" t="inlineStr">
        <is>
          <t>I</t>
        </is>
      </c>
      <c r="C4190" s="12" t="inlineStr">
        <is>
          <t>Modular / portable power</t>
        </is>
      </c>
      <c r="D4190" s="12" t="inlineStr">
        <is>
          <t>Motor 5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I-C-0095</t>
        </is>
      </c>
      <c r="B4191" s="12" t="inlineStr">
        <is>
          <t>I</t>
        </is>
      </c>
      <c r="C4191" s="12" t="inlineStr">
        <is>
          <t>Modular / portable power</t>
        </is>
      </c>
      <c r="D4191" s="12" t="inlineStr">
        <is>
          <t>Motor 6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I-C-0096</t>
        </is>
      </c>
      <c r="B4192" s="12" t="inlineStr">
        <is>
          <t>I</t>
        </is>
      </c>
      <c r="C4192" s="12" t="inlineStr">
        <is>
          <t>Modular / portable power</t>
        </is>
      </c>
      <c r="D4192" s="12" t="inlineStr">
        <is>
          <t>Motor 1 of 6: control / local station</t>
        </is>
      </c>
      <c r="E4192" s="12" t="inlineStr"/>
      <c r="F4192" s="12" t="inlineStr">
        <is>
          <t>PCM: power control module</t>
        </is>
      </c>
      <c r="G4192" s="12" t="inlineStr">
        <is>
          <t>RICE-2</t>
        </is>
      </c>
      <c r="H4192" s="12" t="inlineStr">
        <is>
          <t>RICE engine-generator 2</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109</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I-C-0097</t>
        </is>
      </c>
      <c r="B4193" s="12" t="inlineStr">
        <is>
          <t>I</t>
        </is>
      </c>
      <c r="C4193" s="12" t="inlineStr">
        <is>
          <t>Modular / portable power</t>
        </is>
      </c>
      <c r="D4193" s="12" t="inlineStr">
        <is>
          <t>Motor 2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I-C-0098</t>
        </is>
      </c>
      <c r="B4194" s="12" t="inlineStr">
        <is>
          <t>I</t>
        </is>
      </c>
      <c r="C4194" s="12" t="inlineStr">
        <is>
          <t>Modular / portable power</t>
        </is>
      </c>
      <c r="D4194" s="12" t="inlineStr">
        <is>
          <t>Motor 3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I-C-0099</t>
        </is>
      </c>
      <c r="B4195" s="12" t="inlineStr">
        <is>
          <t>I</t>
        </is>
      </c>
      <c r="C4195" s="12" t="inlineStr">
        <is>
          <t>Modular / portable power</t>
        </is>
      </c>
      <c r="D4195" s="12" t="inlineStr">
        <is>
          <t>Motor 4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I-C-0100</t>
        </is>
      </c>
      <c r="B4196" s="12" t="inlineStr">
        <is>
          <t>I</t>
        </is>
      </c>
      <c r="C4196" s="12" t="inlineStr">
        <is>
          <t>Modular / portable power</t>
        </is>
      </c>
      <c r="D4196" s="12" t="inlineStr">
        <is>
          <t>Motor 5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I-C-0101</t>
        </is>
      </c>
      <c r="B4197" s="12" t="inlineStr">
        <is>
          <t>I</t>
        </is>
      </c>
      <c r="C4197" s="12" t="inlineStr">
        <is>
          <t>Modular / portable power</t>
        </is>
      </c>
      <c r="D4197" s="12" t="inlineStr">
        <is>
          <t>Motor 6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I-C-0102</t>
        </is>
      </c>
      <c r="B4198" s="12" t="inlineStr">
        <is>
          <t>I</t>
        </is>
      </c>
      <c r="C4198" s="12" t="inlineStr">
        <is>
          <t>Modular / portable power</t>
        </is>
      </c>
      <c r="D4198" s="12" t="inlineStr">
        <is>
          <t>Motor 1 of 6: control / local station</t>
        </is>
      </c>
      <c r="E4198" s="12" t="inlineStr"/>
      <c r="F4198" s="12" t="inlineStr">
        <is>
          <t>PCM: power control module</t>
        </is>
      </c>
      <c r="G4198" s="12" t="inlineStr">
        <is>
          <t>RICE-3</t>
        </is>
      </c>
      <c r="H4198" s="12" t="inlineStr">
        <is>
          <t>RICE engine-generator 3</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81</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I-C-0103</t>
        </is>
      </c>
      <c r="B4199" s="12" t="inlineStr">
        <is>
          <t>I</t>
        </is>
      </c>
      <c r="C4199" s="12" t="inlineStr">
        <is>
          <t>Modular / portable power</t>
        </is>
      </c>
      <c r="D4199" s="12" t="inlineStr">
        <is>
          <t>Motor 2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I-C-0104</t>
        </is>
      </c>
      <c r="B4200" s="12" t="inlineStr">
        <is>
          <t>I</t>
        </is>
      </c>
      <c r="C4200" s="12" t="inlineStr">
        <is>
          <t>Modular / portable power</t>
        </is>
      </c>
      <c r="D4200" s="12" t="inlineStr">
        <is>
          <t>Motor 3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I-C-0105</t>
        </is>
      </c>
      <c r="B4201" s="12" t="inlineStr">
        <is>
          <t>I</t>
        </is>
      </c>
      <c r="C4201" s="12" t="inlineStr">
        <is>
          <t>Modular / portable power</t>
        </is>
      </c>
      <c r="D4201" s="12" t="inlineStr">
        <is>
          <t>Motor 4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I-C-0106</t>
        </is>
      </c>
      <c r="B4202" s="12" t="inlineStr">
        <is>
          <t>I</t>
        </is>
      </c>
      <c r="C4202" s="12" t="inlineStr">
        <is>
          <t>Modular / portable power</t>
        </is>
      </c>
      <c r="D4202" s="12" t="inlineStr">
        <is>
          <t>Motor 5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I-C-0107</t>
        </is>
      </c>
      <c r="B4203" s="12" t="inlineStr">
        <is>
          <t>I</t>
        </is>
      </c>
      <c r="C4203" s="12" t="inlineStr">
        <is>
          <t>Modular / portable power</t>
        </is>
      </c>
      <c r="D4203" s="12" t="inlineStr">
        <is>
          <t>Motor 6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I-C-0108</t>
        </is>
      </c>
      <c r="B4204" s="12" t="inlineStr">
        <is>
          <t>I</t>
        </is>
      </c>
      <c r="C4204" s="12" t="inlineStr">
        <is>
          <t>Modular / portable power</t>
        </is>
      </c>
      <c r="D4204" s="12" t="inlineStr">
        <is>
          <t>Motor 1 of 6: control / local station</t>
        </is>
      </c>
      <c r="E4204" s="12" t="inlineStr"/>
      <c r="F4204" s="12" t="inlineStr">
        <is>
          <t>PCM: power control module</t>
        </is>
      </c>
      <c r="G4204" s="12" t="inlineStr">
        <is>
          <t>RICE-4</t>
        </is>
      </c>
      <c r="H4204" s="12" t="inlineStr">
        <is>
          <t>RICE engine-generator 4</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53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I-C-0109</t>
        </is>
      </c>
      <c r="B4205" s="12" t="inlineStr">
        <is>
          <t>I</t>
        </is>
      </c>
      <c r="C4205" s="12" t="inlineStr">
        <is>
          <t>Modular / portable power</t>
        </is>
      </c>
      <c r="D4205" s="12" t="inlineStr">
        <is>
          <t>Motor 2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I-C-0110</t>
        </is>
      </c>
      <c r="B4206" s="12" t="inlineStr">
        <is>
          <t>I</t>
        </is>
      </c>
      <c r="C4206" s="12" t="inlineStr">
        <is>
          <t>Modular / portable power</t>
        </is>
      </c>
      <c r="D4206" s="12" t="inlineStr">
        <is>
          <t>Motor 3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I-C-0111</t>
        </is>
      </c>
      <c r="B4207" s="12" t="inlineStr">
        <is>
          <t>I</t>
        </is>
      </c>
      <c r="C4207" s="12" t="inlineStr">
        <is>
          <t>Modular / portable power</t>
        </is>
      </c>
      <c r="D4207" s="12" t="inlineStr">
        <is>
          <t>Motor 4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I-C-0112</t>
        </is>
      </c>
      <c r="B4208" s="12" t="inlineStr">
        <is>
          <t>I</t>
        </is>
      </c>
      <c r="C4208" s="12" t="inlineStr">
        <is>
          <t>Modular / portable power</t>
        </is>
      </c>
      <c r="D4208" s="12" t="inlineStr">
        <is>
          <t>Motor 5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I-C-0113</t>
        </is>
      </c>
      <c r="B4209" s="12" t="inlineStr">
        <is>
          <t>I</t>
        </is>
      </c>
      <c r="C4209" s="12" t="inlineStr">
        <is>
          <t>Modular / portable power</t>
        </is>
      </c>
      <c r="D4209" s="12" t="inlineStr">
        <is>
          <t>Motor 6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I-C-0114</t>
        </is>
      </c>
      <c r="B4210" s="12" t="inlineStr">
        <is>
          <t>I</t>
        </is>
      </c>
      <c r="C4210" s="12" t="inlineStr">
        <is>
          <t>Modular / portable power</t>
        </is>
      </c>
      <c r="D4210" s="12" t="inlineStr">
        <is>
          <t>Motor 1 of 6: control / local station</t>
        </is>
      </c>
      <c r="E4210" s="12" t="inlineStr"/>
      <c r="F4210" s="12" t="inlineStr">
        <is>
          <t>PCM: power control module</t>
        </is>
      </c>
      <c r="G4210" s="12" t="inlineStr">
        <is>
          <t>RICE-5</t>
        </is>
      </c>
      <c r="H4210" s="12" t="inlineStr">
        <is>
          <t>RICE engine-generator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367</v>
      </c>
      <c r="U4210" s="16" t="n">
        <v>208</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I-C-0115</t>
        </is>
      </c>
      <c r="B4211" s="12" t="inlineStr">
        <is>
          <t>I</t>
        </is>
      </c>
      <c r="C4211" s="12" t="inlineStr">
        <is>
          <t>Modular / portable power</t>
        </is>
      </c>
      <c r="D4211" s="12" t="inlineStr">
        <is>
          <t>Motor 2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I-C-0116</t>
        </is>
      </c>
      <c r="B4212" s="12" t="inlineStr">
        <is>
          <t>I</t>
        </is>
      </c>
      <c r="C4212" s="12" t="inlineStr">
        <is>
          <t>Modular / portable power</t>
        </is>
      </c>
      <c r="D4212" s="12" t="inlineStr">
        <is>
          <t>Motor 3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I-C-0117</t>
        </is>
      </c>
      <c r="B4213" s="12" t="inlineStr">
        <is>
          <t>I</t>
        </is>
      </c>
      <c r="C4213" s="12" t="inlineStr">
        <is>
          <t>Modular / portable power</t>
        </is>
      </c>
      <c r="D4213" s="12" t="inlineStr">
        <is>
          <t>Motor 4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I-C-0118</t>
        </is>
      </c>
      <c r="B4214" s="12" t="inlineStr">
        <is>
          <t>I</t>
        </is>
      </c>
      <c r="C4214" s="12" t="inlineStr">
        <is>
          <t>Modular / portable power</t>
        </is>
      </c>
      <c r="D4214" s="12" t="inlineStr">
        <is>
          <t>Motor 5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I-C-0119</t>
        </is>
      </c>
      <c r="B4215" s="12" t="inlineStr">
        <is>
          <t>I</t>
        </is>
      </c>
      <c r="C4215" s="12" t="inlineStr">
        <is>
          <t>Modular / portable power</t>
        </is>
      </c>
      <c r="D4215" s="12" t="inlineStr">
        <is>
          <t>Motor 6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I-C-0120</t>
        </is>
      </c>
      <c r="B4216" s="12" t="inlineStr">
        <is>
          <t>I</t>
        </is>
      </c>
      <c r="C4216" s="12" t="inlineStr">
        <is>
          <t>Modular / portable power</t>
        </is>
      </c>
      <c r="D4216" s="12" t="inlineStr">
        <is>
          <t>Motor 1 of 6: control / local station</t>
        </is>
      </c>
      <c r="E4216" s="12" t="inlineStr"/>
      <c r="F4216" s="12" t="inlineStr">
        <is>
          <t>PCM: power control module</t>
        </is>
      </c>
      <c r="G4216" s="12" t="inlineStr">
        <is>
          <t>RICE-6</t>
        </is>
      </c>
      <c r="H4216" s="12" t="inlineStr">
        <is>
          <t>RICE engine-generator 6</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180</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I-C-0121</t>
        </is>
      </c>
      <c r="B4217" s="12" t="inlineStr">
        <is>
          <t>I</t>
        </is>
      </c>
      <c r="C4217" s="12" t="inlineStr">
        <is>
          <t>Modular / portable power</t>
        </is>
      </c>
      <c r="D4217" s="12" t="inlineStr">
        <is>
          <t>Motor 2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I-C-0122</t>
        </is>
      </c>
      <c r="B4218" s="12" t="inlineStr">
        <is>
          <t>I</t>
        </is>
      </c>
      <c r="C4218" s="12" t="inlineStr">
        <is>
          <t>Modular / portable power</t>
        </is>
      </c>
      <c r="D4218" s="12" t="inlineStr">
        <is>
          <t>Motor 3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I-C-0123</t>
        </is>
      </c>
      <c r="B4219" s="12" t="inlineStr">
        <is>
          <t>I</t>
        </is>
      </c>
      <c r="C4219" s="12" t="inlineStr">
        <is>
          <t>Modular / portable power</t>
        </is>
      </c>
      <c r="D4219" s="12" t="inlineStr">
        <is>
          <t>Motor 4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I-C-0124</t>
        </is>
      </c>
      <c r="B4220" s="12" t="inlineStr">
        <is>
          <t>I</t>
        </is>
      </c>
      <c r="C4220" s="12" t="inlineStr">
        <is>
          <t>Modular / portable power</t>
        </is>
      </c>
      <c r="D4220" s="12" t="inlineStr">
        <is>
          <t>Motor 5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I-C-0125</t>
        </is>
      </c>
      <c r="B4221" s="12" t="inlineStr">
        <is>
          <t>I</t>
        </is>
      </c>
      <c r="C4221" s="12" t="inlineStr">
        <is>
          <t>Modular / portable power</t>
        </is>
      </c>
      <c r="D4221" s="12" t="inlineStr">
        <is>
          <t>Motor 6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I-C-0126</t>
        </is>
      </c>
      <c r="B4222" s="12" t="inlineStr">
        <is>
          <t>I</t>
        </is>
      </c>
      <c r="C4222" s="12" t="inlineStr">
        <is>
          <t>Modular / portable power</t>
        </is>
      </c>
      <c r="D4222" s="12" t="inlineStr">
        <is>
          <t>Motor 1 of 6: control / local station</t>
        </is>
      </c>
      <c r="E4222" s="12" t="inlineStr"/>
      <c r="F4222" s="12" t="inlineStr">
        <is>
          <t>PCM: power control module</t>
        </is>
      </c>
      <c r="G4222" s="12" t="inlineStr">
        <is>
          <t>RICE-7</t>
        </is>
      </c>
      <c r="H4222" s="12" t="inlineStr">
        <is>
          <t>RICE engine-generator 7</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Tray</t>
        </is>
      </c>
      <c r="T4222" s="16" t="n">
        <v>0</v>
      </c>
      <c r="U4222" s="16" t="n">
        <v>189</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I-C-0127</t>
        </is>
      </c>
      <c r="B4223" s="12" t="inlineStr">
        <is>
          <t>I</t>
        </is>
      </c>
      <c r="C4223" s="12" t="inlineStr">
        <is>
          <t>Modular / portable power</t>
        </is>
      </c>
      <c r="D4223" s="12" t="inlineStr">
        <is>
          <t>Motor 2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I-C-0128</t>
        </is>
      </c>
      <c r="B4224" s="12" t="inlineStr">
        <is>
          <t>I</t>
        </is>
      </c>
      <c r="C4224" s="12" t="inlineStr">
        <is>
          <t>Modular / portable power</t>
        </is>
      </c>
      <c r="D4224" s="12" t="inlineStr">
        <is>
          <t>Motor 3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I-C-0129</t>
        </is>
      </c>
      <c r="B4225" s="12" t="inlineStr">
        <is>
          <t>I</t>
        </is>
      </c>
      <c r="C4225" s="12" t="inlineStr">
        <is>
          <t>Modular / portable power</t>
        </is>
      </c>
      <c r="D4225" s="12" t="inlineStr">
        <is>
          <t>Motor 4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I-C-0130</t>
        </is>
      </c>
      <c r="B4226" s="12" t="inlineStr">
        <is>
          <t>I</t>
        </is>
      </c>
      <c r="C4226" s="12" t="inlineStr">
        <is>
          <t>Modular / portable power</t>
        </is>
      </c>
      <c r="D4226" s="12" t="inlineStr">
        <is>
          <t>Motor 5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I-C-0131</t>
        </is>
      </c>
      <c r="B4227" s="12" t="inlineStr">
        <is>
          <t>I</t>
        </is>
      </c>
      <c r="C4227" s="12" t="inlineStr">
        <is>
          <t>Modular / portable power</t>
        </is>
      </c>
      <c r="D4227" s="12" t="inlineStr">
        <is>
          <t>Motor 6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I-C-0132</t>
        </is>
      </c>
      <c r="B4228" s="12" t="inlineStr">
        <is>
          <t>I</t>
        </is>
      </c>
      <c r="C4228" s="12" t="inlineStr">
        <is>
          <t>Modular / portable power</t>
        </is>
      </c>
      <c r="D4228" s="12" t="inlineStr">
        <is>
          <t>Motor 1 of 6: control / local station</t>
        </is>
      </c>
      <c r="E4228" s="12" t="inlineStr"/>
      <c r="F4228" s="12" t="inlineStr">
        <is>
          <t>PCM: power control module</t>
        </is>
      </c>
      <c r="G4228" s="12" t="inlineStr">
        <is>
          <t>RICE-8</t>
        </is>
      </c>
      <c r="H4228" s="12" t="inlineStr">
        <is>
          <t>RICE engine-generator 8</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161</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I-C-0133</t>
        </is>
      </c>
      <c r="B4229" s="12" t="inlineStr">
        <is>
          <t>I</t>
        </is>
      </c>
      <c r="C4229" s="12" t="inlineStr">
        <is>
          <t>Modular / portable power</t>
        </is>
      </c>
      <c r="D4229" s="12" t="inlineStr">
        <is>
          <t>Motor 2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I-C-0134</t>
        </is>
      </c>
      <c r="B4230" s="12" t="inlineStr">
        <is>
          <t>I</t>
        </is>
      </c>
      <c r="C4230" s="12" t="inlineStr">
        <is>
          <t>Modular / portable power</t>
        </is>
      </c>
      <c r="D4230" s="12" t="inlineStr">
        <is>
          <t>Motor 3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I-C-0135</t>
        </is>
      </c>
      <c r="B4231" s="12" t="inlineStr">
        <is>
          <t>I</t>
        </is>
      </c>
      <c r="C4231" s="12" t="inlineStr">
        <is>
          <t>Modular / portable power</t>
        </is>
      </c>
      <c r="D4231" s="12" t="inlineStr">
        <is>
          <t>Motor 4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I-C-0136</t>
        </is>
      </c>
      <c r="B4232" s="12" t="inlineStr">
        <is>
          <t>I</t>
        </is>
      </c>
      <c r="C4232" s="12" t="inlineStr">
        <is>
          <t>Modular / portable power</t>
        </is>
      </c>
      <c r="D4232" s="12" t="inlineStr">
        <is>
          <t>Motor 5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I-C-0137</t>
        </is>
      </c>
      <c r="B4233" s="12" t="inlineStr">
        <is>
          <t>I</t>
        </is>
      </c>
      <c r="C4233" s="12" t="inlineStr">
        <is>
          <t>Modular / portable power</t>
        </is>
      </c>
      <c r="D4233" s="12" t="inlineStr">
        <is>
          <t>Motor 6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I-C-0138</t>
        </is>
      </c>
      <c r="B4234" s="12" t="inlineStr">
        <is>
          <t>I</t>
        </is>
      </c>
      <c r="C4234" s="12" t="inlineStr">
        <is>
          <t>Modular / portable power</t>
        </is>
      </c>
      <c r="D4234" s="12" t="inlineStr">
        <is>
          <t>Control</t>
        </is>
      </c>
      <c r="E4234" s="12" t="inlineStr"/>
      <c r="F4234" s="12" t="inlineStr">
        <is>
          <t>PCM: power control module</t>
        </is>
      </c>
      <c r="G4234" s="12" t="inlineStr"/>
      <c r="H4234" s="12" t="inlineStr">
        <is>
          <t>Reagent storage</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32</v>
      </c>
      <c r="U4234" s="16" t="n">
        <v>32</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I-C-0139</t>
        </is>
      </c>
      <c r="B4235" s="12" t="inlineStr">
        <is>
          <t>I</t>
        </is>
      </c>
      <c r="C4235" s="12" t="inlineStr">
        <is>
          <t>Modular / portable power</t>
        </is>
      </c>
      <c r="D4235" s="12" t="inlineStr">
        <is>
          <t>Motor 1 of 2: control / local station</t>
        </is>
      </c>
      <c r="E4235" s="12" t="inlineStr"/>
      <c r="F4235" s="12" t="inlineStr">
        <is>
          <t>PCM: power control module</t>
        </is>
      </c>
      <c r="G4235" s="12" t="inlineStr"/>
      <c r="H4235" s="12" t="inlineStr">
        <is>
          <t>SC-1 SCR / CO catalyst</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6" t="n">
        <v>40</v>
      </c>
      <c r="U4235" s="16" t="n">
        <v>142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I-C-0140</t>
        </is>
      </c>
      <c r="B4236" s="12" t="inlineStr">
        <is>
          <t>I</t>
        </is>
      </c>
      <c r="C4236" s="12" t="inlineStr">
        <is>
          <t>Modular / portable power</t>
        </is>
      </c>
      <c r="D4236" s="12" t="inlineStr">
        <is>
          <t>Motor 2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I-C-0141</t>
        </is>
      </c>
      <c r="B4237" s="12" t="inlineStr">
        <is>
          <t>I</t>
        </is>
      </c>
      <c r="C4237" s="12" t="inlineStr">
        <is>
          <t>Modular / portable power</t>
        </is>
      </c>
      <c r="D4237" s="12" t="inlineStr">
        <is>
          <t>Motor 1 of 4: control / local station</t>
        </is>
      </c>
      <c r="E4237" s="12" t="inlineStr"/>
      <c r="F4237" s="12" t="inlineStr">
        <is>
          <t>PCM: power control module</t>
        </is>
      </c>
      <c r="G4237" s="12" t="inlineStr"/>
      <c r="H4237" s="12" t="inlineStr">
        <is>
          <t>SC-1 lube-oil fin-fan cooler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82</v>
      </c>
      <c r="U4237" s="16" t="n">
        <v>82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I-C-0142</t>
        </is>
      </c>
      <c r="B4238" s="12" t="inlineStr">
        <is>
          <t>I</t>
        </is>
      </c>
      <c r="C4238" s="12" t="inlineStr">
        <is>
          <t>Modular / portable power</t>
        </is>
      </c>
      <c r="D4238" s="12" t="inlineStr">
        <is>
          <t>Motor 2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I-C-0143</t>
        </is>
      </c>
      <c r="B4239" s="12" t="inlineStr">
        <is>
          <t>I</t>
        </is>
      </c>
      <c r="C4239" s="12" t="inlineStr">
        <is>
          <t>Modular / portable power</t>
        </is>
      </c>
      <c r="D4239" s="12" t="inlineStr">
        <is>
          <t>Motor 3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I-C-0144</t>
        </is>
      </c>
      <c r="B4240" s="12" t="inlineStr">
        <is>
          <t>I</t>
        </is>
      </c>
      <c r="C4240" s="12" t="inlineStr">
        <is>
          <t>Modular / portable power</t>
        </is>
      </c>
      <c r="D4240" s="12" t="inlineStr">
        <is>
          <t>Motor 4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I-C-0145</t>
        </is>
      </c>
      <c r="B4241" s="12" t="inlineStr">
        <is>
          <t>I</t>
        </is>
      </c>
      <c r="C4241" s="12" t="inlineStr">
        <is>
          <t>Modular / portable power</t>
        </is>
      </c>
      <c r="D4241" s="12" t="inlineStr">
        <is>
          <t>Motor 1 of 10: control / local station</t>
        </is>
      </c>
      <c r="E4241" s="12" t="inlineStr"/>
      <c r="F4241" s="12" t="inlineStr">
        <is>
          <t>PCM: power control module</t>
        </is>
      </c>
      <c r="G4241" s="12" t="inlineStr">
        <is>
          <t>SC-1</t>
        </is>
      </c>
      <c r="H4241" s="12" t="inlineStr">
        <is>
          <t>SC-1: aeroderivative simple-cycle unit (LM6000 class)</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40</v>
      </c>
      <c r="U4241" s="16" t="n">
        <v>52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I-C-0146</t>
        </is>
      </c>
      <c r="B4242" s="12" t="inlineStr">
        <is>
          <t>I</t>
        </is>
      </c>
      <c r="C4242" s="12" t="inlineStr">
        <is>
          <t>Modular / portable power</t>
        </is>
      </c>
      <c r="D4242" s="12" t="inlineStr">
        <is>
          <t>Motor 2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I-C-0147</t>
        </is>
      </c>
      <c r="B4243" s="12" t="inlineStr">
        <is>
          <t>I</t>
        </is>
      </c>
      <c r="C4243" s="12" t="inlineStr">
        <is>
          <t>Modular / portable power</t>
        </is>
      </c>
      <c r="D4243" s="12" t="inlineStr">
        <is>
          <t>Motor 3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I-C-0148</t>
        </is>
      </c>
      <c r="B4244" s="12" t="inlineStr">
        <is>
          <t>I</t>
        </is>
      </c>
      <c r="C4244" s="12" t="inlineStr">
        <is>
          <t>Modular / portable power</t>
        </is>
      </c>
      <c r="D4244" s="12" t="inlineStr">
        <is>
          <t>Motor 4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I-C-0149</t>
        </is>
      </c>
      <c r="B4245" s="12" t="inlineStr">
        <is>
          <t>I</t>
        </is>
      </c>
      <c r="C4245" s="12" t="inlineStr">
        <is>
          <t>Modular / portable power</t>
        </is>
      </c>
      <c r="D4245" s="12" t="inlineStr">
        <is>
          <t>Motor 5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I-C-0150</t>
        </is>
      </c>
      <c r="B4246" s="12" t="inlineStr">
        <is>
          <t>I</t>
        </is>
      </c>
      <c r="C4246" s="12" t="inlineStr">
        <is>
          <t>Modular / portable power</t>
        </is>
      </c>
      <c r="D4246" s="12" t="inlineStr">
        <is>
          <t>Motor 6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I-C-0151</t>
        </is>
      </c>
      <c r="B4247" s="12" t="inlineStr">
        <is>
          <t>I</t>
        </is>
      </c>
      <c r="C4247" s="12" t="inlineStr">
        <is>
          <t>Modular / portable power</t>
        </is>
      </c>
      <c r="D4247" s="12" t="inlineStr">
        <is>
          <t>Motor 7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I-C-0152</t>
        </is>
      </c>
      <c r="B4248" s="12" t="inlineStr">
        <is>
          <t>I</t>
        </is>
      </c>
      <c r="C4248" s="12" t="inlineStr">
        <is>
          <t>Modular / portable power</t>
        </is>
      </c>
      <c r="D4248" s="12" t="inlineStr">
        <is>
          <t>Motor 8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I-C-0153</t>
        </is>
      </c>
      <c r="B4249" s="12" t="inlineStr">
        <is>
          <t>I</t>
        </is>
      </c>
      <c r="C4249" s="12" t="inlineStr">
        <is>
          <t>Modular / portable power</t>
        </is>
      </c>
      <c r="D4249" s="12" t="inlineStr">
        <is>
          <t>Motor 9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I-C-0154</t>
        </is>
      </c>
      <c r="B4250" s="12" t="inlineStr">
        <is>
          <t>I</t>
        </is>
      </c>
      <c r="C4250" s="12" t="inlineStr">
        <is>
          <t>Modular / portable power</t>
        </is>
      </c>
      <c r="D4250" s="12" t="inlineStr">
        <is>
          <t>Motor 10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I-C-0155</t>
        </is>
      </c>
      <c r="B4251" s="12" t="inlineStr">
        <is>
          <t>I</t>
        </is>
      </c>
      <c r="C4251" s="12" t="inlineStr">
        <is>
          <t>Modular / portable power</t>
        </is>
      </c>
      <c r="D4251" s="12" t="inlineStr">
        <is>
          <t>Motor 1 of 2: control / local station</t>
        </is>
      </c>
      <c r="E4251" s="12" t="inlineStr"/>
      <c r="F4251" s="12" t="inlineStr">
        <is>
          <t>MOD-LV 480 V board + 480 V : 13.8 kV step-up</t>
        </is>
      </c>
      <c r="G4251" s="12" t="inlineStr"/>
      <c r="H4251" s="12" t="inlineStr">
        <is>
          <t>SC-2 SCR / CO catalyst</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HV duct bank</t>
        </is>
      </c>
      <c r="T4251" s="16" t="n">
        <v>4341</v>
      </c>
      <c r="U4251" s="16" t="n">
        <v>60</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I-C-0156</t>
        </is>
      </c>
      <c r="B4252" s="12" t="inlineStr">
        <is>
          <t>I</t>
        </is>
      </c>
      <c r="C4252" s="12" t="inlineStr">
        <is>
          <t>Modular / portable power</t>
        </is>
      </c>
      <c r="D4252" s="12" t="inlineStr">
        <is>
          <t>Motor 2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4341</v>
      </c>
      <c r="U4252" s="16" t="n">
        <v>60</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I-C-0157</t>
        </is>
      </c>
      <c r="B4253" s="12" t="inlineStr">
        <is>
          <t>I</t>
        </is>
      </c>
      <c r="C4253" s="12" t="inlineStr">
        <is>
          <t>Modular / portable power</t>
        </is>
      </c>
      <c r="D4253" s="12" t="inlineStr">
        <is>
          <t>Motor 1 of 4: control / local station</t>
        </is>
      </c>
      <c r="E4253" s="12" t="inlineStr"/>
      <c r="F4253" s="12" t="inlineStr">
        <is>
          <t>MOD-LV 480 V board + 480 V : 13.8 kV step-up</t>
        </is>
      </c>
      <c r="G4253" s="12" t="inlineStr"/>
      <c r="H4253" s="12" t="inlineStr">
        <is>
          <t>SC-2 lube-oil fin-fan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4329</v>
      </c>
      <c r="U4253" s="16" t="n">
        <v>95</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I-C-0158</t>
        </is>
      </c>
      <c r="B4254" s="12" t="inlineStr">
        <is>
          <t>I</t>
        </is>
      </c>
      <c r="C4254" s="12" t="inlineStr">
        <is>
          <t>Modular / portable power</t>
        </is>
      </c>
      <c r="D4254" s="12" t="inlineStr">
        <is>
          <t>Motor 2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4329</v>
      </c>
      <c r="U4254" s="16" t="n">
        <v>95</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I-C-0159</t>
        </is>
      </c>
      <c r="B4255" s="12" t="inlineStr">
        <is>
          <t>I</t>
        </is>
      </c>
      <c r="C4255" s="12" t="inlineStr">
        <is>
          <t>Modular / portable power</t>
        </is>
      </c>
      <c r="D4255" s="12" t="inlineStr">
        <is>
          <t>Motor 3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4329</v>
      </c>
      <c r="U4255" s="16" t="n">
        <v>95</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I-C-0160</t>
        </is>
      </c>
      <c r="B4256" s="12" t="inlineStr">
        <is>
          <t>I</t>
        </is>
      </c>
      <c r="C4256" s="12" t="inlineStr">
        <is>
          <t>Modular / portable power</t>
        </is>
      </c>
      <c r="D4256" s="12" t="inlineStr">
        <is>
          <t>Motor 4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4329</v>
      </c>
      <c r="U4256" s="16" t="n">
        <v>95</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I-C-0161</t>
        </is>
      </c>
      <c r="B4257" s="12" t="inlineStr">
        <is>
          <t>I</t>
        </is>
      </c>
      <c r="C4257" s="12" t="inlineStr">
        <is>
          <t>Modular / portable power</t>
        </is>
      </c>
      <c r="D4257" s="12" t="inlineStr">
        <is>
          <t>Motor 1 of 10: control / local station</t>
        </is>
      </c>
      <c r="E4257" s="12" t="inlineStr"/>
      <c r="F4257" s="12" t="inlineStr">
        <is>
          <t>MOD-LV 480 V board + 480 V : 13.8 kV step-up</t>
        </is>
      </c>
      <c r="G4257" s="12" t="inlineStr">
        <is>
          <t>SC-2</t>
        </is>
      </c>
      <c r="H4257" s="12" t="inlineStr">
        <is>
          <t>SC-2: aeroderivative simple-cycle unit (LM6000 class)</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4441</v>
      </c>
      <c r="U4257" s="16" t="n">
        <v>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I-C-0162</t>
        </is>
      </c>
      <c r="B4258" s="12" t="inlineStr">
        <is>
          <t>I</t>
        </is>
      </c>
      <c r="C4258" s="12" t="inlineStr">
        <is>
          <t>Modular / portable power</t>
        </is>
      </c>
      <c r="D4258" s="12" t="inlineStr">
        <is>
          <t>Motor 2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4441</v>
      </c>
      <c r="U4258" s="16" t="n">
        <v>40</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I-C-0163</t>
        </is>
      </c>
      <c r="B4259" s="12" t="inlineStr">
        <is>
          <t>I</t>
        </is>
      </c>
      <c r="C4259" s="12" t="inlineStr">
        <is>
          <t>Modular / portable power</t>
        </is>
      </c>
      <c r="D4259" s="12" t="inlineStr">
        <is>
          <t>Motor 3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4441</v>
      </c>
      <c r="U4259" s="16" t="n">
        <v>40</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I-C-0164</t>
        </is>
      </c>
      <c r="B4260" s="12" t="inlineStr">
        <is>
          <t>I</t>
        </is>
      </c>
      <c r="C4260" s="12" t="inlineStr">
        <is>
          <t>Modular / portable power</t>
        </is>
      </c>
      <c r="D4260" s="12" t="inlineStr">
        <is>
          <t>Motor 4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4441</v>
      </c>
      <c r="U4260" s="16" t="n">
        <v>40</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I-C-0165</t>
        </is>
      </c>
      <c r="B4261" s="12" t="inlineStr">
        <is>
          <t>I</t>
        </is>
      </c>
      <c r="C4261" s="12" t="inlineStr">
        <is>
          <t>Modular / portable power</t>
        </is>
      </c>
      <c r="D4261" s="12" t="inlineStr">
        <is>
          <t>Motor 5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4441</v>
      </c>
      <c r="U4261" s="16" t="n">
        <v>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I-C-0166</t>
        </is>
      </c>
      <c r="B4262" s="12" t="inlineStr">
        <is>
          <t>I</t>
        </is>
      </c>
      <c r="C4262" s="12" t="inlineStr">
        <is>
          <t>Modular / portable power</t>
        </is>
      </c>
      <c r="D4262" s="12" t="inlineStr">
        <is>
          <t>Motor 6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4441</v>
      </c>
      <c r="U4262" s="16" t="n">
        <v>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I-C-0167</t>
        </is>
      </c>
      <c r="B4263" s="12" t="inlineStr">
        <is>
          <t>I</t>
        </is>
      </c>
      <c r="C4263" s="12" t="inlineStr">
        <is>
          <t>Modular / portable power</t>
        </is>
      </c>
      <c r="D4263" s="12" t="inlineStr">
        <is>
          <t>Motor 7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4441</v>
      </c>
      <c r="U4263" s="16" t="n">
        <v>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I-C-0168</t>
        </is>
      </c>
      <c r="B4264" s="12" t="inlineStr">
        <is>
          <t>I</t>
        </is>
      </c>
      <c r="C4264" s="12" t="inlineStr">
        <is>
          <t>Modular / portable power</t>
        </is>
      </c>
      <c r="D4264" s="12" t="inlineStr">
        <is>
          <t>Motor 8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4441</v>
      </c>
      <c r="U4264" s="16" t="n">
        <v>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I-C-0169</t>
        </is>
      </c>
      <c r="B4265" s="12" t="inlineStr">
        <is>
          <t>I</t>
        </is>
      </c>
      <c r="C4265" s="12" t="inlineStr">
        <is>
          <t>Modular / portable power</t>
        </is>
      </c>
      <c r="D4265" s="12" t="inlineStr">
        <is>
          <t>Motor 9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4441</v>
      </c>
      <c r="U4265" s="16" t="n">
        <v>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I-C-0170</t>
        </is>
      </c>
      <c r="B4266" s="12" t="inlineStr">
        <is>
          <t>I</t>
        </is>
      </c>
      <c r="C4266" s="12" t="inlineStr">
        <is>
          <t>Modular / portable power</t>
        </is>
      </c>
      <c r="D4266" s="12" t="inlineStr">
        <is>
          <t>Motor 10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4441</v>
      </c>
      <c r="U4266" s="16" t="n">
        <v>40</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I-C-0171</t>
        </is>
      </c>
      <c r="B4267" s="12" t="inlineStr">
        <is>
          <t>I</t>
        </is>
      </c>
      <c r="C4267" s="12" t="inlineStr">
        <is>
          <t>Modular / portable power</t>
        </is>
      </c>
      <c r="D4267" s="12" t="inlineStr">
        <is>
          <t>Motor 1 of 6: control / local station</t>
        </is>
      </c>
      <c r="E4267" s="12" t="inlineStr"/>
      <c r="F4267" s="12" t="inlineStr">
        <is>
          <t>MOD-LV 480 V board + 480 V : 13.8 kV step-up</t>
        </is>
      </c>
      <c r="G4267" s="12" t="inlineStr"/>
      <c r="H4267" s="12" t="inlineStr">
        <is>
          <t>T-MOD 230 kV take-off gantry with arresters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6" t="n">
        <v>386</v>
      </c>
      <c r="U4267" s="16" t="n">
        <v>130</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I-C-0172</t>
        </is>
      </c>
      <c r="B4268" s="12" t="inlineStr">
        <is>
          <t>I</t>
        </is>
      </c>
      <c r="C4268" s="12" t="inlineStr">
        <is>
          <t>Modular / portable power</t>
        </is>
      </c>
      <c r="D4268" s="12" t="inlineStr">
        <is>
          <t>Motor 2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386</v>
      </c>
      <c r="U4268" s="16" t="n">
        <v>130</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I-C-0173</t>
        </is>
      </c>
      <c r="B4269" s="12" t="inlineStr">
        <is>
          <t>I</t>
        </is>
      </c>
      <c r="C4269" s="12" t="inlineStr">
        <is>
          <t>Modular / portable power</t>
        </is>
      </c>
      <c r="D4269" s="12" t="inlineStr">
        <is>
          <t>Motor 3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386</v>
      </c>
      <c r="U4269" s="16" t="n">
        <v>130</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I-C-0174</t>
        </is>
      </c>
      <c r="B4270" s="12" t="inlineStr">
        <is>
          <t>I</t>
        </is>
      </c>
      <c r="C4270" s="12" t="inlineStr">
        <is>
          <t>Modular / portable power</t>
        </is>
      </c>
      <c r="D4270" s="12" t="inlineStr">
        <is>
          <t>Motor 4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386</v>
      </c>
      <c r="U4270" s="16" t="n">
        <v>130</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I-C-0175</t>
        </is>
      </c>
      <c r="B4271" s="12" t="inlineStr">
        <is>
          <t>I</t>
        </is>
      </c>
      <c r="C4271" s="12" t="inlineStr">
        <is>
          <t>Modular / portable power</t>
        </is>
      </c>
      <c r="D4271" s="12" t="inlineStr">
        <is>
          <t>Motor 5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386</v>
      </c>
      <c r="U4271" s="16" t="n">
        <v>130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I-C-0176</t>
        </is>
      </c>
      <c r="B4272" s="12" t="inlineStr">
        <is>
          <t>I</t>
        </is>
      </c>
      <c r="C4272" s="12" t="inlineStr">
        <is>
          <t>Modular / portable power</t>
        </is>
      </c>
      <c r="D4272" s="12" t="inlineStr">
        <is>
          <t>Motor 6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386</v>
      </c>
      <c r="U4272" s="16" t="n">
        <v>130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I-C-0177</t>
        </is>
      </c>
      <c r="B4273" s="12" t="inlineStr">
        <is>
          <t>I</t>
        </is>
      </c>
      <c r="C4273" s="12" t="inlineStr">
        <is>
          <t>Modular / portable power</t>
        </is>
      </c>
      <c r="D4273" s="12" t="inlineStr">
        <is>
          <t>Motor 1 of 6: control / local station</t>
        </is>
      </c>
      <c r="E4273" s="12" t="inlineStr"/>
      <c r="F4273" s="12" t="inlineStr">
        <is>
          <t>MOD-LV 480 V board + 480 V : 13.8 kV step-up</t>
        </is>
      </c>
      <c r="G4273" s="12" t="inlineStr"/>
      <c r="H4273" s="12" t="inlineStr">
        <is>
          <t>T-MOD-1 / T-MOD-2 firewall</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378</v>
      </c>
      <c r="U4273" s="16" t="n">
        <v>132</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I-C-0178</t>
        </is>
      </c>
      <c r="B4274" s="12" t="inlineStr">
        <is>
          <t>I</t>
        </is>
      </c>
      <c r="C4274" s="12" t="inlineStr">
        <is>
          <t>Modular / portable power</t>
        </is>
      </c>
      <c r="D4274" s="12" t="inlineStr">
        <is>
          <t>Motor 2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378</v>
      </c>
      <c r="U4274" s="16" t="n">
        <v>132</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I-C-0179</t>
        </is>
      </c>
      <c r="B4275" s="12" t="inlineStr">
        <is>
          <t>I</t>
        </is>
      </c>
      <c r="C4275" s="12" t="inlineStr">
        <is>
          <t>Modular / portable power</t>
        </is>
      </c>
      <c r="D4275" s="12" t="inlineStr">
        <is>
          <t>Motor 3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378</v>
      </c>
      <c r="U4275" s="16" t="n">
        <v>132</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I-C-0180</t>
        </is>
      </c>
      <c r="B4276" s="12" t="inlineStr">
        <is>
          <t>I</t>
        </is>
      </c>
      <c r="C4276" s="12" t="inlineStr">
        <is>
          <t>Modular / portable power</t>
        </is>
      </c>
      <c r="D4276" s="12" t="inlineStr">
        <is>
          <t>Motor 4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378</v>
      </c>
      <c r="U4276" s="16" t="n">
        <v>132</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I-C-0181</t>
        </is>
      </c>
      <c r="B4277" s="12" t="inlineStr">
        <is>
          <t>I</t>
        </is>
      </c>
      <c r="C4277" s="12" t="inlineStr">
        <is>
          <t>Modular / portable power</t>
        </is>
      </c>
      <c r="D4277" s="12" t="inlineStr">
        <is>
          <t>Motor 5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378</v>
      </c>
      <c r="U4277" s="16" t="n">
        <v>132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I-C-0182</t>
        </is>
      </c>
      <c r="B4278" s="12" t="inlineStr">
        <is>
          <t>I</t>
        </is>
      </c>
      <c r="C4278" s="12" t="inlineStr">
        <is>
          <t>Modular / portable power</t>
        </is>
      </c>
      <c r="D4278" s="12" t="inlineStr">
        <is>
          <t>Motor 6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378</v>
      </c>
      <c r="U4278" s="16" t="n">
        <v>132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I-C-0183</t>
        </is>
      </c>
      <c r="B4279" s="12" t="inlineStr">
        <is>
          <t>I</t>
        </is>
      </c>
      <c r="C4279" s="12" t="inlineStr">
        <is>
          <t>Modular / portable power</t>
        </is>
      </c>
      <c r="D4279" s="12" t="inlineStr">
        <is>
          <t>Motor 1 of 6: control / local station</t>
        </is>
      </c>
      <c r="E4279" s="12" t="inlineStr"/>
      <c r="F4279" s="12" t="inlineStr">
        <is>
          <t>MOD-LV 480 V board + 480 V : 13.8 kV step-up</t>
        </is>
      </c>
      <c r="G4279" s="12" t="inlineStr">
        <is>
          <t>T-MOD-1</t>
        </is>
      </c>
      <c r="H4279" s="12" t="inlineStr">
        <is>
          <t>T-MOD-1: 13.8/230 kV</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378</v>
      </c>
      <c r="U4279" s="16" t="n">
        <v>84</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I-C-0184</t>
        </is>
      </c>
      <c r="B4280" s="12" t="inlineStr">
        <is>
          <t>I</t>
        </is>
      </c>
      <c r="C4280" s="12" t="inlineStr">
        <is>
          <t>Modular / portable power</t>
        </is>
      </c>
      <c r="D4280" s="12" t="inlineStr">
        <is>
          <t>Motor 2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378</v>
      </c>
      <c r="U4280" s="16" t="n">
        <v>84</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I-C-0185</t>
        </is>
      </c>
      <c r="B4281" s="12" t="inlineStr">
        <is>
          <t>I</t>
        </is>
      </c>
      <c r="C4281" s="12" t="inlineStr">
        <is>
          <t>Modular / portable power</t>
        </is>
      </c>
      <c r="D4281" s="12" t="inlineStr">
        <is>
          <t>Motor 3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378</v>
      </c>
      <c r="U4281" s="16" t="n">
        <v>84</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I-C-0186</t>
        </is>
      </c>
      <c r="B4282" s="12" t="inlineStr">
        <is>
          <t>I</t>
        </is>
      </c>
      <c r="C4282" s="12" t="inlineStr">
        <is>
          <t>Modular / portable power</t>
        </is>
      </c>
      <c r="D4282" s="12" t="inlineStr">
        <is>
          <t>Motor 4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378</v>
      </c>
      <c r="U4282" s="16" t="n">
        <v>84</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I-C-0187</t>
        </is>
      </c>
      <c r="B4283" s="12" t="inlineStr">
        <is>
          <t>I</t>
        </is>
      </c>
      <c r="C4283" s="12" t="inlineStr">
        <is>
          <t>Modular / portable power</t>
        </is>
      </c>
      <c r="D4283" s="12" t="inlineStr">
        <is>
          <t>Motor 5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378</v>
      </c>
      <c r="U4283" s="16" t="n">
        <v>84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I-C-0188</t>
        </is>
      </c>
      <c r="B4284" s="12" t="inlineStr">
        <is>
          <t>I</t>
        </is>
      </c>
      <c r="C4284" s="12" t="inlineStr">
        <is>
          <t>Modular / portable power</t>
        </is>
      </c>
      <c r="D4284" s="12" t="inlineStr">
        <is>
          <t>Motor 6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378</v>
      </c>
      <c r="U4284" s="16" t="n">
        <v>84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I-C-0189</t>
        </is>
      </c>
      <c r="B4285" s="12" t="inlineStr">
        <is>
          <t>I</t>
        </is>
      </c>
      <c r="C4285" s="12" t="inlineStr">
        <is>
          <t>Modular / portable power</t>
        </is>
      </c>
      <c r="D4285" s="12" t="inlineStr">
        <is>
          <t>Motor 1 of 6: control / local station</t>
        </is>
      </c>
      <c r="E4285" s="12" t="inlineStr"/>
      <c r="F4285" s="12" t="inlineStr">
        <is>
          <t>MOD-LV 480 V board + 480 V : 13.8 kV step-up</t>
        </is>
      </c>
      <c r="G4285" s="12" t="inlineStr">
        <is>
          <t>T-MOD-2</t>
        </is>
      </c>
      <c r="H4285" s="12" t="inlineStr">
        <is>
          <t>T-MOD-2: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189</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I-C-0190</t>
        </is>
      </c>
      <c r="B4286" s="12" t="inlineStr">
        <is>
          <t>I</t>
        </is>
      </c>
      <c r="C4286" s="12" t="inlineStr">
        <is>
          <t>Modular / portable power</t>
        </is>
      </c>
      <c r="D4286" s="12" t="inlineStr">
        <is>
          <t>Motor 2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189</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I-C-0191</t>
        </is>
      </c>
      <c r="B4287" s="12" t="inlineStr">
        <is>
          <t>I</t>
        </is>
      </c>
      <c r="C4287" s="12" t="inlineStr">
        <is>
          <t>Modular / portable power</t>
        </is>
      </c>
      <c r="D4287" s="12" t="inlineStr">
        <is>
          <t>Motor 3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189</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I-C-0192</t>
        </is>
      </c>
      <c r="B4288" s="12" t="inlineStr">
        <is>
          <t>I</t>
        </is>
      </c>
      <c r="C4288" s="12" t="inlineStr">
        <is>
          <t>Modular / portable power</t>
        </is>
      </c>
      <c r="D4288" s="12" t="inlineStr">
        <is>
          <t>Motor 4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189</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I-C-0193</t>
        </is>
      </c>
      <c r="B4289" s="12" t="inlineStr">
        <is>
          <t>I</t>
        </is>
      </c>
      <c r="C4289" s="12" t="inlineStr">
        <is>
          <t>Modular / portable power</t>
        </is>
      </c>
      <c r="D4289" s="12" t="inlineStr">
        <is>
          <t>Motor 5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189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I-C-0194</t>
        </is>
      </c>
      <c r="B4290" s="12" t="inlineStr">
        <is>
          <t>I</t>
        </is>
      </c>
      <c r="C4290" s="12" t="inlineStr">
        <is>
          <t>Modular / portable power</t>
        </is>
      </c>
      <c r="D4290" s="12" t="inlineStr">
        <is>
          <t>Motor 6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6" t="n">
        <v>0</v>
      </c>
      <c r="U4290" s="16" t="n">
        <v>189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I-C-0195</t>
        </is>
      </c>
      <c r="B4291" s="12" t="inlineStr">
        <is>
          <t>I</t>
        </is>
      </c>
      <c r="C4291" s="12" t="inlineStr">
        <is>
          <t>Modular / portable power</t>
        </is>
      </c>
      <c r="D4291" s="12" t="inlineStr">
        <is>
          <t>Motor 1 of 6: control / local station</t>
        </is>
      </c>
      <c r="E4291" s="12" t="inlineStr"/>
      <c r="F4291" s="12" t="inlineStr">
        <is>
          <t>MOD-LV 480 V board + 480 V : 13.8 kV step-up</t>
        </is>
      </c>
      <c r="G4291" s="12" t="inlineStr">
        <is>
          <t>TM-1</t>
        </is>
      </c>
      <c r="H4291" s="12" t="inlineStr">
        <is>
          <t>TM-1: trailer-mounted aeroderivative GT (TM2500 class, ~35 MW)</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3194</v>
      </c>
      <c r="U4291" s="16" t="n">
        <v>70</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I-C-0196</t>
        </is>
      </c>
      <c r="B4292" s="12" t="inlineStr">
        <is>
          <t>I</t>
        </is>
      </c>
      <c r="C4292" s="12" t="inlineStr">
        <is>
          <t>Modular / portable power</t>
        </is>
      </c>
      <c r="D4292" s="12" t="inlineStr">
        <is>
          <t>Motor 2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3194</v>
      </c>
      <c r="U4292" s="16" t="n">
        <v>70</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I-C-0197</t>
        </is>
      </c>
      <c r="B4293" s="12" t="inlineStr">
        <is>
          <t>I</t>
        </is>
      </c>
      <c r="C4293" s="12" t="inlineStr">
        <is>
          <t>Modular / portable power</t>
        </is>
      </c>
      <c r="D4293" s="12" t="inlineStr">
        <is>
          <t>Motor 3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3194</v>
      </c>
      <c r="U4293" s="16" t="n">
        <v>70</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I-C-0198</t>
        </is>
      </c>
      <c r="B4294" s="12" t="inlineStr">
        <is>
          <t>I</t>
        </is>
      </c>
      <c r="C4294" s="12" t="inlineStr">
        <is>
          <t>Modular / portable power</t>
        </is>
      </c>
      <c r="D4294" s="12" t="inlineStr">
        <is>
          <t>Motor 4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3194</v>
      </c>
      <c r="U4294" s="16" t="n">
        <v>70</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I-C-0199</t>
        </is>
      </c>
      <c r="B4295" s="12" t="inlineStr">
        <is>
          <t>I</t>
        </is>
      </c>
      <c r="C4295" s="12" t="inlineStr">
        <is>
          <t>Modular / portable power</t>
        </is>
      </c>
      <c r="D4295" s="12" t="inlineStr">
        <is>
          <t>Motor 5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3194</v>
      </c>
      <c r="U4295" s="16" t="n">
        <v>70</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I-C-0200</t>
        </is>
      </c>
      <c r="B4296" s="12" t="inlineStr">
        <is>
          <t>I</t>
        </is>
      </c>
      <c r="C4296" s="12" t="inlineStr">
        <is>
          <t>Modular / portable power</t>
        </is>
      </c>
      <c r="D4296" s="12" t="inlineStr">
        <is>
          <t>Motor 6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3194</v>
      </c>
      <c r="U4296" s="16" t="n">
        <v>70</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I-C-0201</t>
        </is>
      </c>
      <c r="B4297" s="12" t="inlineStr">
        <is>
          <t>I</t>
        </is>
      </c>
      <c r="C4297" s="12" t="inlineStr">
        <is>
          <t>Modular / portable power</t>
        </is>
      </c>
      <c r="D4297" s="12" t="inlineStr">
        <is>
          <t>Motor 1 of 6: control / local station</t>
        </is>
      </c>
      <c r="E4297" s="12" t="inlineStr"/>
      <c r="F4297" s="12" t="inlineStr">
        <is>
          <t>MOD-LV 480 V board + 480 V : 13.8 kV step-up</t>
        </is>
      </c>
      <c r="G4297" s="12" t="inlineStr">
        <is>
          <t>TM-2</t>
        </is>
      </c>
      <c r="H4297" s="12" t="inlineStr">
        <is>
          <t>TM-2: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3194</v>
      </c>
      <c r="U4297" s="16" t="n">
        <v>76</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I-C-0202</t>
        </is>
      </c>
      <c r="B4298" s="12" t="inlineStr">
        <is>
          <t>I</t>
        </is>
      </c>
      <c r="C4298" s="12" t="inlineStr">
        <is>
          <t>Modular / portable power</t>
        </is>
      </c>
      <c r="D4298" s="12" t="inlineStr">
        <is>
          <t>Motor 2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3194</v>
      </c>
      <c r="U4298" s="16" t="n">
        <v>76</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I-C-0203</t>
        </is>
      </c>
      <c r="B4299" s="12" t="inlineStr">
        <is>
          <t>I</t>
        </is>
      </c>
      <c r="C4299" s="12" t="inlineStr">
        <is>
          <t>Modular / portable power</t>
        </is>
      </c>
      <c r="D4299" s="12" t="inlineStr">
        <is>
          <t>Motor 3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3194</v>
      </c>
      <c r="U4299" s="16" t="n">
        <v>76</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I-C-0204</t>
        </is>
      </c>
      <c r="B4300" s="12" t="inlineStr">
        <is>
          <t>I</t>
        </is>
      </c>
      <c r="C4300" s="12" t="inlineStr">
        <is>
          <t>Modular / portable power</t>
        </is>
      </c>
      <c r="D4300" s="12" t="inlineStr">
        <is>
          <t>Motor 4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3194</v>
      </c>
      <c r="U4300" s="16" t="n">
        <v>76</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I-C-0205</t>
        </is>
      </c>
      <c r="B4301" s="12" t="inlineStr">
        <is>
          <t>I</t>
        </is>
      </c>
      <c r="C4301" s="12" t="inlineStr">
        <is>
          <t>Modular / portable power</t>
        </is>
      </c>
      <c r="D4301" s="12" t="inlineStr">
        <is>
          <t>Motor 5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3194</v>
      </c>
      <c r="U4301" s="16" t="n">
        <v>76</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I-C-0206</t>
        </is>
      </c>
      <c r="B4302" s="12" t="inlineStr">
        <is>
          <t>I</t>
        </is>
      </c>
      <c r="C4302" s="12" t="inlineStr">
        <is>
          <t>Modular / portable power</t>
        </is>
      </c>
      <c r="D4302" s="12" t="inlineStr">
        <is>
          <t>Motor 6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3194</v>
      </c>
      <c r="U4302" s="16" t="n">
        <v>76</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I-C-0207</t>
        </is>
      </c>
      <c r="B4303" s="12" t="inlineStr">
        <is>
          <t>I</t>
        </is>
      </c>
      <c r="C4303" s="12" t="inlineStr">
        <is>
          <t>Modular / portable power</t>
        </is>
      </c>
      <c r="D4303" s="12" t="inlineStr">
        <is>
          <t>Control</t>
        </is>
      </c>
      <c r="E4303" s="12" t="inlineStr"/>
      <c r="F4303" s="12" t="inlineStr">
        <is>
          <t>PCM: power control module</t>
        </is>
      </c>
      <c r="G4303" s="12" t="inlineStr"/>
      <c r="H4303" s="12" t="inlineStr">
        <is>
          <t>Water-injection skid</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HV duct bank</t>
        </is>
      </c>
      <c r="T4303" s="16" t="n">
        <v>4299</v>
      </c>
      <c r="U4303" s="16" t="n">
        <v>87</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I-F-0001</t>
        </is>
      </c>
      <c r="B4304" s="12" t="inlineStr">
        <is>
          <t>I</t>
        </is>
      </c>
      <c r="C4304" s="12" t="inlineStr">
        <is>
          <t>Modular / portable power</t>
        </is>
      </c>
      <c r="D4304" s="12" t="inlineStr">
        <is>
          <t>Plant network / DCS fibre</t>
        </is>
      </c>
      <c r="E4304" s="12" t="inlineStr">
        <is>
          <t>CR</t>
        </is>
      </c>
      <c r="F4304" s="12" t="inlineStr">
        <is>
          <t>Control / admin building (main control room)</t>
        </is>
      </c>
      <c r="G4304" s="12" t="inlineStr"/>
      <c r="H4304" s="12" t="inlineStr">
        <is>
          <t>Lube oil / starting air / oily water building</t>
        </is>
      </c>
      <c r="I4304" s="12" t="inlineStr">
        <is>
          <t>Fibre / data</t>
        </is>
      </c>
      <c r="J4304" s="12" t="inlineStr">
        <is>
          <t>Fibre optic, single-mode, 12-fibre, armored, orange jacket</t>
        </is>
      </c>
      <c r="K4304" s="12" t="inlineStr">
        <is>
          <t>FO|12 SM|-</t>
        </is>
      </c>
      <c r="L4304" s="12" t="inlineStr">
        <is>
          <t>12 SM</t>
        </is>
      </c>
      <c r="M4304" s="12" t="inlineStr">
        <is>
          <t>-</t>
        </is>
      </c>
      <c r="N4304" s="12" t="n">
        <v>1</v>
      </c>
      <c r="O4304" s="12" t="n">
        <v>1</v>
      </c>
      <c r="P4304" s="12" t="n"/>
      <c r="Q4304" s="12" t="n"/>
      <c r="R4304" s="12" t="n"/>
      <c r="S4304" s="12" t="inlineStr">
        <is>
          <t>Duct bank</t>
        </is>
      </c>
      <c r="T4304" s="16" t="n">
        <v>2703</v>
      </c>
      <c r="U4304" s="16" t="n">
        <v>394</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I-F-0002</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is>
          <t>MOD-EH</t>
        </is>
      </c>
      <c r="H4305" s="12" t="inlineStr">
        <is>
          <t>MOD-EH: 13.8 kV modular collector e-house</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Trench</t>
        </is>
      </c>
      <c r="T4305" s="16" t="n">
        <v>4273</v>
      </c>
      <c r="U4305" s="16" t="n">
        <v>36</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I-F-0003</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c r="H4306" s="12" t="inlineStr">
        <is>
          <t>PCM: power control module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Duct bank</t>
        </is>
      </c>
      <c r="T4306" s="16" t="n">
        <v>4696</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I-F-0004</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RICE CEMS</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4436</v>
      </c>
      <c r="U4307" s="16" t="n">
        <v>135</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I-F-0005</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RICE</t>
        </is>
      </c>
      <c r="H4308" s="12" t="inlineStr">
        <is>
          <t>RICE engine hall (8 engines)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Tray</t>
        </is>
      </c>
      <c r="T4308" s="16" t="n">
        <v>2186</v>
      </c>
      <c r="U4308" s="16" t="n">
        <v>334</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I-F-0006</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SC-1</t>
        </is>
      </c>
      <c r="H4309" s="12" t="inlineStr">
        <is>
          <t>SC-1: aeroderivative simple-cycle unit (LM6000 class)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6" t="n">
        <v>4656</v>
      </c>
      <c r="U4309" s="16" t="n">
        <v>56</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I-F-0007</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SC-2</t>
        </is>
      </c>
      <c r="H4310" s="12" t="inlineStr">
        <is>
          <t>SC-2: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Trench</t>
        </is>
      </c>
      <c r="T4310" s="16" t="n">
        <v>4681</v>
      </c>
      <c r="U4310" s="16" t="n">
        <v>36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I-F-0008</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TM-1</t>
        </is>
      </c>
      <c r="H4311" s="12" t="inlineStr">
        <is>
          <t>TM-1: trailer-mounted aeroderivative GT (TM2500 class, ~35 MW)</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3434</v>
      </c>
      <c r="U4311" s="16" t="n">
        <v>66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I-F-0009</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TM-2</t>
        </is>
      </c>
      <c r="H4312" s="12" t="inlineStr">
        <is>
          <t>TM-2: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72</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I-FA-0001</t>
        </is>
      </c>
      <c r="B4313" s="12" t="inlineStr">
        <is>
          <t>I</t>
        </is>
      </c>
      <c r="C4313" s="12" t="inlineStr">
        <is>
          <t>Modular / portable power</t>
        </is>
      </c>
      <c r="D4313" s="12" t="inlineStr">
        <is>
          <t>Fire alarm / F&amp;G loop (to the local FACP / F&amp;G node)</t>
        </is>
      </c>
      <c r="E4313" s="12" t="inlineStr"/>
      <c r="F4313" s="12" t="inlineStr">
        <is>
          <t>PCM: power control module</t>
        </is>
      </c>
      <c r="G4313" s="12" t="inlineStr"/>
      <c r="H4313" s="12" t="inlineStr">
        <is>
          <t>BS black-start switchgear</t>
        </is>
      </c>
      <c r="I4313" s="12" t="inlineStr">
        <is>
          <t>Fire alarm</t>
        </is>
      </c>
      <c r="J4313" s="12" t="inlineStr">
        <is>
          <t>Fire alarm FPLR 2/C #14 shielded, red jacket (NEC 760)</t>
        </is>
      </c>
      <c r="K4313" s="12" t="inlineStr">
        <is>
          <t>FA|2/C|14</t>
        </is>
      </c>
      <c r="L4313" s="12" t="inlineStr">
        <is>
          <t>2/C</t>
        </is>
      </c>
      <c r="M4313" s="12" t="inlineStr">
        <is>
          <t>14</t>
        </is>
      </c>
      <c r="N4313" s="12" t="n">
        <v>1</v>
      </c>
      <c r="O4313" s="12" t="n">
        <v>1</v>
      </c>
      <c r="P4313" s="12" t="n"/>
      <c r="Q4313" s="12" t="n"/>
      <c r="R4313" s="12" t="n"/>
      <c r="S4313" s="12" t="inlineStr">
        <is>
          <t>Duct bank</t>
        </is>
      </c>
      <c r="T4313" s="16" t="n">
        <v>562</v>
      </c>
      <c r="U4313" s="16" t="n">
        <v>64</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I-FA-0002</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Black-start genset (proposed; requires study)</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624</v>
      </c>
      <c r="U4314" s="16" t="n">
        <v>32</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I-FA-0003</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40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I-FA-0004</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CONDITIONAL: BESS black-start alternative</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550</v>
      </c>
      <c r="U4316" s="16" t="n">
        <v>32</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I-FA-0005</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SC-1 inlet chiller / evaporative cooler</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40</v>
      </c>
      <c r="U4317" s="16" t="n">
        <v>52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I-FA-0006</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SC-2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HV duct bank</t>
        </is>
      </c>
      <c r="T4318" s="16" t="n">
        <v>4528</v>
      </c>
      <c r="U4318" s="16" t="n">
        <v>38</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I-FA-0007</t>
        </is>
      </c>
      <c r="B4319" s="12" t="inlineStr">
        <is>
          <t>I</t>
        </is>
      </c>
      <c r="C4319" s="12" t="inlineStr">
        <is>
          <t>Modular / portable power</t>
        </is>
      </c>
      <c r="D4319" s="12" t="inlineStr">
        <is>
          <t>Fire alarm / F&amp;G loop (to the local FACP / F&amp;G node)</t>
        </is>
      </c>
      <c r="E4319" s="12" t="inlineStr">
        <is>
          <t>PAD-EH</t>
        </is>
      </c>
      <c r="F4319" s="12" t="inlineStr">
        <is>
          <t>PAD-EH 13.8 kV switchgear e-house</t>
        </is>
      </c>
      <c r="G4319" s="12" t="inlineStr">
        <is>
          <t>CONT-1</t>
        </is>
      </c>
      <c r="H4319" s="12" t="inlineStr">
        <is>
          <t>CONT-1: containerized genset 13.8 kV (40 ft)</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Surface</t>
        </is>
      </c>
      <c r="T4319" s="16" t="n">
        <v>298</v>
      </c>
      <c r="U4319" s="16" t="n">
        <v>37</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I-FA-0008</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CONT-2</t>
        </is>
      </c>
      <c r="H4320" s="12" t="inlineStr">
        <is>
          <t>CONT-2: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267</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I-FA-0009</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CONT-3</t>
        </is>
      </c>
      <c r="H4321" s="12" t="inlineStr">
        <is>
          <t>CONT-3: containerized gas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191</v>
      </c>
      <c r="U4321" s="16" t="n">
        <v>32</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I-FA-0010</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CONT-4</t>
        </is>
      </c>
      <c r="H4322" s="12" t="inlineStr">
        <is>
          <t>CONT-4: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Duct bank</t>
        </is>
      </c>
      <c r="T4322" s="16" t="n">
        <v>62</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I-FA-0011</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CONT-5</t>
        </is>
      </c>
      <c r="H4323" s="12" t="inlineStr">
        <is>
          <t>CONT-5: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25</v>
      </c>
      <c r="U4323" s="16" t="n">
        <v>58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I-FA-0012</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CONT-6</t>
        </is>
      </c>
      <c r="H4324" s="12" t="inlineStr">
        <is>
          <t>CONT-6: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6" t="n">
        <v>228</v>
      </c>
      <c r="U4324" s="16" t="n">
        <v>46</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I-FA-0013</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CONT-7</t>
        </is>
      </c>
      <c r="H4325" s="12" t="inlineStr">
        <is>
          <t>CONT-7: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I-FA-0014</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CONT-8</t>
        </is>
      </c>
      <c r="H4326" s="12" t="inlineStr">
        <is>
          <t>CONT-8: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16</v>
      </c>
      <c r="U4326" s="16" t="n">
        <v>117</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I-FA-0015</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FC-10</t>
        </is>
      </c>
      <c r="H4327" s="12" t="inlineStr">
        <is>
          <t>FC-10: SOFC module (Bloom ES5 class, 200-300 kW)</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Duct bank</t>
        </is>
      </c>
      <c r="T4327" s="16" t="n">
        <v>286</v>
      </c>
      <c r="U4327" s="16" t="n">
        <v>50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I-FA-0016</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FC-11</t>
        </is>
      </c>
      <c r="H4328" s="12" t="inlineStr">
        <is>
          <t>FC-11: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272</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I-FA-0017</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FC-12</t>
        </is>
      </c>
      <c r="H4329" s="12" t="inlineStr">
        <is>
          <t>FC-12: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41</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I-FA-0018</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FC-1: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1048</v>
      </c>
      <c r="U4330" s="16" t="n">
        <v>96</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I-FA-0019</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FC-2: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6" t="n">
        <v>1048</v>
      </c>
      <c r="U4331" s="16" t="n">
        <v>82</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I-FA-0020</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FC-3: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1048</v>
      </c>
      <c r="U4332" s="16" t="n">
        <v>68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I-FA-0021</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FC-4: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1048</v>
      </c>
      <c r="U4333" s="16" t="n">
        <v>54</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I-FA-0022</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c r="H4334" s="12" t="inlineStr">
        <is>
          <t>FC-5..12 inverter / AC cabinet / desulfurizer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Surface</t>
        </is>
      </c>
      <c r="T4334" s="16" t="n">
        <v>202</v>
      </c>
      <c r="U4334" s="16" t="n">
        <v>37</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I-FA-0023</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FC-5</t>
        </is>
      </c>
      <c r="H4335" s="12" t="inlineStr">
        <is>
          <t>FC-5: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356</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I-FA-0024</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FC-6</t>
        </is>
      </c>
      <c r="H4336" s="12" t="inlineStr">
        <is>
          <t>FC-6: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342</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I-FA-0025</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FC-7</t>
        </is>
      </c>
      <c r="H4337" s="12" t="inlineStr">
        <is>
          <t>FC-7: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Duct bank</t>
        </is>
      </c>
      <c r="T4337" s="16" t="n">
        <v>328</v>
      </c>
      <c r="U4337" s="16" t="n">
        <v>50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I-FA-0026</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FC-8</t>
        </is>
      </c>
      <c r="H4338" s="12" t="inlineStr">
        <is>
          <t>FC-8: SOFC module (Bloom ES5 class, 200-300 kW)</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Duct bank</t>
        </is>
      </c>
      <c r="T4338" s="16" t="n">
        <v>314</v>
      </c>
      <c r="U4338" s="16" t="n">
        <v>50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I-FA-0027</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FC-9</t>
        </is>
      </c>
      <c r="H4339" s="12" t="inlineStr">
        <is>
          <t>FC-9: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6" t="n">
        <v>300</v>
      </c>
      <c r="U4339" s="16" t="n">
        <v>50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I-FA-0028</t>
        </is>
      </c>
      <c r="B4340" s="12" t="inlineStr">
        <is>
          <t>I</t>
        </is>
      </c>
      <c r="C4340" s="12" t="inlineStr">
        <is>
          <t>Modular / portable power</t>
        </is>
      </c>
      <c r="D4340" s="12" t="inlineStr">
        <is>
          <t>Fire alarm / F&amp;G loop (to the local FACP / F&amp;G node)</t>
        </is>
      </c>
      <c r="E4340" s="12" t="inlineStr"/>
      <c r="F4340" s="12" t="inlineStr">
        <is>
          <t>PCM: power control module</t>
        </is>
      </c>
      <c r="G4340" s="12" t="inlineStr"/>
      <c r="H4340" s="12" t="inlineStr">
        <is>
          <t>Fuel-cell inverter / AC cabinet / desulfurizer</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6" t="n">
        <v>1032</v>
      </c>
      <c r="U4340" s="16" t="n">
        <v>34</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I-FA-0029</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GEN-E</t>
        </is>
      </c>
      <c r="H4341" s="12" t="inlineStr">
        <is>
          <t>GEN-E: enclosed industrial gas genset 2 MW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6" t="n">
        <v>153</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I-FA-0030</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GEN-O</t>
        </is>
      </c>
      <c r="H4342" s="12" t="inlineStr">
        <is>
          <t>GEN-O: open engine-generator skid</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153</v>
      </c>
      <c r="U4342" s="16" t="n">
        <v>79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I-FA-0031</t>
        </is>
      </c>
      <c r="B4343" s="12" t="inlineStr">
        <is>
          <t>I</t>
        </is>
      </c>
      <c r="C4343" s="12" t="inlineStr">
        <is>
          <t>Modular / portable power</t>
        </is>
      </c>
      <c r="D4343" s="12" t="inlineStr">
        <is>
          <t>Fire alarm / F&amp;G loop (to the local FACP / F&amp;G node)</t>
        </is>
      </c>
      <c r="E4343" s="12" t="inlineStr"/>
      <c r="F4343" s="12" t="inlineStr">
        <is>
          <t>PCM: power control module</t>
        </is>
      </c>
      <c r="G4343" s="12" t="inlineStr"/>
      <c r="H4343" s="12" t="inlineStr">
        <is>
          <t>Lube oil / starting air / oily water building</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Tray</t>
        </is>
      </c>
      <c r="T4343" s="16" t="n">
        <v>32</v>
      </c>
      <c r="U4343" s="16" t="n">
        <v>164</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I-FA-0032</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MOB-1</t>
        </is>
      </c>
      <c r="H4344" s="12" t="inlineStr">
        <is>
          <t>MOB-1: trailer genset</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113</v>
      </c>
      <c r="U4344" s="16" t="n">
        <v>160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I-FA-0033</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is>
          <t>MOD-EH</t>
        </is>
      </c>
      <c r="H4345" s="12" t="inlineStr">
        <is>
          <t>MOD-EH: 13.8 kV modular collector e-house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6" t="n">
        <v>355</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I-FA-0034</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MT-1: microturbine 1 MW (Capstone C1000 class)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807</v>
      </c>
      <c r="U4346" s="16" t="n">
        <v>117</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I-FA-0035</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MT-2: microturbine 1 MW (Capstone C1000 class)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807</v>
      </c>
      <c r="U4347" s="16" t="n">
        <v>131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I-FA-0036</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c r="H4348" s="12" t="inlineStr">
        <is>
          <t>MT-3: microturbine 1 MW (Capstone C1000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807</v>
      </c>
      <c r="U4348" s="16" t="n">
        <v>145</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I-FA-0037</t>
        </is>
      </c>
      <c r="B4349" s="12" t="inlineStr">
        <is>
          <t>I</t>
        </is>
      </c>
      <c r="C4349" s="12" t="inlineStr">
        <is>
          <t>Modular / portable power</t>
        </is>
      </c>
      <c r="D4349" s="12" t="inlineStr">
        <is>
          <t>Fire alarm / F&amp;G loop (to the local FACP / F&amp;G node)</t>
        </is>
      </c>
      <c r="E4349" s="12" t="inlineStr">
        <is>
          <t>PAD-EH</t>
        </is>
      </c>
      <c r="F4349" s="12" t="inlineStr">
        <is>
          <t>PAD-EH 13.8 kV switchgear e-house</t>
        </is>
      </c>
      <c r="G4349" s="12" t="inlineStr">
        <is>
          <t>MT-4</t>
        </is>
      </c>
      <c r="H4349" s="12" t="inlineStr">
        <is>
          <t>MT-4: microturbine 1 MW (Capstone C1000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Surface</t>
        </is>
      </c>
      <c r="T4349" s="16" t="n">
        <v>198</v>
      </c>
      <c r="U4349" s="16" t="n">
        <v>47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I-FA-0038</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MT-5</t>
        </is>
      </c>
      <c r="H4350" s="12" t="inlineStr">
        <is>
          <t>MT-5: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198</v>
      </c>
      <c r="U4350" s="16" t="n">
        <v>37</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I-FA-0039</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MT-6</t>
        </is>
      </c>
      <c r="H4351" s="12" t="inlineStr">
        <is>
          <t>MT-6: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67</v>
      </c>
      <c r="U4351" s="16" t="n">
        <v>90</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I-FA-0040</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PCM: power control module</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Tray</t>
        </is>
      </c>
      <c r="T4352" s="16" t="n">
        <v>0</v>
      </c>
      <c r="U4352" s="16" t="n">
        <v>32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I-FA-0041</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RICE CEMS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6" t="n">
        <v>260</v>
      </c>
      <c r="U4353" s="16" t="n">
        <v>131</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I-FA-0042</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is>
          <t>RICE</t>
        </is>
      </c>
      <c r="H4354" s="12" t="inlineStr">
        <is>
          <t>RICE engine hall (8 engines)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6" t="n">
        <v>367</v>
      </c>
      <c r="U4354" s="16" t="n">
        <v>95</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I-FA-0043</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is>
          <t>SC-1</t>
        </is>
      </c>
      <c r="H4355" s="12" t="inlineStr">
        <is>
          <t>SC-1: aeroderivative simple-cycle unit (LM6000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6" t="n">
        <v>40</v>
      </c>
      <c r="U4355" s="16" t="n">
        <v>52</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I-FA-0044</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is>
          <t>SC-2</t>
        </is>
      </c>
      <c r="H4356" s="12" t="inlineStr">
        <is>
          <t>SC-2: aeroderivative simple-cycle unit (LM6000 class)</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HV duct bank</t>
        </is>
      </c>
      <c r="T4356" s="16" t="n">
        <v>4478</v>
      </c>
      <c r="U4356" s="16" t="n">
        <v>38</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I-FA-0045</t>
        </is>
      </c>
      <c r="B4357" s="12" t="inlineStr">
        <is>
          <t>I</t>
        </is>
      </c>
      <c r="C4357" s="12" t="inlineStr">
        <is>
          <t>Modular / portable power</t>
        </is>
      </c>
      <c r="D4357" s="12" t="inlineStr">
        <is>
          <t>Fire alarm / F&amp;G loop (to the local FACP / F&amp;G node)</t>
        </is>
      </c>
      <c r="E4357" s="12" t="inlineStr">
        <is>
          <t>PAD-EH</t>
        </is>
      </c>
      <c r="F4357" s="12" t="inlineStr">
        <is>
          <t>PAD-EH 13.8 kV switchgear e-house</t>
        </is>
      </c>
      <c r="G4357" s="12" t="inlineStr">
        <is>
          <t>TM-1</t>
        </is>
      </c>
      <c r="H4357" s="12" t="inlineStr">
        <is>
          <t>TM-1: trailer-mounted aeroderivative GT (TM2500 class, ~35 MW)</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Surface</t>
        </is>
      </c>
      <c r="T4357" s="16" t="n">
        <v>382</v>
      </c>
      <c r="U4357" s="16" t="n">
        <v>50</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I-FA-0046</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TM-2</t>
        </is>
      </c>
      <c r="H4358" s="12" t="inlineStr">
        <is>
          <t>TM-2: trailer-mounted aeroderivative GT (TM2500 class, ~35 MW)</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6" t="n">
        <v>386</v>
      </c>
      <c r="U4358" s="16" t="n">
        <v>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I-I-0001</t>
        </is>
      </c>
      <c r="B4359" s="12" t="inlineStr">
        <is>
          <t>I</t>
        </is>
      </c>
      <c r="C4359" s="12" t="inlineStr">
        <is>
          <t>Modular / portable power</t>
        </is>
      </c>
      <c r="D4359" s="12" t="inlineStr">
        <is>
          <t>Instrumentation</t>
        </is>
      </c>
      <c r="E4359" s="12" t="inlineStr"/>
      <c r="F4359" s="12" t="inlineStr">
        <is>
          <t>PCM: power control module</t>
        </is>
      </c>
      <c r="G4359" s="12" t="inlineStr"/>
      <c r="H4359" s="12" t="inlineStr">
        <is>
          <t>Aqueous ammonia (SC units)</t>
        </is>
      </c>
      <c r="I4359" s="12" t="inlineStr">
        <is>
          <t>Instrumentation</t>
        </is>
      </c>
      <c r="J4359" s="12" t="inlineStr">
        <is>
          <t>Instrumentation PLTC / TC-ER 300 V, #18 twisted shielded pairs, overall shield</t>
        </is>
      </c>
      <c r="K4359" s="12" t="inlineStr">
        <is>
          <t>PLTC|4 pr|18</t>
        </is>
      </c>
      <c r="L4359" s="12" t="inlineStr">
        <is>
          <t>4 pr</t>
        </is>
      </c>
      <c r="M4359" s="12" t="inlineStr">
        <is>
          <t>18</t>
        </is>
      </c>
      <c r="N4359" s="12" t="n">
        <v>1</v>
      </c>
      <c r="O4359" s="12" t="n">
        <v>1</v>
      </c>
      <c r="P4359" s="12" t="n"/>
      <c r="Q4359" s="12" t="n"/>
      <c r="R4359" s="12" t="n"/>
      <c r="S4359" s="12" t="inlineStr">
        <is>
          <t>HV duct bank</t>
        </is>
      </c>
      <c r="T4359" s="16" t="n">
        <v>4299</v>
      </c>
      <c r="U4359" s="16" t="n">
        <v>38</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I-I-0002</t>
        </is>
      </c>
      <c r="B4360" s="12" t="inlineStr">
        <is>
          <t>I</t>
        </is>
      </c>
      <c r="C4360" s="12" t="inlineStr">
        <is>
          <t>Modular / portable power</t>
        </is>
      </c>
      <c r="D4360" s="12" t="inlineStr">
        <is>
          <t>Analog instrument to JB JB-Black-start genset-AI01: 20 x 1 pr (field cables)</t>
        </is>
      </c>
      <c r="E4360" s="12" t="inlineStr"/>
      <c r="F4360" s="12" t="inlineStr">
        <is>
          <t>Black-start genset (proposed; requires study)</t>
        </is>
      </c>
      <c r="G4360" s="12" t="inlineStr">
        <is>
          <t>JB-Black-start genset-AI01</t>
        </is>
      </c>
      <c r="H4360" s="12" t="inlineStr">
        <is>
          <t>Black-start genset (proposed; requires study)</t>
        </is>
      </c>
      <c r="I4360" s="12" t="inlineStr">
        <is>
          <t>Instrumentation</t>
        </is>
      </c>
      <c r="J4360" s="12" t="inlineStr">
        <is>
          <t>Instrumentation PLTC / TC-ER 300 V, #18 twisted shielded pairs, overall shield</t>
        </is>
      </c>
      <c r="K4360" s="12" t="inlineStr">
        <is>
          <t>PLTC|1 pr|16</t>
        </is>
      </c>
      <c r="L4360" s="12" t="inlineStr">
        <is>
          <t>1 pr</t>
        </is>
      </c>
      <c r="M4360" s="12" t="inlineStr">
        <is>
          <t>16</t>
        </is>
      </c>
      <c r="N4360" s="12" t="n">
        <v>20</v>
      </c>
      <c r="O4360" s="12" t="n">
        <v>1</v>
      </c>
      <c r="P4360" s="12" t="n"/>
      <c r="Q4360" s="12" t="n"/>
      <c r="R4360" s="12" t="n"/>
      <c r="S4360" s="12" t="inlineStr">
        <is>
          <t>Tray / conduit</t>
        </is>
      </c>
      <c r="T4360" s="16" t="n">
        <v>59</v>
      </c>
      <c r="U4360" s="16" t="n">
        <v>10</v>
      </c>
      <c r="V4360" s="16">
        <f>ROUNDUP((T4360+U4360+2*'Read Me'!$B$13)*(1+'Read Me'!$B$12),-1)</f>
        <v/>
      </c>
      <c r="W4360" s="16">
        <f>V4360*N4360*O4360</f>
        <v/>
      </c>
      <c r="X4360" s="12">
        <f>IF(LEFT(I4360,2)="MV",2*N4360*IF(L4360="1/C",O4360,1),0)</f>
        <v/>
      </c>
      <c r="Y4360" s="12">
        <f>IF(OR(LEFT(K4360,4)="LVAX",LEFT(K4360,6)="MV15AX",LEFT(K4360,4)="CTAX",LEFT(K4360,2)="W|"),2*N4360*O4360,0)</f>
        <v/>
      </c>
      <c r="Z4360" s="12" t="inlineStr">
        <is>
          <t>device-to-JB field wiring, one cable per device</t>
        </is>
      </c>
      <c r="AA4360" s="12">
        <f>N4360*O4360</f>
        <v/>
      </c>
    </row>
    <row r="4361">
      <c r="A4361" s="12" t="inlineStr">
        <is>
          <t>I-I-0003</t>
        </is>
      </c>
      <c r="B4361" s="12" t="inlineStr">
        <is>
          <t>I</t>
        </is>
      </c>
      <c r="C4361" s="12" t="inlineStr">
        <is>
          <t>Modular / portable power</t>
        </is>
      </c>
      <c r="D4361" s="12" t="inlineStr">
        <is>
          <t>Home run JB-Black-start genset-AI01 to the control / marshalling room</t>
        </is>
      </c>
      <c r="E4361" s="12" t="inlineStr"/>
      <c r="F4361" s="12" t="inlineStr">
        <is>
          <t>PCM: power control module</t>
        </is>
      </c>
      <c r="G4361" s="12" t="inlineStr">
        <is>
          <t>JB-Black-start genset-AI01</t>
        </is>
      </c>
      <c r="H4361" s="12" t="inlineStr">
        <is>
          <t>Black-start genset (proposed; requires study)</t>
        </is>
      </c>
      <c r="I4361" s="12" t="inlineStr">
        <is>
          <t>Instrumentation</t>
        </is>
      </c>
      <c r="J4361" s="12" t="inlineStr">
        <is>
          <t>Instrumentation PLTC / TC-ER 300 V, #18 twisted shielded pairs, overall shield</t>
        </is>
      </c>
      <c r="K4361" s="12" t="inlineStr">
        <is>
          <t>PLTC|24 pr|18</t>
        </is>
      </c>
      <c r="L4361" s="12" t="inlineStr">
        <is>
          <t>24 pr</t>
        </is>
      </c>
      <c r="M4361" s="12" t="inlineStr">
        <is>
          <t>18</t>
        </is>
      </c>
      <c r="N4361" s="12" t="n">
        <v>1</v>
      </c>
      <c r="O4361" s="12" t="n">
        <v>1</v>
      </c>
      <c r="P4361" s="12" t="n"/>
      <c r="Q4361" s="12" t="n"/>
      <c r="R4361" s="12" t="n"/>
      <c r="S4361" s="12" t="inlineStr">
        <is>
          <t>Duct bank</t>
        </is>
      </c>
      <c r="T4361" s="16" t="n">
        <v>624</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I-I-0004</t>
        </is>
      </c>
      <c r="B4362" s="12" t="inlineStr">
        <is>
          <t>I</t>
        </is>
      </c>
      <c r="C4362" s="12" t="inlineStr">
        <is>
          <t>Modular / portable power</t>
        </is>
      </c>
      <c r="D4362" s="12" t="inlineStr">
        <is>
          <t>Discrete device to JB JB-Black-start genset-DI01: 20 x 1 pr (field cables)</t>
        </is>
      </c>
      <c r="E4362" s="12" t="inlineStr"/>
      <c r="F4362" s="12" t="inlineStr">
        <is>
          <t>Black-start genset (proposed; requires study)</t>
        </is>
      </c>
      <c r="G4362" s="12" t="inlineStr">
        <is>
          <t>JB-Black-start genset-DI01</t>
        </is>
      </c>
      <c r="H4362" s="12" t="inlineStr">
        <is>
          <t>Black-start genset (proposed; requires study)</t>
        </is>
      </c>
      <c r="I4362" s="12" t="inlineStr">
        <is>
          <t>Instrumentation</t>
        </is>
      </c>
      <c r="J4362" s="12" t="inlineStr">
        <is>
          <t>Instrumentation PLTC / TC-ER 300 V, #18 twisted shielded pairs, overall shield</t>
        </is>
      </c>
      <c r="K4362" s="12" t="inlineStr">
        <is>
          <t>PLTC|1 pr|16</t>
        </is>
      </c>
      <c r="L4362" s="12" t="inlineStr">
        <is>
          <t>1 pr</t>
        </is>
      </c>
      <c r="M4362" s="12" t="inlineStr">
        <is>
          <t>16</t>
        </is>
      </c>
      <c r="N4362" s="12" t="n">
        <v>20</v>
      </c>
      <c r="O4362" s="12" t="n">
        <v>1</v>
      </c>
      <c r="P4362" s="12" t="n"/>
      <c r="Q4362" s="12" t="n"/>
      <c r="R4362" s="12" t="n"/>
      <c r="S4362" s="12" t="inlineStr">
        <is>
          <t>Tray / conduit</t>
        </is>
      </c>
      <c r="T4362" s="16" t="n">
        <v>59</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I-I-0005</t>
        </is>
      </c>
      <c r="B4363" s="12" t="inlineStr">
        <is>
          <t>I</t>
        </is>
      </c>
      <c r="C4363" s="12" t="inlineStr">
        <is>
          <t>Modular / portable power</t>
        </is>
      </c>
      <c r="D4363" s="12" t="inlineStr">
        <is>
          <t>Home run JB-Black-start genset-DI01 to the control / marshalling room</t>
        </is>
      </c>
      <c r="E4363" s="12" t="inlineStr"/>
      <c r="F4363" s="12" t="inlineStr">
        <is>
          <t>PCM: power control module</t>
        </is>
      </c>
      <c r="G4363" s="12" t="inlineStr">
        <is>
          <t>JB-Black-start genset-DI01</t>
        </is>
      </c>
      <c r="H4363" s="12" t="inlineStr">
        <is>
          <t>Black-start genset (proposed; requires study)</t>
        </is>
      </c>
      <c r="I4363" s="12" t="inlineStr">
        <is>
          <t>Instrumentation</t>
        </is>
      </c>
      <c r="J4363" s="12" t="inlineStr">
        <is>
          <t>Instrumentation PLTC / TC-ER 300 V, #18 twisted shielded pairs, overall shield</t>
        </is>
      </c>
      <c r="K4363" s="12" t="inlineStr">
        <is>
          <t>PLTC|24 pr|18</t>
        </is>
      </c>
      <c r="L4363" s="12" t="inlineStr">
        <is>
          <t>24 pr</t>
        </is>
      </c>
      <c r="M4363" s="12" t="inlineStr">
        <is>
          <t>18</t>
        </is>
      </c>
      <c r="N4363" s="12" t="n">
        <v>1</v>
      </c>
      <c r="O4363" s="12" t="n">
        <v>1</v>
      </c>
      <c r="P4363" s="12" t="n"/>
      <c r="Q4363" s="12" t="n"/>
      <c r="R4363" s="12" t="n"/>
      <c r="S4363" s="12" t="inlineStr">
        <is>
          <t>Duct bank</t>
        </is>
      </c>
      <c r="T4363" s="16" t="n">
        <v>624</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I-I-0006</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6" t="n">
        <v>59</v>
      </c>
      <c r="U4364" s="16" t="n">
        <v>10</v>
      </c>
      <c r="V4364" s="16">
        <f>ROUNDUP((T4364+U4364+2*'Read Me'!$B$13)*(1+'Read Me'!$B$12),-1)</f>
        <v/>
      </c>
      <c r="W4364" s="16">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I-I-0007</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6" t="n">
        <v>624</v>
      </c>
      <c r="U4365" s="16" t="n">
        <v>40</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I-I-0008</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6" t="n">
        <v>59</v>
      </c>
      <c r="U4366" s="16" t="n">
        <v>10</v>
      </c>
      <c r="V4366" s="16">
        <f>ROUNDUP((T4366+U4366+2*'Read Me'!$B$13)*(1+'Read Me'!$B$12),-1)</f>
        <v/>
      </c>
      <c r="W4366" s="16">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I-I-0009</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6" t="n">
        <v>624</v>
      </c>
      <c r="U4367" s="16" t="n">
        <v>40</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I-I-0010</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CONDITIONAL: BESS black-start alternative</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Duct bank</t>
        </is>
      </c>
      <c r="T4368" s="16" t="n">
        <v>550</v>
      </c>
      <c r="U4368" s="16" t="n">
        <v>32</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I-I-0011</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BESS black-start alternative</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Duct bank</t>
        </is>
      </c>
      <c r="T4369" s="16" t="n">
        <v>550</v>
      </c>
      <c r="U4369" s="16" t="n">
        <v>32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I-I-0012</t>
        </is>
      </c>
      <c r="B4370" s="12" t="inlineStr">
        <is>
          <t>I</t>
        </is>
      </c>
      <c r="C4370" s="12" t="inlineStr">
        <is>
          <t>Modular / portable power</t>
        </is>
      </c>
      <c r="D4370" s="12" t="inlineStr">
        <is>
          <t>Thermocouples</t>
        </is>
      </c>
      <c r="E4370" s="12" t="inlineStr"/>
      <c r="F4370" s="12" t="inlineStr">
        <is>
          <t>PCM: power control module</t>
        </is>
      </c>
      <c r="G4370" s="12" t="inlineStr"/>
      <c r="H4370" s="12" t="inlineStr">
        <is>
          <t>CONDITIONAL: BESS black-start alternative</t>
        </is>
      </c>
      <c r="I4370" s="12" t="inlineStr">
        <is>
          <t>Instrumentation</t>
        </is>
      </c>
      <c r="J4370" s="12" t="inlineStr">
        <is>
          <t>Thermocouple extension KX, #16 shielded pairs, PLTC</t>
        </is>
      </c>
      <c r="K4370" s="12" t="inlineStr">
        <is>
          <t>TCX|12 pr|16</t>
        </is>
      </c>
      <c r="L4370" s="12" t="inlineStr">
        <is>
          <t>12 pr</t>
        </is>
      </c>
      <c r="M4370" s="12" t="inlineStr">
        <is>
          <t>16</t>
        </is>
      </c>
      <c r="N4370" s="12" t="n">
        <v>1</v>
      </c>
      <c r="O4370" s="12" t="n">
        <v>1</v>
      </c>
      <c r="P4370" s="12" t="n"/>
      <c r="Q4370" s="12" t="n"/>
      <c r="R4370" s="12" t="n"/>
      <c r="S4370" s="12" t="inlineStr">
        <is>
          <t>Duct bank</t>
        </is>
      </c>
      <c r="T4370" s="16" t="n">
        <v>550</v>
      </c>
      <c r="U4370" s="16" t="n">
        <v>32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I-I-0013</t>
        </is>
      </c>
      <c r="B4371" s="12" t="inlineStr">
        <is>
          <t>I</t>
        </is>
      </c>
      <c r="C4371" s="12" t="inlineStr">
        <is>
          <t>Modular / portable power</t>
        </is>
      </c>
      <c r="D4371" s="12" t="inlineStr">
        <is>
          <t>Instrumentation</t>
        </is>
      </c>
      <c r="E4371" s="12" t="inlineStr"/>
      <c r="F4371" s="12" t="inlineStr">
        <is>
          <t>PCM: power control module</t>
        </is>
      </c>
      <c r="G4371" s="12" t="inlineStr"/>
      <c r="H4371" s="12" t="inlineStr">
        <is>
          <t>CONDITIONAL: SC-1 inlet chiller / evaporative cooler</t>
        </is>
      </c>
      <c r="I4371" s="12" t="inlineStr">
        <is>
          <t>Instrumentation</t>
        </is>
      </c>
      <c r="J4371" s="12" t="inlineStr">
        <is>
          <t>Instrumentation PLTC / TC-ER 300 V, #18 twisted shielded pairs, overall shield</t>
        </is>
      </c>
      <c r="K4371" s="12" t="inlineStr">
        <is>
          <t>PLTC|4 pr|18</t>
        </is>
      </c>
      <c r="L4371" s="12" t="inlineStr">
        <is>
          <t>4 pr</t>
        </is>
      </c>
      <c r="M4371" s="12" t="inlineStr">
        <is>
          <t>18</t>
        </is>
      </c>
      <c r="N4371" s="12" t="n">
        <v>1</v>
      </c>
      <c r="O4371" s="12" t="n">
        <v>1</v>
      </c>
      <c r="P4371" s="12" t="n"/>
      <c r="Q4371" s="12" t="n"/>
      <c r="R4371" s="12" t="n"/>
      <c r="S4371" s="12" t="inlineStr">
        <is>
          <t>Duct bank</t>
        </is>
      </c>
      <c r="T4371" s="16" t="n">
        <v>40</v>
      </c>
      <c r="U4371" s="16" t="n">
        <v>52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I-I-0014</t>
        </is>
      </c>
      <c r="B4372" s="12" t="inlineStr">
        <is>
          <t>I</t>
        </is>
      </c>
      <c r="C4372" s="12" t="inlineStr">
        <is>
          <t>Modular / portable power</t>
        </is>
      </c>
      <c r="D4372" s="12" t="inlineStr">
        <is>
          <t>Thermocouples</t>
        </is>
      </c>
      <c r="E4372" s="12" t="inlineStr"/>
      <c r="F4372" s="12" t="inlineStr">
        <is>
          <t>PCM: power control module</t>
        </is>
      </c>
      <c r="G4372" s="12" t="inlineStr"/>
      <c r="H4372" s="12" t="inlineStr">
        <is>
          <t>CONDITIONAL: SC-1 inlet chiller / evaporative cooler</t>
        </is>
      </c>
      <c r="I4372" s="12" t="inlineStr">
        <is>
          <t>Instrumentation</t>
        </is>
      </c>
      <c r="J4372" s="12" t="inlineStr">
        <is>
          <t>Thermocouple extension KX, #16 shielded pairs, PLTC</t>
        </is>
      </c>
      <c r="K4372" s="12" t="inlineStr">
        <is>
          <t>TCX|12 pr|16</t>
        </is>
      </c>
      <c r="L4372" s="12" t="inlineStr">
        <is>
          <t>12 pr</t>
        </is>
      </c>
      <c r="M4372" s="12" t="inlineStr">
        <is>
          <t>16</t>
        </is>
      </c>
      <c r="N4372" s="12" t="n">
        <v>1</v>
      </c>
      <c r="O4372" s="12" t="n">
        <v>1</v>
      </c>
      <c r="P4372" s="12" t="n"/>
      <c r="Q4372" s="12" t="n"/>
      <c r="R4372" s="12" t="n"/>
      <c r="S4372" s="12" t="inlineStr">
        <is>
          <t>Duct bank</t>
        </is>
      </c>
      <c r="T4372" s="16" t="n">
        <v>40</v>
      </c>
      <c r="U4372" s="16" t="n">
        <v>52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I-I-0015</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SC-1 inlet chiller / evaporative cooler</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6" t="n">
        <v>40</v>
      </c>
      <c r="U4373" s="16" t="n">
        <v>52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I-I-0016</t>
        </is>
      </c>
      <c r="B4374" s="12" t="inlineStr">
        <is>
          <t>I</t>
        </is>
      </c>
      <c r="C4374" s="12" t="inlineStr">
        <is>
          <t>Modular / portable power</t>
        </is>
      </c>
      <c r="D4374" s="12" t="inlineStr">
        <is>
          <t>Instrumentation</t>
        </is>
      </c>
      <c r="E4374" s="12" t="inlineStr"/>
      <c r="F4374" s="12" t="inlineStr">
        <is>
          <t>PCM: power control module</t>
        </is>
      </c>
      <c r="G4374" s="12" t="inlineStr"/>
      <c r="H4374" s="12" t="inlineStr">
        <is>
          <t>CONDITIONAL: SC-2 inlet chiller / evaporative cooler</t>
        </is>
      </c>
      <c r="I4374" s="12" t="inlineStr">
        <is>
          <t>Instrumentation</t>
        </is>
      </c>
      <c r="J4374" s="12" t="inlineStr">
        <is>
          <t>Instrumentation PLTC / TC-ER 300 V, #18 twisted shielded pairs, overall shield</t>
        </is>
      </c>
      <c r="K4374" s="12" t="inlineStr">
        <is>
          <t>PLTC|4 pr|18</t>
        </is>
      </c>
      <c r="L4374" s="12" t="inlineStr">
        <is>
          <t>4 pr</t>
        </is>
      </c>
      <c r="M4374" s="12" t="inlineStr">
        <is>
          <t>18</t>
        </is>
      </c>
      <c r="N4374" s="12" t="n">
        <v>1</v>
      </c>
      <c r="O4374" s="12" t="n">
        <v>1</v>
      </c>
      <c r="P4374" s="12" t="n"/>
      <c r="Q4374" s="12" t="n"/>
      <c r="R4374" s="12" t="n"/>
      <c r="S4374" s="12" t="inlineStr">
        <is>
          <t>HV duct bank</t>
        </is>
      </c>
      <c r="T4374" s="16" t="n">
        <v>4528</v>
      </c>
      <c r="U4374" s="16" t="n">
        <v>38</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I-I-0017</t>
        </is>
      </c>
      <c r="B4375" s="12" t="inlineStr">
        <is>
          <t>I</t>
        </is>
      </c>
      <c r="C4375" s="12" t="inlineStr">
        <is>
          <t>Modular / portable power</t>
        </is>
      </c>
      <c r="D4375" s="12" t="inlineStr">
        <is>
          <t>Thermocouples</t>
        </is>
      </c>
      <c r="E4375" s="12" t="inlineStr"/>
      <c r="F4375" s="12" t="inlineStr">
        <is>
          <t>PCM: power control module</t>
        </is>
      </c>
      <c r="G4375" s="12" t="inlineStr"/>
      <c r="H4375" s="12" t="inlineStr">
        <is>
          <t>CONDITIONAL: SC-2 inlet chiller / evaporative cooler</t>
        </is>
      </c>
      <c r="I4375" s="12" t="inlineStr">
        <is>
          <t>Instrumentation</t>
        </is>
      </c>
      <c r="J4375" s="12" t="inlineStr">
        <is>
          <t>Thermocouple extension KX, #16 shielded pairs, PLTC</t>
        </is>
      </c>
      <c r="K4375" s="12" t="inlineStr">
        <is>
          <t>TCX|12 pr|16</t>
        </is>
      </c>
      <c r="L4375" s="12" t="inlineStr">
        <is>
          <t>12 pr</t>
        </is>
      </c>
      <c r="M4375" s="12" t="inlineStr">
        <is>
          <t>16</t>
        </is>
      </c>
      <c r="N4375" s="12" t="n">
        <v>1</v>
      </c>
      <c r="O4375" s="12" t="n">
        <v>1</v>
      </c>
      <c r="P4375" s="12" t="n"/>
      <c r="Q4375" s="12" t="n"/>
      <c r="R4375" s="12" t="n"/>
      <c r="S4375" s="12" t="inlineStr">
        <is>
          <t>HV duct bank</t>
        </is>
      </c>
      <c r="T4375" s="16" t="n">
        <v>4528</v>
      </c>
      <c r="U4375" s="16" t="n">
        <v>38</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I-I-0018</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SC-2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HV duct bank</t>
        </is>
      </c>
      <c r="T4376" s="16" t="n">
        <v>4528</v>
      </c>
      <c r="U4376" s="16" t="n">
        <v>38</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I-I-0019</t>
        </is>
      </c>
      <c r="B4377" s="12" t="inlineStr">
        <is>
          <t>I</t>
        </is>
      </c>
      <c r="C4377" s="12" t="inlineStr">
        <is>
          <t>Modular / portable power</t>
        </is>
      </c>
      <c r="D4377" s="12" t="inlineStr">
        <is>
          <t>Analog instrument to JB JB-CONT-1-AI01: 20 x 1 pr (field cables)</t>
        </is>
      </c>
      <c r="E4377" s="12" t="inlineStr">
        <is>
          <t>CONT-1</t>
        </is>
      </c>
      <c r="F4377" s="12" t="inlineStr">
        <is>
          <t>CONT-1: containerized genset 13.8 kV (40 ft)</t>
        </is>
      </c>
      <c r="G4377" s="12" t="inlineStr">
        <is>
          <t>JB-CONT-1-AI01</t>
        </is>
      </c>
      <c r="H4377" s="12" t="inlineStr">
        <is>
          <t>CONT-1: containerized genset 13.8 kV (40 ft)</t>
        </is>
      </c>
      <c r="I4377" s="12" t="inlineStr">
        <is>
          <t>Instrumentation</t>
        </is>
      </c>
      <c r="J4377" s="12" t="inlineStr">
        <is>
          <t>Instrumentation PLTC / TC-ER 300 V, #18 twisted shielded pairs, overall shield</t>
        </is>
      </c>
      <c r="K4377" s="12" t="inlineStr">
        <is>
          <t>PLTC|1 pr|16</t>
        </is>
      </c>
      <c r="L4377" s="12" t="inlineStr">
        <is>
          <t>1 pr</t>
        </is>
      </c>
      <c r="M4377" s="12" t="inlineStr">
        <is>
          <t>16</t>
        </is>
      </c>
      <c r="N4377" s="12" t="n">
        <v>20</v>
      </c>
      <c r="O4377" s="12" t="n">
        <v>1</v>
      </c>
      <c r="P4377" s="12" t="n"/>
      <c r="Q4377" s="12" t="n"/>
      <c r="R4377" s="12" t="n"/>
      <c r="S4377" s="12" t="inlineStr">
        <is>
          <t>Tray / conduit</t>
        </is>
      </c>
      <c r="T4377" s="16" t="n">
        <v>54</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I-I-0020</t>
        </is>
      </c>
      <c r="B4378" s="12" t="inlineStr">
        <is>
          <t>I</t>
        </is>
      </c>
      <c r="C4378" s="12" t="inlineStr">
        <is>
          <t>Modular / portable power</t>
        </is>
      </c>
      <c r="D4378" s="12" t="inlineStr">
        <is>
          <t>Home run JB-CONT-1-AI01 to the control / marshalling room</t>
        </is>
      </c>
      <c r="E4378" s="12" t="inlineStr">
        <is>
          <t>PAD-EH</t>
        </is>
      </c>
      <c r="F4378" s="12" t="inlineStr">
        <is>
          <t>PAD-EH 13.8 kV switchgear e-house</t>
        </is>
      </c>
      <c r="G4378" s="12" t="inlineStr">
        <is>
          <t>JB-CONT-1-AI01</t>
        </is>
      </c>
      <c r="H4378" s="12" t="inlineStr">
        <is>
          <t>CONT-1: containerized genset 13.8 kV (40 ft)</t>
        </is>
      </c>
      <c r="I4378" s="12" t="inlineStr">
        <is>
          <t>Instrumentation</t>
        </is>
      </c>
      <c r="J4378" s="12" t="inlineStr">
        <is>
          <t>Instrumentation PLTC / TC-ER 300 V, #18 twisted shielded pairs, overall shield</t>
        </is>
      </c>
      <c r="K4378" s="12" t="inlineStr">
        <is>
          <t>PLTC|24 pr|18</t>
        </is>
      </c>
      <c r="L4378" s="12" t="inlineStr">
        <is>
          <t>24 pr</t>
        </is>
      </c>
      <c r="M4378" s="12" t="inlineStr">
        <is>
          <t>18</t>
        </is>
      </c>
      <c r="N4378" s="12" t="n">
        <v>1</v>
      </c>
      <c r="O4378" s="12" t="n">
        <v>1</v>
      </c>
      <c r="P4378" s="12" t="n"/>
      <c r="Q4378" s="12" t="n"/>
      <c r="R4378" s="12" t="n"/>
      <c r="S4378" s="12" t="inlineStr">
        <is>
          <t>Surface</t>
        </is>
      </c>
      <c r="T4378" s="16" t="n">
        <v>298</v>
      </c>
      <c r="U4378" s="16" t="n">
        <v>37</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I-I-0021</t>
        </is>
      </c>
      <c r="B4379" s="12" t="inlineStr">
        <is>
          <t>I</t>
        </is>
      </c>
      <c r="C4379" s="12" t="inlineStr">
        <is>
          <t>Modular / portable power</t>
        </is>
      </c>
      <c r="D4379" s="12" t="inlineStr">
        <is>
          <t>Discrete device to JB JB-CONT-1-DI01: 20 x 1 pr (field cables)</t>
        </is>
      </c>
      <c r="E4379" s="12" t="inlineStr">
        <is>
          <t>CONT-1</t>
        </is>
      </c>
      <c r="F4379" s="12" t="inlineStr">
        <is>
          <t>CONT-1: containerized genset 13.8 kV (40 ft)</t>
        </is>
      </c>
      <c r="G4379" s="12" t="inlineStr">
        <is>
          <t>JB-CONT-1-DI01</t>
        </is>
      </c>
      <c r="H4379" s="12" t="inlineStr">
        <is>
          <t>CONT-1: containerized genset 13.8 kV (40 ft)</t>
        </is>
      </c>
      <c r="I4379" s="12" t="inlineStr">
        <is>
          <t>Instrumentation</t>
        </is>
      </c>
      <c r="J4379" s="12" t="inlineStr">
        <is>
          <t>Instrumentation PLTC / TC-ER 300 V, #18 twisted shielded pairs, overall shield</t>
        </is>
      </c>
      <c r="K4379" s="12" t="inlineStr">
        <is>
          <t>PLTC|1 pr|16</t>
        </is>
      </c>
      <c r="L4379" s="12" t="inlineStr">
        <is>
          <t>1 pr</t>
        </is>
      </c>
      <c r="M4379" s="12" t="inlineStr">
        <is>
          <t>16</t>
        </is>
      </c>
      <c r="N4379" s="12" t="n">
        <v>20</v>
      </c>
      <c r="O4379" s="12" t="n">
        <v>1</v>
      </c>
      <c r="P4379" s="12" t="n"/>
      <c r="Q4379" s="12" t="n"/>
      <c r="R4379" s="12" t="n"/>
      <c r="S4379" s="12" t="inlineStr">
        <is>
          <t>Tray / conduit</t>
        </is>
      </c>
      <c r="T4379" s="16" t="n">
        <v>54</v>
      </c>
      <c r="U4379" s="16" t="n">
        <v>10</v>
      </c>
      <c r="V4379" s="16">
        <f>ROUNDUP((T4379+U4379+2*'Read Me'!$B$13)*(1+'Read Me'!$B$12),-1)</f>
        <v/>
      </c>
      <c r="W4379" s="16">
        <f>V4379*N4379*O4379</f>
        <v/>
      </c>
      <c r="X4379" s="12">
        <f>IF(LEFT(I4379,2)="MV",2*N4379*IF(L4379="1/C",O4379,1),0)</f>
        <v/>
      </c>
      <c r="Y4379" s="12">
        <f>IF(OR(LEFT(K4379,4)="LVAX",LEFT(K4379,6)="MV15AX",LEFT(K4379,4)="CTAX",LEFT(K4379,2)="W|"),2*N4379*O4379,0)</f>
        <v/>
      </c>
      <c r="Z4379" s="12" t="inlineStr">
        <is>
          <t>device-to-JB field wiring, one cable per device</t>
        </is>
      </c>
      <c r="AA4379" s="12">
        <f>N4379*O4379</f>
        <v/>
      </c>
    </row>
    <row r="4380">
      <c r="A4380" s="12" t="inlineStr">
        <is>
          <t>I-I-0022</t>
        </is>
      </c>
      <c r="B4380" s="12" t="inlineStr">
        <is>
          <t>I</t>
        </is>
      </c>
      <c r="C4380" s="12" t="inlineStr">
        <is>
          <t>Modular / portable power</t>
        </is>
      </c>
      <c r="D4380" s="12" t="inlineStr">
        <is>
          <t>Home run JB-CONT-1-DI01 to the control / marshalling room</t>
        </is>
      </c>
      <c r="E4380" s="12" t="inlineStr">
        <is>
          <t>PAD-EH</t>
        </is>
      </c>
      <c r="F4380" s="12" t="inlineStr">
        <is>
          <t>PAD-EH 13.8 kV switchgear e-house</t>
        </is>
      </c>
      <c r="G4380" s="12" t="inlineStr">
        <is>
          <t>JB-CONT-1-DI01</t>
        </is>
      </c>
      <c r="H4380" s="12" t="inlineStr">
        <is>
          <t>CONT-1: containerized genset 13.8 kV (40 ft)</t>
        </is>
      </c>
      <c r="I4380" s="12" t="inlineStr">
        <is>
          <t>Instrumentation</t>
        </is>
      </c>
      <c r="J4380" s="12" t="inlineStr">
        <is>
          <t>Instrumentation PLTC / TC-ER 300 V, #18 twisted shielded pairs, overall shield</t>
        </is>
      </c>
      <c r="K4380" s="12" t="inlineStr">
        <is>
          <t>PLTC|24 pr|18</t>
        </is>
      </c>
      <c r="L4380" s="12" t="inlineStr">
        <is>
          <t>24 pr</t>
        </is>
      </c>
      <c r="M4380" s="12" t="inlineStr">
        <is>
          <t>18</t>
        </is>
      </c>
      <c r="N4380" s="12" t="n">
        <v>1</v>
      </c>
      <c r="O4380" s="12" t="n">
        <v>1</v>
      </c>
      <c r="P4380" s="12" t="n"/>
      <c r="Q4380" s="12" t="n"/>
      <c r="R4380" s="12" t="n"/>
      <c r="S4380" s="12" t="inlineStr">
        <is>
          <t>Surface</t>
        </is>
      </c>
      <c r="T4380" s="16" t="n">
        <v>298</v>
      </c>
      <c r="U4380" s="16" t="n">
        <v>37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I-I-0023</t>
        </is>
      </c>
      <c r="B4381" s="12" t="inlineStr">
        <is>
          <t>I</t>
        </is>
      </c>
      <c r="C4381" s="12" t="inlineStr">
        <is>
          <t>Modular / portable power</t>
        </is>
      </c>
      <c r="D4381" s="12" t="inlineStr">
        <is>
          <t>Analog instrument to JB JB-CONT-2-AI01: 20 x 1 pr (field cables)</t>
        </is>
      </c>
      <c r="E4381" s="12" t="inlineStr">
        <is>
          <t>CONT-2</t>
        </is>
      </c>
      <c r="F4381" s="12" t="inlineStr">
        <is>
          <t>CONT-2: containerized genset 13.8 kV (40 ft)</t>
        </is>
      </c>
      <c r="G4381" s="12" t="inlineStr">
        <is>
          <t>JB-CONT-2-AI01</t>
        </is>
      </c>
      <c r="H4381" s="12" t="inlineStr">
        <is>
          <t>CONT-2: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6" t="n">
        <v>54</v>
      </c>
      <c r="U4381" s="16" t="n">
        <v>10</v>
      </c>
      <c r="V4381" s="16">
        <f>ROUNDUP((T4381+U4381+2*'Read Me'!$B$13)*(1+'Read Me'!$B$12),-1)</f>
        <v/>
      </c>
      <c r="W4381" s="16">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I-I-0024</t>
        </is>
      </c>
      <c r="B4382" s="12" t="inlineStr">
        <is>
          <t>I</t>
        </is>
      </c>
      <c r="C4382" s="12" t="inlineStr">
        <is>
          <t>Modular / portable power</t>
        </is>
      </c>
      <c r="D4382" s="12" t="inlineStr">
        <is>
          <t>Home run JB-CONT-2-AI01 to the control / marshalling room</t>
        </is>
      </c>
      <c r="E4382" s="12" t="inlineStr">
        <is>
          <t>PAD-EH</t>
        </is>
      </c>
      <c r="F4382" s="12" t="inlineStr">
        <is>
          <t>PAD-EH 13.8 kV switchgear e-house</t>
        </is>
      </c>
      <c r="G4382" s="12" t="inlineStr">
        <is>
          <t>JB-CONT-2-AI01</t>
        </is>
      </c>
      <c r="H4382" s="12" t="inlineStr">
        <is>
          <t>CONT-2: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6" t="n">
        <v>267</v>
      </c>
      <c r="U4382" s="16" t="n">
        <v>37</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I-I-0025</t>
        </is>
      </c>
      <c r="B4383" s="12" t="inlineStr">
        <is>
          <t>I</t>
        </is>
      </c>
      <c r="C4383" s="12" t="inlineStr">
        <is>
          <t>Modular / portable power</t>
        </is>
      </c>
      <c r="D4383" s="12" t="inlineStr">
        <is>
          <t>Discrete device to JB JB-CONT-2-DI01: 20 x 1 pr (field cables)</t>
        </is>
      </c>
      <c r="E4383" s="12" t="inlineStr">
        <is>
          <t>CONT-2</t>
        </is>
      </c>
      <c r="F4383" s="12" t="inlineStr">
        <is>
          <t>CONT-2: containerized genset 13.8 kV (40 ft)</t>
        </is>
      </c>
      <c r="G4383" s="12" t="inlineStr">
        <is>
          <t>JB-CONT-2-DI01</t>
        </is>
      </c>
      <c r="H4383" s="12" t="inlineStr">
        <is>
          <t>CONT-2: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6" t="n">
        <v>54</v>
      </c>
      <c r="U4383" s="16" t="n">
        <v>10</v>
      </c>
      <c r="V4383" s="16">
        <f>ROUNDUP((T4383+U4383+2*'Read Me'!$B$13)*(1+'Read Me'!$B$12),-1)</f>
        <v/>
      </c>
      <c r="W4383" s="16">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I-I-0026</t>
        </is>
      </c>
      <c r="B4384" s="12" t="inlineStr">
        <is>
          <t>I</t>
        </is>
      </c>
      <c r="C4384" s="12" t="inlineStr">
        <is>
          <t>Modular / portable power</t>
        </is>
      </c>
      <c r="D4384" s="12" t="inlineStr">
        <is>
          <t>Home run JB-CONT-2-DI01 to the control / marshalling room</t>
        </is>
      </c>
      <c r="E4384" s="12" t="inlineStr">
        <is>
          <t>PAD-EH</t>
        </is>
      </c>
      <c r="F4384" s="12" t="inlineStr">
        <is>
          <t>PAD-EH 13.8 kV switchgear e-house</t>
        </is>
      </c>
      <c r="G4384" s="12" t="inlineStr">
        <is>
          <t>JB-CONT-2-DI01</t>
        </is>
      </c>
      <c r="H4384" s="12" t="inlineStr">
        <is>
          <t>CONT-2: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6" t="n">
        <v>267</v>
      </c>
      <c r="U4384" s="16" t="n">
        <v>37</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I-I-0027</t>
        </is>
      </c>
      <c r="B4385" s="12" t="inlineStr">
        <is>
          <t>I</t>
        </is>
      </c>
      <c r="C4385" s="12" t="inlineStr">
        <is>
          <t>Modular / portable power</t>
        </is>
      </c>
      <c r="D4385" s="12" t="inlineStr">
        <is>
          <t>Analog instrument to JB JB-CONT-3-AI01: 20 x 1 pr (field cables)</t>
        </is>
      </c>
      <c r="E4385" s="12" t="inlineStr">
        <is>
          <t>CONT-3</t>
        </is>
      </c>
      <c r="F4385" s="12" t="inlineStr">
        <is>
          <t>CONT-3: containerized gas genset 13.8 kV (40 ft)</t>
        </is>
      </c>
      <c r="G4385" s="12" t="inlineStr">
        <is>
          <t>JB-CONT-3-AI01</t>
        </is>
      </c>
      <c r="H4385" s="12" t="inlineStr">
        <is>
          <t>CONT-3: containerized gas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6" t="n">
        <v>54</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I-I-0028</t>
        </is>
      </c>
      <c r="B4386" s="12" t="inlineStr">
        <is>
          <t>I</t>
        </is>
      </c>
      <c r="C4386" s="12" t="inlineStr">
        <is>
          <t>Modular / portable power</t>
        </is>
      </c>
      <c r="D4386" s="12" t="inlineStr">
        <is>
          <t>Home run JB-CONT-3-AI01 to the control / marshalling room</t>
        </is>
      </c>
      <c r="E4386" s="12" t="inlineStr">
        <is>
          <t>PAD-EH</t>
        </is>
      </c>
      <c r="F4386" s="12" t="inlineStr">
        <is>
          <t>PAD-EH 13.8 kV switchgear e-house</t>
        </is>
      </c>
      <c r="G4386" s="12" t="inlineStr">
        <is>
          <t>JB-CONT-3-AI01</t>
        </is>
      </c>
      <c r="H4386" s="12" t="inlineStr">
        <is>
          <t>CONT-3: containerized gas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6" t="n">
        <v>191</v>
      </c>
      <c r="U4386" s="16" t="n">
        <v>32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I-I-0029</t>
        </is>
      </c>
      <c r="B4387" s="12" t="inlineStr">
        <is>
          <t>I</t>
        </is>
      </c>
      <c r="C4387" s="12" t="inlineStr">
        <is>
          <t>Modular / portable power</t>
        </is>
      </c>
      <c r="D4387" s="12" t="inlineStr">
        <is>
          <t>Discrete device to JB JB-CONT-3-DI01: 20 x 1 pr (field cables)</t>
        </is>
      </c>
      <c r="E4387" s="12" t="inlineStr">
        <is>
          <t>CONT-3</t>
        </is>
      </c>
      <c r="F4387" s="12" t="inlineStr">
        <is>
          <t>CONT-3: containerized gas genset 13.8 kV (40 ft)</t>
        </is>
      </c>
      <c r="G4387" s="12" t="inlineStr">
        <is>
          <t>JB-CONT-3-DI01</t>
        </is>
      </c>
      <c r="H4387" s="12" t="inlineStr">
        <is>
          <t>CONT-3: containerized gas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6" t="n">
        <v>54</v>
      </c>
      <c r="U4387" s="16" t="n">
        <v>10</v>
      </c>
      <c r="V4387" s="16">
        <f>ROUNDUP((T4387+U4387+2*'Read Me'!$B$13)*(1+'Read Me'!$B$12),-1)</f>
        <v/>
      </c>
      <c r="W4387" s="16">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I-I-0030</t>
        </is>
      </c>
      <c r="B4388" s="12" t="inlineStr">
        <is>
          <t>I</t>
        </is>
      </c>
      <c r="C4388" s="12" t="inlineStr">
        <is>
          <t>Modular / portable power</t>
        </is>
      </c>
      <c r="D4388" s="12" t="inlineStr">
        <is>
          <t>Home run JB-CONT-3-DI01 to the control / marshalling room</t>
        </is>
      </c>
      <c r="E4388" s="12" t="inlineStr">
        <is>
          <t>PAD-EH</t>
        </is>
      </c>
      <c r="F4388" s="12" t="inlineStr">
        <is>
          <t>PAD-EH 13.8 kV switchgear e-house</t>
        </is>
      </c>
      <c r="G4388" s="12" t="inlineStr">
        <is>
          <t>JB-CONT-3-DI01</t>
        </is>
      </c>
      <c r="H4388" s="12" t="inlineStr">
        <is>
          <t>CONT-3: containerized gas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6" t="n">
        <v>191</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I-I-0031</t>
        </is>
      </c>
      <c r="B4389" s="12" t="inlineStr">
        <is>
          <t>I</t>
        </is>
      </c>
      <c r="C4389" s="12" t="inlineStr">
        <is>
          <t>Modular / portable power</t>
        </is>
      </c>
      <c r="D4389" s="12" t="inlineStr">
        <is>
          <t>Analog instrument to JB JB-CONT-4-AI01: 20 x 1 pr (field cables)</t>
        </is>
      </c>
      <c r="E4389" s="12" t="inlineStr">
        <is>
          <t>CONT-4</t>
        </is>
      </c>
      <c r="F4389" s="12" t="inlineStr">
        <is>
          <t>CONT-4: containerized gas genset 13.8 kV (40 ft)</t>
        </is>
      </c>
      <c r="G4389" s="12" t="inlineStr">
        <is>
          <t>JB-CONT-4-AI01</t>
        </is>
      </c>
      <c r="H4389" s="12" t="inlineStr">
        <is>
          <t>CONT-4: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6" t="n">
        <v>54</v>
      </c>
      <c r="U4389" s="16" t="n">
        <v>10</v>
      </c>
      <c r="V4389" s="16">
        <f>ROUNDUP((T4389+U4389+2*'Read Me'!$B$13)*(1+'Read Me'!$B$12),-1)</f>
        <v/>
      </c>
      <c r="W4389" s="16">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I-I-0032</t>
        </is>
      </c>
      <c r="B4390" s="12" t="inlineStr">
        <is>
          <t>I</t>
        </is>
      </c>
      <c r="C4390" s="12" t="inlineStr">
        <is>
          <t>Modular / portable power</t>
        </is>
      </c>
      <c r="D4390" s="12" t="inlineStr">
        <is>
          <t>Home run JB-CONT-4-AI01 to the control / marshalling room</t>
        </is>
      </c>
      <c r="E4390" s="12" t="inlineStr">
        <is>
          <t>PAD-EH</t>
        </is>
      </c>
      <c r="F4390" s="12" t="inlineStr">
        <is>
          <t>PAD-EH 13.8 kV switchgear e-house</t>
        </is>
      </c>
      <c r="G4390" s="12" t="inlineStr">
        <is>
          <t>JB-CONT-4-AI01</t>
        </is>
      </c>
      <c r="H4390" s="12" t="inlineStr">
        <is>
          <t>CONT-4: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Duct bank</t>
        </is>
      </c>
      <c r="T4390" s="16" t="n">
        <v>62</v>
      </c>
      <c r="U4390" s="16" t="n">
        <v>81</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I-I-0033</t>
        </is>
      </c>
      <c r="B4391" s="12" t="inlineStr">
        <is>
          <t>I</t>
        </is>
      </c>
      <c r="C4391" s="12" t="inlineStr">
        <is>
          <t>Modular / portable power</t>
        </is>
      </c>
      <c r="D4391" s="12" t="inlineStr">
        <is>
          <t>Discrete device to JB JB-CONT-4-DI01: 20 x 1 pr (field cables)</t>
        </is>
      </c>
      <c r="E4391" s="12" t="inlineStr">
        <is>
          <t>CONT-4</t>
        </is>
      </c>
      <c r="F4391" s="12" t="inlineStr">
        <is>
          <t>CONT-4: containerized gas genset 13.8 kV (40 ft)</t>
        </is>
      </c>
      <c r="G4391" s="12" t="inlineStr">
        <is>
          <t>JB-CONT-4-DI01</t>
        </is>
      </c>
      <c r="H4391" s="12" t="inlineStr">
        <is>
          <t>CONT-4: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6" t="n">
        <v>54</v>
      </c>
      <c r="U4391" s="16" t="n">
        <v>10</v>
      </c>
      <c r="V4391" s="16">
        <f>ROUNDUP((T4391+U4391+2*'Read Me'!$B$13)*(1+'Read Me'!$B$12),-1)</f>
        <v/>
      </c>
      <c r="W4391" s="16">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I-I-0034</t>
        </is>
      </c>
      <c r="B4392" s="12" t="inlineStr">
        <is>
          <t>I</t>
        </is>
      </c>
      <c r="C4392" s="12" t="inlineStr">
        <is>
          <t>Modular / portable power</t>
        </is>
      </c>
      <c r="D4392" s="12" t="inlineStr">
        <is>
          <t>Home run JB-CONT-4-DI01 to the control / marshalling room</t>
        </is>
      </c>
      <c r="E4392" s="12" t="inlineStr">
        <is>
          <t>PAD-EH</t>
        </is>
      </c>
      <c r="F4392" s="12" t="inlineStr">
        <is>
          <t>PAD-EH 13.8 kV switchgear e-house</t>
        </is>
      </c>
      <c r="G4392" s="12" t="inlineStr">
        <is>
          <t>JB-CONT-4-DI01</t>
        </is>
      </c>
      <c r="H4392" s="12" t="inlineStr">
        <is>
          <t>CONT-4: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Duct bank</t>
        </is>
      </c>
      <c r="T4392" s="16" t="n">
        <v>62</v>
      </c>
      <c r="U4392" s="16" t="n">
        <v>81</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I-I-0035</t>
        </is>
      </c>
      <c r="B4393" s="12" t="inlineStr">
        <is>
          <t>I</t>
        </is>
      </c>
      <c r="C4393" s="12" t="inlineStr">
        <is>
          <t>Modular / portable power</t>
        </is>
      </c>
      <c r="D4393" s="12" t="inlineStr">
        <is>
          <t>Analog instrument to JB JB-CONT-5-AI01: 20 x 1 pr (field cables)</t>
        </is>
      </c>
      <c r="E4393" s="12" t="inlineStr">
        <is>
          <t>CONT-5</t>
        </is>
      </c>
      <c r="F4393" s="12" t="inlineStr">
        <is>
          <t>CONT-5: containerized gas genset 13.8 kV (40 ft)</t>
        </is>
      </c>
      <c r="G4393" s="12" t="inlineStr">
        <is>
          <t>JB-CONT-5-AI01</t>
        </is>
      </c>
      <c r="H4393" s="12" t="inlineStr">
        <is>
          <t>CONT-5: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6" t="n">
        <v>54</v>
      </c>
      <c r="U4393" s="16" t="n">
        <v>10</v>
      </c>
      <c r="V4393" s="16">
        <f>ROUNDUP((T4393+U4393+2*'Read Me'!$B$13)*(1+'Read Me'!$B$12),-1)</f>
        <v/>
      </c>
      <c r="W4393" s="16">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I-I-0036</t>
        </is>
      </c>
      <c r="B4394" s="12" t="inlineStr">
        <is>
          <t>I</t>
        </is>
      </c>
      <c r="C4394" s="12" t="inlineStr">
        <is>
          <t>Modular / portable power</t>
        </is>
      </c>
      <c r="D4394" s="12" t="inlineStr">
        <is>
          <t>Home run JB-CONT-5-AI01 to the control / marshalling room</t>
        </is>
      </c>
      <c r="E4394" s="12" t="inlineStr">
        <is>
          <t>PAD-EH</t>
        </is>
      </c>
      <c r="F4394" s="12" t="inlineStr">
        <is>
          <t>PAD-EH 13.8 kV switchgear e-house</t>
        </is>
      </c>
      <c r="G4394" s="12" t="inlineStr">
        <is>
          <t>JB-CONT-5-AI01</t>
        </is>
      </c>
      <c r="H4394" s="12" t="inlineStr">
        <is>
          <t>CONT-5: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Duct bank</t>
        </is>
      </c>
      <c r="T4394" s="16" t="n">
        <v>25</v>
      </c>
      <c r="U4394" s="16" t="n">
        <v>58</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I-I-0037</t>
        </is>
      </c>
      <c r="B4395" s="12" t="inlineStr">
        <is>
          <t>I</t>
        </is>
      </c>
      <c r="C4395" s="12" t="inlineStr">
        <is>
          <t>Modular / portable power</t>
        </is>
      </c>
      <c r="D4395" s="12" t="inlineStr">
        <is>
          <t>Discrete device to JB JB-CONT-5-DI01: 20 x 1 pr (field cables)</t>
        </is>
      </c>
      <c r="E4395" s="12" t="inlineStr">
        <is>
          <t>CONT-5</t>
        </is>
      </c>
      <c r="F4395" s="12" t="inlineStr">
        <is>
          <t>CONT-5: containerized gas genset 13.8 kV (40 ft)</t>
        </is>
      </c>
      <c r="G4395" s="12" t="inlineStr">
        <is>
          <t>JB-CONT-5-DI01</t>
        </is>
      </c>
      <c r="H4395" s="12" t="inlineStr">
        <is>
          <t>CONT-5: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6" t="n">
        <v>54</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I-I-0038</t>
        </is>
      </c>
      <c r="B4396" s="12" t="inlineStr">
        <is>
          <t>I</t>
        </is>
      </c>
      <c r="C4396" s="12" t="inlineStr">
        <is>
          <t>Modular / portable power</t>
        </is>
      </c>
      <c r="D4396" s="12" t="inlineStr">
        <is>
          <t>Home run JB-CONT-5-DI01 to the control / marshalling room</t>
        </is>
      </c>
      <c r="E4396" s="12" t="inlineStr">
        <is>
          <t>PAD-EH</t>
        </is>
      </c>
      <c r="F4396" s="12" t="inlineStr">
        <is>
          <t>PAD-EH 13.8 kV switchgear e-house</t>
        </is>
      </c>
      <c r="G4396" s="12" t="inlineStr">
        <is>
          <t>JB-CONT-5-DI01</t>
        </is>
      </c>
      <c r="H4396" s="12" t="inlineStr">
        <is>
          <t>CONT-5: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Duct bank</t>
        </is>
      </c>
      <c r="T4396" s="16" t="n">
        <v>25</v>
      </c>
      <c r="U4396" s="16" t="n">
        <v>58</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I-I-0039</t>
        </is>
      </c>
      <c r="B4397" s="12" t="inlineStr">
        <is>
          <t>I</t>
        </is>
      </c>
      <c r="C4397" s="12" t="inlineStr">
        <is>
          <t>Modular / portable power</t>
        </is>
      </c>
      <c r="D4397" s="12" t="inlineStr">
        <is>
          <t>Analog instrument to JB JB-CONT-6-AI01: 20 x 1 pr (field cables)</t>
        </is>
      </c>
      <c r="E4397" s="12" t="inlineStr">
        <is>
          <t>CONT-6</t>
        </is>
      </c>
      <c r="F4397" s="12" t="inlineStr">
        <is>
          <t>CONT-6: containerized gas genset 13.8 kV (40 ft)</t>
        </is>
      </c>
      <c r="G4397" s="12" t="inlineStr">
        <is>
          <t>JB-CONT-6-AI01</t>
        </is>
      </c>
      <c r="H4397" s="12" t="inlineStr">
        <is>
          <t>CONT-6: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6" t="n">
        <v>54</v>
      </c>
      <c r="U4397" s="16" t="n">
        <v>10</v>
      </c>
      <c r="V4397" s="16">
        <f>ROUNDUP((T4397+U4397+2*'Read Me'!$B$13)*(1+'Read Me'!$B$12),-1)</f>
        <v/>
      </c>
      <c r="W4397" s="16">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I-I-0040</t>
        </is>
      </c>
      <c r="B4398" s="12" t="inlineStr">
        <is>
          <t>I</t>
        </is>
      </c>
      <c r="C4398" s="12" t="inlineStr">
        <is>
          <t>Modular / portable power</t>
        </is>
      </c>
      <c r="D4398" s="12" t="inlineStr">
        <is>
          <t>Home run JB-CONT-6-AI01 to the control / marshalling room</t>
        </is>
      </c>
      <c r="E4398" s="12" t="inlineStr">
        <is>
          <t>PAD-EH</t>
        </is>
      </c>
      <c r="F4398" s="12" t="inlineStr">
        <is>
          <t>PAD-EH 13.8 kV switchgear e-house</t>
        </is>
      </c>
      <c r="G4398" s="12" t="inlineStr">
        <is>
          <t>JB-CONT-6-AI01</t>
        </is>
      </c>
      <c r="H4398" s="12" t="inlineStr">
        <is>
          <t>CONT-6: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6" t="n">
        <v>228</v>
      </c>
      <c r="U4398" s="16" t="n">
        <v>46</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I-I-0041</t>
        </is>
      </c>
      <c r="B4399" s="12" t="inlineStr">
        <is>
          <t>I</t>
        </is>
      </c>
      <c r="C4399" s="12" t="inlineStr">
        <is>
          <t>Modular / portable power</t>
        </is>
      </c>
      <c r="D4399" s="12" t="inlineStr">
        <is>
          <t>Discrete device to JB JB-CONT-6-DI01: 20 x 1 pr (field cables)</t>
        </is>
      </c>
      <c r="E4399" s="12" t="inlineStr">
        <is>
          <t>CONT-6</t>
        </is>
      </c>
      <c r="F4399" s="12" t="inlineStr">
        <is>
          <t>CONT-6: containerized gas genset 13.8 kV (40 ft)</t>
        </is>
      </c>
      <c r="G4399" s="12" t="inlineStr">
        <is>
          <t>JB-CONT-6-DI01</t>
        </is>
      </c>
      <c r="H4399" s="12" t="inlineStr">
        <is>
          <t>CONT-6: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6" t="n">
        <v>54</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I-I-0042</t>
        </is>
      </c>
      <c r="B4400" s="12" t="inlineStr">
        <is>
          <t>I</t>
        </is>
      </c>
      <c r="C4400" s="12" t="inlineStr">
        <is>
          <t>Modular / portable power</t>
        </is>
      </c>
      <c r="D4400" s="12" t="inlineStr">
        <is>
          <t>Home run JB-CONT-6-DI01 to the control / marshalling room</t>
        </is>
      </c>
      <c r="E4400" s="12" t="inlineStr">
        <is>
          <t>PAD-EH</t>
        </is>
      </c>
      <c r="F4400" s="12" t="inlineStr">
        <is>
          <t>PAD-EH 13.8 kV switchgear e-house</t>
        </is>
      </c>
      <c r="G4400" s="12" t="inlineStr">
        <is>
          <t>JB-CONT-6-DI01</t>
        </is>
      </c>
      <c r="H4400" s="12" t="inlineStr">
        <is>
          <t>CONT-6: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6" t="n">
        <v>228</v>
      </c>
      <c r="U4400" s="16" t="n">
        <v>46</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I-I-0043</t>
        </is>
      </c>
      <c r="B4401" s="12" t="inlineStr">
        <is>
          <t>I</t>
        </is>
      </c>
      <c r="C4401" s="12" t="inlineStr">
        <is>
          <t>Modular / portable power</t>
        </is>
      </c>
      <c r="D4401" s="12" t="inlineStr">
        <is>
          <t>Analog instrument to JB JB-CONT-7-AI01: 20 x 1 pr (field cables)</t>
        </is>
      </c>
      <c r="E4401" s="12" t="inlineStr">
        <is>
          <t>CONT-7</t>
        </is>
      </c>
      <c r="F4401" s="12" t="inlineStr">
        <is>
          <t>CONT-7: containerized gas genset 13.8 kV (40 ft)</t>
        </is>
      </c>
      <c r="G4401" s="12" t="inlineStr">
        <is>
          <t>JB-CONT-7-AI01</t>
        </is>
      </c>
      <c r="H4401" s="12" t="inlineStr">
        <is>
          <t>CONT-7: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6" t="n">
        <v>54</v>
      </c>
      <c r="U4401" s="16" t="n">
        <v>10</v>
      </c>
      <c r="V4401" s="16">
        <f>ROUNDUP((T4401+U4401+2*'Read Me'!$B$13)*(1+'Read Me'!$B$12),-1)</f>
        <v/>
      </c>
      <c r="W4401" s="16">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I-I-0044</t>
        </is>
      </c>
      <c r="B4402" s="12" t="inlineStr">
        <is>
          <t>I</t>
        </is>
      </c>
      <c r="C4402" s="12" t="inlineStr">
        <is>
          <t>Modular / portable power</t>
        </is>
      </c>
      <c r="D4402" s="12" t="inlineStr">
        <is>
          <t>Home run JB-CONT-7-AI01 to the control / marshalling room</t>
        </is>
      </c>
      <c r="E4402" s="12" t="inlineStr">
        <is>
          <t>PAD-EH</t>
        </is>
      </c>
      <c r="F4402" s="12" t="inlineStr">
        <is>
          <t>PAD-EH 13.8 kV switchgear e-house</t>
        </is>
      </c>
      <c r="G4402" s="12" t="inlineStr">
        <is>
          <t>JB-CONT-7-AI01</t>
        </is>
      </c>
      <c r="H4402" s="12" t="inlineStr">
        <is>
          <t>CONT-7: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6" t="n">
        <v>228</v>
      </c>
      <c r="U4402" s="16" t="n">
        <v>46</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I-I-0045</t>
        </is>
      </c>
      <c r="B4403" s="12" t="inlineStr">
        <is>
          <t>I</t>
        </is>
      </c>
      <c r="C4403" s="12" t="inlineStr">
        <is>
          <t>Modular / portable power</t>
        </is>
      </c>
      <c r="D4403" s="12" t="inlineStr">
        <is>
          <t>Discrete device to JB JB-CONT-7-DI01: 20 x 1 pr (field cables)</t>
        </is>
      </c>
      <c r="E4403" s="12" t="inlineStr">
        <is>
          <t>CONT-7</t>
        </is>
      </c>
      <c r="F4403" s="12" t="inlineStr">
        <is>
          <t>CONT-7: containerized gas genset 13.8 kV (40 ft)</t>
        </is>
      </c>
      <c r="G4403" s="12" t="inlineStr">
        <is>
          <t>JB-CONT-7-DI01</t>
        </is>
      </c>
      <c r="H4403" s="12" t="inlineStr">
        <is>
          <t>CONT-7: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6" t="n">
        <v>54</v>
      </c>
      <c r="U4403" s="16" t="n">
        <v>10</v>
      </c>
      <c r="V4403" s="16">
        <f>ROUNDUP((T4403+U4403+2*'Read Me'!$B$13)*(1+'Read Me'!$B$12),-1)</f>
        <v/>
      </c>
      <c r="W4403" s="16">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I-I-0046</t>
        </is>
      </c>
      <c r="B4404" s="12" t="inlineStr">
        <is>
          <t>I</t>
        </is>
      </c>
      <c r="C4404" s="12" t="inlineStr">
        <is>
          <t>Modular / portable power</t>
        </is>
      </c>
      <c r="D4404" s="12" t="inlineStr">
        <is>
          <t>Home run JB-CONT-7-DI01 to the control / marshalling room</t>
        </is>
      </c>
      <c r="E4404" s="12" t="inlineStr">
        <is>
          <t>PAD-EH</t>
        </is>
      </c>
      <c r="F4404" s="12" t="inlineStr">
        <is>
          <t>PAD-EH 13.8 kV switchgear e-house</t>
        </is>
      </c>
      <c r="G4404" s="12" t="inlineStr">
        <is>
          <t>JB-CONT-7-DI01</t>
        </is>
      </c>
      <c r="H4404" s="12" t="inlineStr">
        <is>
          <t>CONT-7: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6" t="n">
        <v>228</v>
      </c>
      <c r="U4404" s="16" t="n">
        <v>46</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I-I-0047</t>
        </is>
      </c>
      <c r="B4405" s="12" t="inlineStr">
        <is>
          <t>I</t>
        </is>
      </c>
      <c r="C4405" s="12" t="inlineStr">
        <is>
          <t>Modular / portable power</t>
        </is>
      </c>
      <c r="D4405" s="12" t="inlineStr">
        <is>
          <t>Analog instrument to JB JB-CONT-8-AI01: 20 x 1 pr (field cables)</t>
        </is>
      </c>
      <c r="E4405" s="12" t="inlineStr">
        <is>
          <t>CONT-8</t>
        </is>
      </c>
      <c r="F4405" s="12" t="inlineStr">
        <is>
          <t>CONT-8: containerized gas genset 13.8 kV (40 ft)</t>
        </is>
      </c>
      <c r="G4405" s="12" t="inlineStr">
        <is>
          <t>JB-CONT-8-AI01</t>
        </is>
      </c>
      <c r="H4405" s="12" t="inlineStr">
        <is>
          <t>CONT-8: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6" t="n">
        <v>54</v>
      </c>
      <c r="U4405" s="16" t="n">
        <v>10</v>
      </c>
      <c r="V4405" s="16">
        <f>ROUNDUP((T4405+U4405+2*'Read Me'!$B$13)*(1+'Read Me'!$B$12),-1)</f>
        <v/>
      </c>
      <c r="W4405" s="16">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I-I-0048</t>
        </is>
      </c>
      <c r="B4406" s="12" t="inlineStr">
        <is>
          <t>I</t>
        </is>
      </c>
      <c r="C4406" s="12" t="inlineStr">
        <is>
          <t>Modular / portable power</t>
        </is>
      </c>
      <c r="D4406" s="12" t="inlineStr">
        <is>
          <t>Home run JB-CONT-8-AI01 to the control / marshalling room</t>
        </is>
      </c>
      <c r="E4406" s="12" t="inlineStr">
        <is>
          <t>PAD-EH</t>
        </is>
      </c>
      <c r="F4406" s="12" t="inlineStr">
        <is>
          <t>PAD-EH 13.8 kV switchgear e-house</t>
        </is>
      </c>
      <c r="G4406" s="12" t="inlineStr">
        <is>
          <t>JB-CONT-8-AI01</t>
        </is>
      </c>
      <c r="H4406" s="12" t="inlineStr">
        <is>
          <t>CONT-8: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6" t="n">
        <v>16</v>
      </c>
      <c r="U4406" s="16" t="n">
        <v>117</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I-I-0049</t>
        </is>
      </c>
      <c r="B4407" s="12" t="inlineStr">
        <is>
          <t>I</t>
        </is>
      </c>
      <c r="C4407" s="12" t="inlineStr">
        <is>
          <t>Modular / portable power</t>
        </is>
      </c>
      <c r="D4407" s="12" t="inlineStr">
        <is>
          <t>Discrete device to JB JB-CONT-8-DI01: 20 x 1 pr (field cables)</t>
        </is>
      </c>
      <c r="E4407" s="12" t="inlineStr">
        <is>
          <t>CONT-8</t>
        </is>
      </c>
      <c r="F4407" s="12" t="inlineStr">
        <is>
          <t>CONT-8: containerized gas genset 13.8 kV (40 ft)</t>
        </is>
      </c>
      <c r="G4407" s="12" t="inlineStr">
        <is>
          <t>JB-CONT-8-DI01</t>
        </is>
      </c>
      <c r="H4407" s="12" t="inlineStr">
        <is>
          <t>CONT-8: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6" t="n">
        <v>54</v>
      </c>
      <c r="U4407" s="16" t="n">
        <v>10</v>
      </c>
      <c r="V4407" s="16">
        <f>ROUNDUP((T4407+U4407+2*'Read Me'!$B$13)*(1+'Read Me'!$B$12),-1)</f>
        <v/>
      </c>
      <c r="W4407" s="16">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I-I-0050</t>
        </is>
      </c>
      <c r="B4408" s="12" t="inlineStr">
        <is>
          <t>I</t>
        </is>
      </c>
      <c r="C4408" s="12" t="inlineStr">
        <is>
          <t>Modular / portable power</t>
        </is>
      </c>
      <c r="D4408" s="12" t="inlineStr">
        <is>
          <t>Home run JB-CONT-8-DI01 to the control / marshalling room</t>
        </is>
      </c>
      <c r="E4408" s="12" t="inlineStr">
        <is>
          <t>PAD-EH</t>
        </is>
      </c>
      <c r="F4408" s="12" t="inlineStr">
        <is>
          <t>PAD-EH 13.8 kV switchgear e-house</t>
        </is>
      </c>
      <c r="G4408" s="12" t="inlineStr">
        <is>
          <t>JB-CONT-8-DI01</t>
        </is>
      </c>
      <c r="H4408" s="12" t="inlineStr">
        <is>
          <t>CONT-8: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6" t="n">
        <v>16</v>
      </c>
      <c r="U4408" s="16" t="n">
        <v>117</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I-I-0051</t>
        </is>
      </c>
      <c r="B4409" s="12" t="inlineStr">
        <is>
          <t>I</t>
        </is>
      </c>
      <c r="C4409" s="12" t="inlineStr">
        <is>
          <t>Modular / portable power</t>
        </is>
      </c>
      <c r="D4409" s="12" t="inlineStr">
        <is>
          <t>Analog instrument to JB JB-Demin tank + trail-AI01: 4 x 1 pr (field cables)</t>
        </is>
      </c>
      <c r="E4409" s="12" t="inlineStr"/>
      <c r="F4409" s="12" t="inlineStr">
        <is>
          <t>Demin tank + trailer pad</t>
        </is>
      </c>
      <c r="G4409" s="12" t="inlineStr">
        <is>
          <t>JB-Demin tank + trail-AI01</t>
        </is>
      </c>
      <c r="H4409" s="12" t="inlineStr">
        <is>
          <t>Demin tank + trailer pad</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4</v>
      </c>
      <c r="O4409" s="12" t="n">
        <v>1</v>
      </c>
      <c r="P4409" s="12" t="n"/>
      <c r="Q4409" s="12" t="n"/>
      <c r="R4409" s="12" t="n"/>
      <c r="S4409" s="12" t="inlineStr">
        <is>
          <t>Tray / conduit</t>
        </is>
      </c>
      <c r="T4409" s="16" t="n">
        <v>78</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I-I-0052</t>
        </is>
      </c>
      <c r="B4410" s="12" t="inlineStr">
        <is>
          <t>I</t>
        </is>
      </c>
      <c r="C4410" s="12" t="inlineStr">
        <is>
          <t>Modular / portable power</t>
        </is>
      </c>
      <c r="D4410" s="12" t="inlineStr">
        <is>
          <t>Home run JB-Demin tank + trail-AI01 to the control / marshalling room</t>
        </is>
      </c>
      <c r="E4410" s="12" t="inlineStr"/>
      <c r="F4410" s="12" t="inlineStr">
        <is>
          <t>PCM: power control module</t>
        </is>
      </c>
      <c r="G4410" s="12" t="inlineStr">
        <is>
          <t>JB-Demin tank + trail-AI01</t>
        </is>
      </c>
      <c r="H4410" s="12" t="inlineStr">
        <is>
          <t>Demin tank + trailer pad</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HV duct bank</t>
        </is>
      </c>
      <c r="T4410" s="16" t="n">
        <v>4353</v>
      </c>
      <c r="U4410" s="16" t="n">
        <v>73</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I-I-0053</t>
        </is>
      </c>
      <c r="B4411" s="12" t="inlineStr">
        <is>
          <t>I</t>
        </is>
      </c>
      <c r="C4411" s="12" t="inlineStr">
        <is>
          <t>Modular / portable power</t>
        </is>
      </c>
      <c r="D4411" s="12" t="inlineStr">
        <is>
          <t>Discrete device to JB JB-Demin tank + trail-DI01: 4 x 1 pr (field cables)</t>
        </is>
      </c>
      <c r="E4411" s="12" t="inlineStr"/>
      <c r="F4411" s="12" t="inlineStr">
        <is>
          <t>Demin tank + trailer pad</t>
        </is>
      </c>
      <c r="G4411" s="12" t="inlineStr">
        <is>
          <t>JB-Demin tank + trail-DI01</t>
        </is>
      </c>
      <c r="H4411" s="12" t="inlineStr">
        <is>
          <t>Demin tank + trailer pad</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4</v>
      </c>
      <c r="O4411" s="12" t="n">
        <v>1</v>
      </c>
      <c r="P4411" s="12" t="n"/>
      <c r="Q4411" s="12" t="n"/>
      <c r="R4411" s="12" t="n"/>
      <c r="S4411" s="12" t="inlineStr">
        <is>
          <t>Tray / conduit</t>
        </is>
      </c>
      <c r="T4411" s="16" t="n">
        <v>78</v>
      </c>
      <c r="U4411" s="16" t="n">
        <v>10</v>
      </c>
      <c r="V4411" s="16">
        <f>ROUNDUP((T4411+U4411+2*'Read Me'!$B$13)*(1+'Read Me'!$B$12),-1)</f>
        <v/>
      </c>
      <c r="W4411" s="16">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I-I-0054</t>
        </is>
      </c>
      <c r="B4412" s="12" t="inlineStr">
        <is>
          <t>I</t>
        </is>
      </c>
      <c r="C4412" s="12" t="inlineStr">
        <is>
          <t>Modular / portable power</t>
        </is>
      </c>
      <c r="D4412" s="12" t="inlineStr">
        <is>
          <t>Home run JB-Demin tank + trail-DI01 to the control / marshalling room</t>
        </is>
      </c>
      <c r="E4412" s="12" t="inlineStr"/>
      <c r="F4412" s="12" t="inlineStr">
        <is>
          <t>PCM: power control module</t>
        </is>
      </c>
      <c r="G4412" s="12" t="inlineStr">
        <is>
          <t>JB-Demin tank + trail-DI01</t>
        </is>
      </c>
      <c r="H4412" s="12" t="inlineStr">
        <is>
          <t>Demin tank + trailer pad</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HV duct bank</t>
        </is>
      </c>
      <c r="T4412" s="16" t="n">
        <v>4353</v>
      </c>
      <c r="U4412" s="16" t="n">
        <v>73</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I-I-0055</t>
        </is>
      </c>
      <c r="B4413" s="12" t="inlineStr">
        <is>
          <t>I</t>
        </is>
      </c>
      <c r="C4413" s="12" t="inlineStr">
        <is>
          <t>Modular / portable power</t>
        </is>
      </c>
      <c r="D4413" s="12" t="inlineStr">
        <is>
          <t>Analog instrument to JB JB-FC-10-AI01: 10 x 1 pr (field cables)</t>
        </is>
      </c>
      <c r="E4413" s="12" t="inlineStr">
        <is>
          <t>FC-10</t>
        </is>
      </c>
      <c r="F4413" s="12" t="inlineStr">
        <is>
          <t>FC-10: SOFC module (Bloom ES5 class, 200-300 kW)</t>
        </is>
      </c>
      <c r="G4413" s="12" t="inlineStr">
        <is>
          <t>JB-FC-10-AI01</t>
        </is>
      </c>
      <c r="H4413" s="12" t="inlineStr">
        <is>
          <t>FC-10: SOFC module (Bloom ES5 class, 200-300 kW)</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10</v>
      </c>
      <c r="O4413" s="12" t="n">
        <v>1</v>
      </c>
      <c r="P4413" s="12" t="n"/>
      <c r="Q4413" s="12" t="n"/>
      <c r="R4413" s="12" t="n"/>
      <c r="S4413" s="12" t="inlineStr">
        <is>
          <t>Tray / conduit</t>
        </is>
      </c>
      <c r="T4413" s="16" t="n">
        <v>45</v>
      </c>
      <c r="U4413" s="16" t="n">
        <v>10</v>
      </c>
      <c r="V4413" s="16">
        <f>ROUNDUP((T4413+U4413+2*'Read Me'!$B$13)*(1+'Read Me'!$B$12),-1)</f>
        <v/>
      </c>
      <c r="W4413" s="16">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I-I-0056</t>
        </is>
      </c>
      <c r="B4414" s="12" t="inlineStr">
        <is>
          <t>I</t>
        </is>
      </c>
      <c r="C4414" s="12" t="inlineStr">
        <is>
          <t>Modular / portable power</t>
        </is>
      </c>
      <c r="D4414" s="12" t="inlineStr">
        <is>
          <t>Home run JB-FC-10-AI01 to the control / marshalling room</t>
        </is>
      </c>
      <c r="E4414" s="12" t="inlineStr">
        <is>
          <t>PAD-EH</t>
        </is>
      </c>
      <c r="F4414" s="12" t="inlineStr">
        <is>
          <t>PAD-EH 13.8 kV switchgear e-house</t>
        </is>
      </c>
      <c r="G4414" s="12" t="inlineStr">
        <is>
          <t>JB-FC-10-AI01</t>
        </is>
      </c>
      <c r="H4414" s="12" t="inlineStr">
        <is>
          <t>FC-10: SOFC module (Bloom ES5 class, 200-300 kW)</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Duct bank</t>
        </is>
      </c>
      <c r="T4414" s="16" t="n">
        <v>286</v>
      </c>
      <c r="U4414" s="16" t="n">
        <v>50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I-I-0057</t>
        </is>
      </c>
      <c r="B4415" s="12" t="inlineStr">
        <is>
          <t>I</t>
        </is>
      </c>
      <c r="C4415" s="12" t="inlineStr">
        <is>
          <t>Modular / portable power</t>
        </is>
      </c>
      <c r="D4415" s="12" t="inlineStr">
        <is>
          <t>Discrete device to JB JB-FC-10-DI01: 10 x 1 pr (field cables)</t>
        </is>
      </c>
      <c r="E4415" s="12" t="inlineStr">
        <is>
          <t>FC-10</t>
        </is>
      </c>
      <c r="F4415" s="12" t="inlineStr">
        <is>
          <t>FC-10: SOFC module (Bloom ES5 class, 200-300 kW)</t>
        </is>
      </c>
      <c r="G4415" s="12" t="inlineStr">
        <is>
          <t>JB-FC-10-DI01</t>
        </is>
      </c>
      <c r="H4415" s="12" t="inlineStr">
        <is>
          <t>FC-10: SOFC module (Bloom ES5 class, 200-300 kW)</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10</v>
      </c>
      <c r="O4415" s="12" t="n">
        <v>1</v>
      </c>
      <c r="P4415" s="12" t="n"/>
      <c r="Q4415" s="12" t="n"/>
      <c r="R4415" s="12" t="n"/>
      <c r="S4415" s="12" t="inlineStr">
        <is>
          <t>Tray / conduit</t>
        </is>
      </c>
      <c r="T4415" s="16" t="n">
        <v>45</v>
      </c>
      <c r="U4415" s="16" t="n">
        <v>10</v>
      </c>
      <c r="V4415" s="16">
        <f>ROUNDUP((T4415+U4415+2*'Read Me'!$B$13)*(1+'Read Me'!$B$12),-1)</f>
        <v/>
      </c>
      <c r="W4415" s="16">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I-I-0058</t>
        </is>
      </c>
      <c r="B4416" s="12" t="inlineStr">
        <is>
          <t>I</t>
        </is>
      </c>
      <c r="C4416" s="12" t="inlineStr">
        <is>
          <t>Modular / portable power</t>
        </is>
      </c>
      <c r="D4416" s="12" t="inlineStr">
        <is>
          <t>Home run JB-FC-10-DI01 to the control / marshalling room</t>
        </is>
      </c>
      <c r="E4416" s="12" t="inlineStr">
        <is>
          <t>PAD-EH</t>
        </is>
      </c>
      <c r="F4416" s="12" t="inlineStr">
        <is>
          <t>PAD-EH 13.8 kV switchgear e-house</t>
        </is>
      </c>
      <c r="G4416" s="12" t="inlineStr">
        <is>
          <t>JB-FC-10-DI01</t>
        </is>
      </c>
      <c r="H4416" s="12" t="inlineStr">
        <is>
          <t>FC-10: SOFC module (Bloom ES5 class, 200-300 kW)</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Duct bank</t>
        </is>
      </c>
      <c r="T4416" s="16" t="n">
        <v>286</v>
      </c>
      <c r="U4416" s="16" t="n">
        <v>50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I-I-0059</t>
        </is>
      </c>
      <c r="B4417" s="12" t="inlineStr">
        <is>
          <t>I</t>
        </is>
      </c>
      <c r="C4417" s="12" t="inlineStr">
        <is>
          <t>Modular / portable power</t>
        </is>
      </c>
      <c r="D4417" s="12" t="inlineStr">
        <is>
          <t>Analog instrument to JB JB-FC-11-AI01: 10 x 1 pr (field cables)</t>
        </is>
      </c>
      <c r="E4417" s="12" t="inlineStr">
        <is>
          <t>FC-11</t>
        </is>
      </c>
      <c r="F4417" s="12" t="inlineStr">
        <is>
          <t>FC-11: SOFC module (Bloom ES5 class, 200-300 kW)</t>
        </is>
      </c>
      <c r="G4417" s="12" t="inlineStr">
        <is>
          <t>JB-FC-11-AI01</t>
        </is>
      </c>
      <c r="H4417" s="12" t="inlineStr">
        <is>
          <t>FC-11: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6" t="n">
        <v>45</v>
      </c>
      <c r="U4417" s="16" t="n">
        <v>10</v>
      </c>
      <c r="V4417" s="16">
        <f>ROUNDUP((T4417+U4417+2*'Read Me'!$B$13)*(1+'Read Me'!$B$12),-1)</f>
        <v/>
      </c>
      <c r="W4417" s="16">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I-I-0060</t>
        </is>
      </c>
      <c r="B4418" s="12" t="inlineStr">
        <is>
          <t>I</t>
        </is>
      </c>
      <c r="C4418" s="12" t="inlineStr">
        <is>
          <t>Modular / portable power</t>
        </is>
      </c>
      <c r="D4418" s="12" t="inlineStr">
        <is>
          <t>Home run JB-FC-11-AI01 to the control / marshalling room</t>
        </is>
      </c>
      <c r="E4418" s="12" t="inlineStr">
        <is>
          <t>PAD-EH</t>
        </is>
      </c>
      <c r="F4418" s="12" t="inlineStr">
        <is>
          <t>PAD-EH 13.8 kV switchgear e-house</t>
        </is>
      </c>
      <c r="G4418" s="12" t="inlineStr">
        <is>
          <t>JB-FC-11-AI01</t>
        </is>
      </c>
      <c r="H4418" s="12" t="inlineStr">
        <is>
          <t>FC-11: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Duct bank</t>
        </is>
      </c>
      <c r="T4418" s="16" t="n">
        <v>272</v>
      </c>
      <c r="U4418" s="16" t="n">
        <v>50</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I-I-0061</t>
        </is>
      </c>
      <c r="B4419" s="12" t="inlineStr">
        <is>
          <t>I</t>
        </is>
      </c>
      <c r="C4419" s="12" t="inlineStr">
        <is>
          <t>Modular / portable power</t>
        </is>
      </c>
      <c r="D4419" s="12" t="inlineStr">
        <is>
          <t>Discrete device to JB JB-FC-11-DI01: 10 x 1 pr (field cables)</t>
        </is>
      </c>
      <c r="E4419" s="12" t="inlineStr">
        <is>
          <t>FC-11</t>
        </is>
      </c>
      <c r="F4419" s="12" t="inlineStr">
        <is>
          <t>FC-11: SOFC module (Bloom ES5 class, 200-300 kW)</t>
        </is>
      </c>
      <c r="G4419" s="12" t="inlineStr">
        <is>
          <t>JB-FC-11-DI01</t>
        </is>
      </c>
      <c r="H4419" s="12" t="inlineStr">
        <is>
          <t>FC-11: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6" t="n">
        <v>45</v>
      </c>
      <c r="U4419" s="16" t="n">
        <v>10</v>
      </c>
      <c r="V4419" s="16">
        <f>ROUNDUP((T4419+U4419+2*'Read Me'!$B$13)*(1+'Read Me'!$B$12),-1)</f>
        <v/>
      </c>
      <c r="W4419" s="16">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I-I-0062</t>
        </is>
      </c>
      <c r="B4420" s="12" t="inlineStr">
        <is>
          <t>I</t>
        </is>
      </c>
      <c r="C4420" s="12" t="inlineStr">
        <is>
          <t>Modular / portable power</t>
        </is>
      </c>
      <c r="D4420" s="12" t="inlineStr">
        <is>
          <t>Home run JB-FC-11-DI01 to the control / marshalling room</t>
        </is>
      </c>
      <c r="E4420" s="12" t="inlineStr">
        <is>
          <t>PAD-EH</t>
        </is>
      </c>
      <c r="F4420" s="12" t="inlineStr">
        <is>
          <t>PAD-EH 13.8 kV switchgear e-house</t>
        </is>
      </c>
      <c r="G4420" s="12" t="inlineStr">
        <is>
          <t>JB-FC-11-DI01</t>
        </is>
      </c>
      <c r="H4420" s="12" t="inlineStr">
        <is>
          <t>FC-11: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Duct bank</t>
        </is>
      </c>
      <c r="T4420" s="16" t="n">
        <v>272</v>
      </c>
      <c r="U4420" s="16" t="n">
        <v>50</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I-I-0063</t>
        </is>
      </c>
      <c r="B4421" s="12" t="inlineStr">
        <is>
          <t>I</t>
        </is>
      </c>
      <c r="C4421" s="12" t="inlineStr">
        <is>
          <t>Modular / portable power</t>
        </is>
      </c>
      <c r="D4421" s="12" t="inlineStr">
        <is>
          <t>Analog instrument to JB JB-FC-12-AI01: 10 x 1 pr (field cables)</t>
        </is>
      </c>
      <c r="E4421" s="12" t="inlineStr">
        <is>
          <t>FC-12</t>
        </is>
      </c>
      <c r="F4421" s="12" t="inlineStr">
        <is>
          <t>FC-12: SOFC module (Bloom ES5 class, 200-300 kW)</t>
        </is>
      </c>
      <c r="G4421" s="12" t="inlineStr">
        <is>
          <t>JB-FC-12-AI01</t>
        </is>
      </c>
      <c r="H4421" s="12" t="inlineStr">
        <is>
          <t>FC-12: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I-I-0064</t>
        </is>
      </c>
      <c r="B4422" s="12" t="inlineStr">
        <is>
          <t>I</t>
        </is>
      </c>
      <c r="C4422" s="12" t="inlineStr">
        <is>
          <t>Modular / portable power</t>
        </is>
      </c>
      <c r="D4422" s="12" t="inlineStr">
        <is>
          <t>Home run JB-FC-12-AI01 to the control / marshalling room</t>
        </is>
      </c>
      <c r="E4422" s="12" t="inlineStr">
        <is>
          <t>PAD-EH</t>
        </is>
      </c>
      <c r="F4422" s="12" t="inlineStr">
        <is>
          <t>PAD-EH 13.8 kV switchgear e-house</t>
        </is>
      </c>
      <c r="G4422" s="12" t="inlineStr">
        <is>
          <t>JB-FC-12-AI01</t>
        </is>
      </c>
      <c r="H4422" s="12" t="inlineStr">
        <is>
          <t>FC-12: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272</v>
      </c>
      <c r="U4422" s="16" t="n">
        <v>41</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I-I-0065</t>
        </is>
      </c>
      <c r="B4423" s="12" t="inlineStr">
        <is>
          <t>I</t>
        </is>
      </c>
      <c r="C4423" s="12" t="inlineStr">
        <is>
          <t>Modular / portable power</t>
        </is>
      </c>
      <c r="D4423" s="12" t="inlineStr">
        <is>
          <t>Discrete device to JB JB-FC-12-DI01: 10 x 1 pr (field cables)</t>
        </is>
      </c>
      <c r="E4423" s="12" t="inlineStr">
        <is>
          <t>FC-12</t>
        </is>
      </c>
      <c r="F4423" s="12" t="inlineStr">
        <is>
          <t>FC-12: SOFC module (Bloom ES5 class, 200-300 kW)</t>
        </is>
      </c>
      <c r="G4423" s="12" t="inlineStr">
        <is>
          <t>JB-FC-12-DI01</t>
        </is>
      </c>
      <c r="H4423" s="12" t="inlineStr">
        <is>
          <t>FC-12: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I-I-0066</t>
        </is>
      </c>
      <c r="B4424" s="12" t="inlineStr">
        <is>
          <t>I</t>
        </is>
      </c>
      <c r="C4424" s="12" t="inlineStr">
        <is>
          <t>Modular / portable power</t>
        </is>
      </c>
      <c r="D4424" s="12" t="inlineStr">
        <is>
          <t>Home run JB-FC-12-DI01 to the control / marshalling room</t>
        </is>
      </c>
      <c r="E4424" s="12" t="inlineStr">
        <is>
          <t>PAD-EH</t>
        </is>
      </c>
      <c r="F4424" s="12" t="inlineStr">
        <is>
          <t>PAD-EH 13.8 kV switchgear e-house</t>
        </is>
      </c>
      <c r="G4424" s="12" t="inlineStr">
        <is>
          <t>JB-FC-12-DI01</t>
        </is>
      </c>
      <c r="H4424" s="12" t="inlineStr">
        <is>
          <t>FC-12: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272</v>
      </c>
      <c r="U4424" s="16" t="n">
        <v>41</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I-I-0067</t>
        </is>
      </c>
      <c r="B4425" s="12" t="inlineStr">
        <is>
          <t>I</t>
        </is>
      </c>
      <c r="C4425" s="12" t="inlineStr">
        <is>
          <t>Modular / portable power</t>
        </is>
      </c>
      <c r="D4425" s="12" t="inlineStr">
        <is>
          <t>Analog instrument to JB JB-FC-1: SOFC module -AI01: 10 x 1 pr (field cables)</t>
        </is>
      </c>
      <c r="E4425" s="12" t="inlineStr"/>
      <c r="F4425" s="12" t="inlineStr">
        <is>
          <t>FC-1: SOFC module (Bloom ES5 class, 200-300 kW)</t>
        </is>
      </c>
      <c r="G4425" s="12" t="inlineStr">
        <is>
          <t>JB-FC-1: SOFC module -AI01</t>
        </is>
      </c>
      <c r="H4425" s="12" t="inlineStr">
        <is>
          <t>FC-1: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I-I-0068</t>
        </is>
      </c>
      <c r="B4426" s="12" t="inlineStr">
        <is>
          <t>I</t>
        </is>
      </c>
      <c r="C4426" s="12" t="inlineStr">
        <is>
          <t>Modular / portable power</t>
        </is>
      </c>
      <c r="D4426" s="12" t="inlineStr">
        <is>
          <t>Home run JB-FC-1: SOFC module -AI01 to the control / marshalling room</t>
        </is>
      </c>
      <c r="E4426" s="12" t="inlineStr"/>
      <c r="F4426" s="12" t="inlineStr">
        <is>
          <t>PCM: power control module</t>
        </is>
      </c>
      <c r="G4426" s="12" t="inlineStr">
        <is>
          <t>JB-FC-1: SOFC module -AI01</t>
        </is>
      </c>
      <c r="H4426" s="12" t="inlineStr">
        <is>
          <t>FC-1: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1048</v>
      </c>
      <c r="U4426" s="16" t="n">
        <v>96</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I-I-0069</t>
        </is>
      </c>
      <c r="B4427" s="12" t="inlineStr">
        <is>
          <t>I</t>
        </is>
      </c>
      <c r="C4427" s="12" t="inlineStr">
        <is>
          <t>Modular / portable power</t>
        </is>
      </c>
      <c r="D4427" s="12" t="inlineStr">
        <is>
          <t>Discrete device to JB JB-FC-1: SOFC module -DI01: 10 x 1 pr (field cables)</t>
        </is>
      </c>
      <c r="E4427" s="12" t="inlineStr"/>
      <c r="F4427" s="12" t="inlineStr">
        <is>
          <t>FC-1: SOFC module (Bloom ES5 class, 200-300 kW)</t>
        </is>
      </c>
      <c r="G4427" s="12" t="inlineStr">
        <is>
          <t>JB-FC-1: SOFC module -DI01</t>
        </is>
      </c>
      <c r="H4427" s="12" t="inlineStr">
        <is>
          <t>FC-1: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I-I-0070</t>
        </is>
      </c>
      <c r="B4428" s="12" t="inlineStr">
        <is>
          <t>I</t>
        </is>
      </c>
      <c r="C4428" s="12" t="inlineStr">
        <is>
          <t>Modular / portable power</t>
        </is>
      </c>
      <c r="D4428" s="12" t="inlineStr">
        <is>
          <t>Home run JB-FC-1: SOFC module -DI01 to the control / marshalling room</t>
        </is>
      </c>
      <c r="E4428" s="12" t="inlineStr"/>
      <c r="F4428" s="12" t="inlineStr">
        <is>
          <t>PCM: power control module</t>
        </is>
      </c>
      <c r="G4428" s="12" t="inlineStr">
        <is>
          <t>JB-FC-1: SOFC module -DI01</t>
        </is>
      </c>
      <c r="H4428" s="12" t="inlineStr">
        <is>
          <t>FC-1: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1048</v>
      </c>
      <c r="U4428" s="16" t="n">
        <v>96</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I-I-0071</t>
        </is>
      </c>
      <c r="B4429" s="12" t="inlineStr">
        <is>
          <t>I</t>
        </is>
      </c>
      <c r="C4429" s="12" t="inlineStr">
        <is>
          <t>Modular / portable power</t>
        </is>
      </c>
      <c r="D4429" s="12" t="inlineStr">
        <is>
          <t>Analog instrument to JB JB-FC-2: SOFC module -AI01: 10 x 1 pr (field cables)</t>
        </is>
      </c>
      <c r="E4429" s="12" t="inlineStr"/>
      <c r="F4429" s="12" t="inlineStr">
        <is>
          <t>FC-2: SOFC module (Bloom ES5 class, 200-300 kW)</t>
        </is>
      </c>
      <c r="G4429" s="12" t="inlineStr">
        <is>
          <t>JB-FC-2: SOFC module -AI01</t>
        </is>
      </c>
      <c r="H4429" s="12" t="inlineStr">
        <is>
          <t>FC-2: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I-I-0072</t>
        </is>
      </c>
      <c r="B4430" s="12" t="inlineStr">
        <is>
          <t>I</t>
        </is>
      </c>
      <c r="C4430" s="12" t="inlineStr">
        <is>
          <t>Modular / portable power</t>
        </is>
      </c>
      <c r="D4430" s="12" t="inlineStr">
        <is>
          <t>Home run JB-FC-2: SOFC module -AI01 to the control / marshalling room</t>
        </is>
      </c>
      <c r="E4430" s="12" t="inlineStr"/>
      <c r="F4430" s="12" t="inlineStr">
        <is>
          <t>PCM: power control module</t>
        </is>
      </c>
      <c r="G4430" s="12" t="inlineStr">
        <is>
          <t>JB-FC-2: SOFC module -AI01</t>
        </is>
      </c>
      <c r="H4430" s="12" t="inlineStr">
        <is>
          <t>FC-2: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1048</v>
      </c>
      <c r="U4430" s="16" t="n">
        <v>82</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I-I-0073</t>
        </is>
      </c>
      <c r="B4431" s="12" t="inlineStr">
        <is>
          <t>I</t>
        </is>
      </c>
      <c r="C4431" s="12" t="inlineStr">
        <is>
          <t>Modular / portable power</t>
        </is>
      </c>
      <c r="D4431" s="12" t="inlineStr">
        <is>
          <t>Discrete device to JB JB-FC-2: SOFC module -DI01: 10 x 1 pr (field cables)</t>
        </is>
      </c>
      <c r="E4431" s="12" t="inlineStr"/>
      <c r="F4431" s="12" t="inlineStr">
        <is>
          <t>FC-2: SOFC module (Bloom ES5 class, 200-300 kW)</t>
        </is>
      </c>
      <c r="G4431" s="12" t="inlineStr">
        <is>
          <t>JB-FC-2: SOFC module -DI01</t>
        </is>
      </c>
      <c r="H4431" s="12" t="inlineStr">
        <is>
          <t>FC-2: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I-I-0074</t>
        </is>
      </c>
      <c r="B4432" s="12" t="inlineStr">
        <is>
          <t>I</t>
        </is>
      </c>
      <c r="C4432" s="12" t="inlineStr">
        <is>
          <t>Modular / portable power</t>
        </is>
      </c>
      <c r="D4432" s="12" t="inlineStr">
        <is>
          <t>Home run JB-FC-2: SOFC module -DI01 to the control / marshalling room</t>
        </is>
      </c>
      <c r="E4432" s="12" t="inlineStr"/>
      <c r="F4432" s="12" t="inlineStr">
        <is>
          <t>PCM: power control module</t>
        </is>
      </c>
      <c r="G4432" s="12" t="inlineStr">
        <is>
          <t>JB-FC-2: SOFC module -DI01</t>
        </is>
      </c>
      <c r="H4432" s="12" t="inlineStr">
        <is>
          <t>FC-2: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1048</v>
      </c>
      <c r="U4432" s="16" t="n">
        <v>82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I-I-0075</t>
        </is>
      </c>
      <c r="B4433" s="12" t="inlineStr">
        <is>
          <t>I</t>
        </is>
      </c>
      <c r="C4433" s="12" t="inlineStr">
        <is>
          <t>Modular / portable power</t>
        </is>
      </c>
      <c r="D4433" s="12" t="inlineStr">
        <is>
          <t>Analog instrument to JB JB-FC-3: SOFC module -AI01: 10 x 1 pr (field cables)</t>
        </is>
      </c>
      <c r="E4433" s="12" t="inlineStr"/>
      <c r="F4433" s="12" t="inlineStr">
        <is>
          <t>FC-3: SOFC module (Bloom ES5 class, 200-300 kW)</t>
        </is>
      </c>
      <c r="G4433" s="12" t="inlineStr">
        <is>
          <t>JB-FC-3: SOFC module -AI01</t>
        </is>
      </c>
      <c r="H4433" s="12" t="inlineStr">
        <is>
          <t>FC-3: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I-I-0076</t>
        </is>
      </c>
      <c r="B4434" s="12" t="inlineStr">
        <is>
          <t>I</t>
        </is>
      </c>
      <c r="C4434" s="12" t="inlineStr">
        <is>
          <t>Modular / portable power</t>
        </is>
      </c>
      <c r="D4434" s="12" t="inlineStr">
        <is>
          <t>Home run JB-FC-3: SOFC module -AI01 to the control / marshalling room</t>
        </is>
      </c>
      <c r="E4434" s="12" t="inlineStr"/>
      <c r="F4434" s="12" t="inlineStr">
        <is>
          <t>PCM: power control module</t>
        </is>
      </c>
      <c r="G4434" s="12" t="inlineStr">
        <is>
          <t>JB-FC-3: SOFC module -AI01</t>
        </is>
      </c>
      <c r="H4434" s="12" t="inlineStr">
        <is>
          <t>FC-3: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1048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I-I-0077</t>
        </is>
      </c>
      <c r="B4435" s="12" t="inlineStr">
        <is>
          <t>I</t>
        </is>
      </c>
      <c r="C4435" s="12" t="inlineStr">
        <is>
          <t>Modular / portable power</t>
        </is>
      </c>
      <c r="D4435" s="12" t="inlineStr">
        <is>
          <t>Discrete device to JB JB-FC-3: SOFC module -DI01: 10 x 1 pr (field cables)</t>
        </is>
      </c>
      <c r="E4435" s="12" t="inlineStr"/>
      <c r="F4435" s="12" t="inlineStr">
        <is>
          <t>FC-3: SOFC module (Bloom ES5 class, 200-300 kW)</t>
        </is>
      </c>
      <c r="G4435" s="12" t="inlineStr">
        <is>
          <t>JB-FC-3: SOFC module -DI01</t>
        </is>
      </c>
      <c r="H4435" s="12" t="inlineStr">
        <is>
          <t>FC-3: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I-I-0078</t>
        </is>
      </c>
      <c r="B4436" s="12" t="inlineStr">
        <is>
          <t>I</t>
        </is>
      </c>
      <c r="C4436" s="12" t="inlineStr">
        <is>
          <t>Modular / portable power</t>
        </is>
      </c>
      <c r="D4436" s="12" t="inlineStr">
        <is>
          <t>Home run JB-FC-3: SOFC module -DI01 to the control / marshalling room</t>
        </is>
      </c>
      <c r="E4436" s="12" t="inlineStr"/>
      <c r="F4436" s="12" t="inlineStr">
        <is>
          <t>PCM: power control module</t>
        </is>
      </c>
      <c r="G4436" s="12" t="inlineStr">
        <is>
          <t>JB-FC-3: SOFC module -DI01</t>
        </is>
      </c>
      <c r="H4436" s="12" t="inlineStr">
        <is>
          <t>FC-3: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1048</v>
      </c>
      <c r="U4436" s="16" t="n">
        <v>68</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I-I-0079</t>
        </is>
      </c>
      <c r="B4437" s="12" t="inlineStr">
        <is>
          <t>I</t>
        </is>
      </c>
      <c r="C4437" s="12" t="inlineStr">
        <is>
          <t>Modular / portable power</t>
        </is>
      </c>
      <c r="D4437" s="12" t="inlineStr">
        <is>
          <t>Analog instrument to JB JB-FC-4: SOFC module -AI01: 10 x 1 pr (field cables)</t>
        </is>
      </c>
      <c r="E4437" s="12" t="inlineStr"/>
      <c r="F4437" s="12" t="inlineStr">
        <is>
          <t>FC-4: SOFC module (Bloom ES5 class, 200-300 kW)</t>
        </is>
      </c>
      <c r="G4437" s="12" t="inlineStr">
        <is>
          <t>JB-FC-4: SOFC module -AI01</t>
        </is>
      </c>
      <c r="H4437" s="12" t="inlineStr">
        <is>
          <t>FC-4: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I-I-0080</t>
        </is>
      </c>
      <c r="B4438" s="12" t="inlineStr">
        <is>
          <t>I</t>
        </is>
      </c>
      <c r="C4438" s="12" t="inlineStr">
        <is>
          <t>Modular / portable power</t>
        </is>
      </c>
      <c r="D4438" s="12" t="inlineStr">
        <is>
          <t>Home run JB-FC-4: SOFC module -AI01 to the control / marshalling room</t>
        </is>
      </c>
      <c r="E4438" s="12" t="inlineStr"/>
      <c r="F4438" s="12" t="inlineStr">
        <is>
          <t>PCM: power control module</t>
        </is>
      </c>
      <c r="G4438" s="12" t="inlineStr">
        <is>
          <t>JB-FC-4: SOFC module -AI01</t>
        </is>
      </c>
      <c r="H4438" s="12" t="inlineStr">
        <is>
          <t>FC-4: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1048</v>
      </c>
      <c r="U4438" s="16" t="n">
        <v>54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I-I-0081</t>
        </is>
      </c>
      <c r="B4439" s="12" t="inlineStr">
        <is>
          <t>I</t>
        </is>
      </c>
      <c r="C4439" s="12" t="inlineStr">
        <is>
          <t>Modular / portable power</t>
        </is>
      </c>
      <c r="D4439" s="12" t="inlineStr">
        <is>
          <t>Discrete device to JB JB-FC-4: SOFC module -DI01: 10 x 1 pr (field cables)</t>
        </is>
      </c>
      <c r="E4439" s="12" t="inlineStr"/>
      <c r="F4439" s="12" t="inlineStr">
        <is>
          <t>FC-4: SOFC module (Bloom ES5 class, 200-300 kW)</t>
        </is>
      </c>
      <c r="G4439" s="12" t="inlineStr">
        <is>
          <t>JB-FC-4: SOFC module -DI01</t>
        </is>
      </c>
      <c r="H4439" s="12" t="inlineStr">
        <is>
          <t>FC-4: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I-I-0082</t>
        </is>
      </c>
      <c r="B4440" s="12" t="inlineStr">
        <is>
          <t>I</t>
        </is>
      </c>
      <c r="C4440" s="12" t="inlineStr">
        <is>
          <t>Modular / portable power</t>
        </is>
      </c>
      <c r="D4440" s="12" t="inlineStr">
        <is>
          <t>Home run JB-FC-4: SOFC module -DI01 to the control / marshalling room</t>
        </is>
      </c>
      <c r="E4440" s="12" t="inlineStr"/>
      <c r="F4440" s="12" t="inlineStr">
        <is>
          <t>PCM: power control module</t>
        </is>
      </c>
      <c r="G4440" s="12" t="inlineStr">
        <is>
          <t>JB-FC-4: SOFC module -DI01</t>
        </is>
      </c>
      <c r="H4440" s="12" t="inlineStr">
        <is>
          <t>FC-4: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1048</v>
      </c>
      <c r="U4440" s="16" t="n">
        <v>54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I-I-0083</t>
        </is>
      </c>
      <c r="B4441" s="12" t="inlineStr">
        <is>
          <t>I</t>
        </is>
      </c>
      <c r="C4441" s="12" t="inlineStr">
        <is>
          <t>Modular / portable power</t>
        </is>
      </c>
      <c r="D4441" s="12" t="inlineStr">
        <is>
          <t>Instrumentation</t>
        </is>
      </c>
      <c r="E4441" s="12" t="inlineStr">
        <is>
          <t>PAD-EH</t>
        </is>
      </c>
      <c r="F4441" s="12" t="inlineStr">
        <is>
          <t>PAD-EH 13.8 kV switchgear e-house</t>
        </is>
      </c>
      <c r="G4441" s="12" t="inlineStr"/>
      <c r="H4441" s="12" t="inlineStr">
        <is>
          <t>FC-5..12 inverter / AC cabinet / desulfurizer</t>
        </is>
      </c>
      <c r="I4441" s="12" t="inlineStr">
        <is>
          <t>Instrumentation</t>
        </is>
      </c>
      <c r="J4441" s="12" t="inlineStr">
        <is>
          <t>Instrumentation PLTC / TC-ER 300 V, #18 twisted shielded pairs, overall shield</t>
        </is>
      </c>
      <c r="K4441" s="12" t="inlineStr">
        <is>
          <t>PLTC|4 pr|18</t>
        </is>
      </c>
      <c r="L4441" s="12" t="inlineStr">
        <is>
          <t>4 pr</t>
        </is>
      </c>
      <c r="M4441" s="12" t="inlineStr">
        <is>
          <t>18</t>
        </is>
      </c>
      <c r="N4441" s="12" t="n">
        <v>1</v>
      </c>
      <c r="O4441" s="12" t="n">
        <v>1</v>
      </c>
      <c r="P4441" s="12" t="n"/>
      <c r="Q4441" s="12" t="n"/>
      <c r="R4441" s="12" t="n"/>
      <c r="S4441" s="12" t="inlineStr">
        <is>
          <t>Surface</t>
        </is>
      </c>
      <c r="T4441" s="16" t="n">
        <v>202</v>
      </c>
      <c r="U4441" s="16" t="n">
        <v>37</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I-I-0084</t>
        </is>
      </c>
      <c r="B4442" s="12" t="inlineStr">
        <is>
          <t>I</t>
        </is>
      </c>
      <c r="C4442" s="12" t="inlineStr">
        <is>
          <t>Modular / portable power</t>
        </is>
      </c>
      <c r="D4442" s="12" t="inlineStr">
        <is>
          <t>Thermocouples</t>
        </is>
      </c>
      <c r="E4442" s="12" t="inlineStr">
        <is>
          <t>PAD-EH</t>
        </is>
      </c>
      <c r="F4442" s="12" t="inlineStr">
        <is>
          <t>PAD-EH 13.8 kV switchgear e-house</t>
        </is>
      </c>
      <c r="G4442" s="12" t="inlineStr"/>
      <c r="H4442" s="12" t="inlineStr">
        <is>
          <t>FC-5..12 inverter / AC cabinet / desulfurizer</t>
        </is>
      </c>
      <c r="I4442" s="12" t="inlineStr">
        <is>
          <t>Instrumentation</t>
        </is>
      </c>
      <c r="J4442" s="12" t="inlineStr">
        <is>
          <t>Thermocouple extension KX, #16 shielded pairs, PLTC</t>
        </is>
      </c>
      <c r="K4442" s="12" t="inlineStr">
        <is>
          <t>TCX|12 pr|16</t>
        </is>
      </c>
      <c r="L4442" s="12" t="inlineStr">
        <is>
          <t>12 pr</t>
        </is>
      </c>
      <c r="M4442" s="12" t="inlineStr">
        <is>
          <t>16</t>
        </is>
      </c>
      <c r="N4442" s="12" t="n">
        <v>1</v>
      </c>
      <c r="O4442" s="12" t="n">
        <v>1</v>
      </c>
      <c r="P4442" s="12" t="n"/>
      <c r="Q4442" s="12" t="n"/>
      <c r="R4442" s="12" t="n"/>
      <c r="S4442" s="12" t="inlineStr">
        <is>
          <t>Surface</t>
        </is>
      </c>
      <c r="T4442" s="16" t="n">
        <v>202</v>
      </c>
      <c r="U4442" s="16" t="n">
        <v>37</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I-I-0085</t>
        </is>
      </c>
      <c r="B4443" s="12" t="inlineStr">
        <is>
          <t>I</t>
        </is>
      </c>
      <c r="C4443" s="12" t="inlineStr">
        <is>
          <t>Modular / portable power</t>
        </is>
      </c>
      <c r="D4443" s="12" t="inlineStr">
        <is>
          <t>Thermocouples</t>
        </is>
      </c>
      <c r="E4443" s="12" t="inlineStr">
        <is>
          <t>PAD-EH</t>
        </is>
      </c>
      <c r="F4443" s="12" t="inlineStr">
        <is>
          <t>PAD-EH 13.8 kV switchgear e-house</t>
        </is>
      </c>
      <c r="G4443" s="12" t="inlineStr"/>
      <c r="H4443" s="12" t="inlineStr">
        <is>
          <t>FC-5..12 inverter / AC cabinet / desulfurizer</t>
        </is>
      </c>
      <c r="I4443" s="12" t="inlineStr">
        <is>
          <t>Instrumentation</t>
        </is>
      </c>
      <c r="J4443" s="12" t="inlineStr">
        <is>
          <t>Thermocouple extension KX, #16 shielded pairs, PLTC</t>
        </is>
      </c>
      <c r="K4443" s="12" t="inlineStr">
        <is>
          <t>TCX|12 pr|16</t>
        </is>
      </c>
      <c r="L4443" s="12" t="inlineStr">
        <is>
          <t>12 pr</t>
        </is>
      </c>
      <c r="M4443" s="12" t="inlineStr">
        <is>
          <t>16</t>
        </is>
      </c>
      <c r="N4443" s="12" t="n">
        <v>1</v>
      </c>
      <c r="O4443" s="12" t="n">
        <v>1</v>
      </c>
      <c r="P4443" s="12" t="n"/>
      <c r="Q4443" s="12" t="n"/>
      <c r="R4443" s="12" t="n"/>
      <c r="S4443" s="12" t="inlineStr">
        <is>
          <t>Surface</t>
        </is>
      </c>
      <c r="T4443" s="16" t="n">
        <v>202</v>
      </c>
      <c r="U4443" s="16" t="n">
        <v>37</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I-I-0086</t>
        </is>
      </c>
      <c r="B4444" s="12" t="inlineStr">
        <is>
          <t>I</t>
        </is>
      </c>
      <c r="C4444" s="12" t="inlineStr">
        <is>
          <t>Modular / portable power</t>
        </is>
      </c>
      <c r="D4444" s="12" t="inlineStr">
        <is>
          <t>Analog instrument to JB JB-FC-5-AI01: 10 x 1 pr (field cables)</t>
        </is>
      </c>
      <c r="E4444" s="12" t="inlineStr">
        <is>
          <t>FC-5</t>
        </is>
      </c>
      <c r="F4444" s="12" t="inlineStr">
        <is>
          <t>FC-5: SOFC module (Bloom ES5 class, 200-300 kW)</t>
        </is>
      </c>
      <c r="G4444" s="12" t="inlineStr">
        <is>
          <t>JB-FC-5-AI01</t>
        </is>
      </c>
      <c r="H4444" s="12" t="inlineStr">
        <is>
          <t>FC-5: SOFC module (Bloom ES5 class, 200-300 kW)</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10</v>
      </c>
      <c r="O4444" s="12" t="n">
        <v>1</v>
      </c>
      <c r="P4444" s="12" t="n"/>
      <c r="Q4444" s="12" t="n"/>
      <c r="R4444" s="12" t="n"/>
      <c r="S4444" s="12" t="inlineStr">
        <is>
          <t>Tray / conduit</t>
        </is>
      </c>
      <c r="T4444" s="16" t="n">
        <v>45</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I-I-0087</t>
        </is>
      </c>
      <c r="B4445" s="12" t="inlineStr">
        <is>
          <t>I</t>
        </is>
      </c>
      <c r="C4445" s="12" t="inlineStr">
        <is>
          <t>Modular / portable power</t>
        </is>
      </c>
      <c r="D4445" s="12" t="inlineStr">
        <is>
          <t>Home run JB-FC-5-AI01 to the control / marshalling room</t>
        </is>
      </c>
      <c r="E4445" s="12" t="inlineStr">
        <is>
          <t>PAD-EH</t>
        </is>
      </c>
      <c r="F4445" s="12" t="inlineStr">
        <is>
          <t>PAD-EH 13.8 kV switchgear e-house</t>
        </is>
      </c>
      <c r="G4445" s="12" t="inlineStr">
        <is>
          <t>JB-FC-5-AI01</t>
        </is>
      </c>
      <c r="H4445" s="12" t="inlineStr">
        <is>
          <t>FC-5: SOFC module (Bloom ES5 class, 200-300 kW)</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Duct bank</t>
        </is>
      </c>
      <c r="T4445" s="16" t="n">
        <v>356</v>
      </c>
      <c r="U4445" s="16" t="n">
        <v>50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I-I-0088</t>
        </is>
      </c>
      <c r="B4446" s="12" t="inlineStr">
        <is>
          <t>I</t>
        </is>
      </c>
      <c r="C4446" s="12" t="inlineStr">
        <is>
          <t>Modular / portable power</t>
        </is>
      </c>
      <c r="D4446" s="12" t="inlineStr">
        <is>
          <t>Discrete device to JB JB-FC-5-DI01: 10 x 1 pr (field cables)</t>
        </is>
      </c>
      <c r="E4446" s="12" t="inlineStr">
        <is>
          <t>FC-5</t>
        </is>
      </c>
      <c r="F4446" s="12" t="inlineStr">
        <is>
          <t>FC-5: SOFC module (Bloom ES5 class, 200-300 kW)</t>
        </is>
      </c>
      <c r="G4446" s="12" t="inlineStr">
        <is>
          <t>JB-FC-5-DI01</t>
        </is>
      </c>
      <c r="H4446" s="12" t="inlineStr">
        <is>
          <t>FC-5: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6" t="n">
        <v>45</v>
      </c>
      <c r="U4446" s="16" t="n">
        <v>10</v>
      </c>
      <c r="V4446" s="16">
        <f>ROUNDUP((T4446+U4446+2*'Read Me'!$B$13)*(1+'Read Me'!$B$12),-1)</f>
        <v/>
      </c>
      <c r="W4446" s="16">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I-I-0089</t>
        </is>
      </c>
      <c r="B4447" s="12" t="inlineStr">
        <is>
          <t>I</t>
        </is>
      </c>
      <c r="C4447" s="12" t="inlineStr">
        <is>
          <t>Modular / portable power</t>
        </is>
      </c>
      <c r="D4447" s="12" t="inlineStr">
        <is>
          <t>Home run JB-FC-5-DI01 to the control / marshalling room</t>
        </is>
      </c>
      <c r="E4447" s="12" t="inlineStr">
        <is>
          <t>PAD-EH</t>
        </is>
      </c>
      <c r="F4447" s="12" t="inlineStr">
        <is>
          <t>PAD-EH 13.8 kV switchgear e-house</t>
        </is>
      </c>
      <c r="G4447" s="12" t="inlineStr">
        <is>
          <t>JB-FC-5-DI01</t>
        </is>
      </c>
      <c r="H4447" s="12" t="inlineStr">
        <is>
          <t>FC-5: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6" t="n">
        <v>356</v>
      </c>
      <c r="U4447" s="16" t="n">
        <v>50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I-I-0090</t>
        </is>
      </c>
      <c r="B4448" s="12" t="inlineStr">
        <is>
          <t>I</t>
        </is>
      </c>
      <c r="C4448" s="12" t="inlineStr">
        <is>
          <t>Modular / portable power</t>
        </is>
      </c>
      <c r="D4448" s="12" t="inlineStr">
        <is>
          <t>Analog instrument to JB JB-FC-6-AI01: 10 x 1 pr (field cables)</t>
        </is>
      </c>
      <c r="E4448" s="12" t="inlineStr">
        <is>
          <t>FC-6</t>
        </is>
      </c>
      <c r="F4448" s="12" t="inlineStr">
        <is>
          <t>FC-6: SOFC module (Bloom ES5 class, 200-300 kW)</t>
        </is>
      </c>
      <c r="G4448" s="12" t="inlineStr">
        <is>
          <t>JB-FC-6-AI01</t>
        </is>
      </c>
      <c r="H4448" s="12" t="inlineStr">
        <is>
          <t>FC-6: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6" t="n">
        <v>45</v>
      </c>
      <c r="U4448" s="16" t="n">
        <v>10</v>
      </c>
      <c r="V4448" s="16">
        <f>ROUNDUP((T4448+U4448+2*'Read Me'!$B$13)*(1+'Read Me'!$B$12),-1)</f>
        <v/>
      </c>
      <c r="W4448" s="16">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I-I-0091</t>
        </is>
      </c>
      <c r="B4449" s="12" t="inlineStr">
        <is>
          <t>I</t>
        </is>
      </c>
      <c r="C4449" s="12" t="inlineStr">
        <is>
          <t>Modular / portable power</t>
        </is>
      </c>
      <c r="D4449" s="12" t="inlineStr">
        <is>
          <t>Home run JB-FC-6-AI01 to the control / marshalling room</t>
        </is>
      </c>
      <c r="E4449" s="12" t="inlineStr">
        <is>
          <t>PAD-EH</t>
        </is>
      </c>
      <c r="F4449" s="12" t="inlineStr">
        <is>
          <t>PAD-EH 13.8 kV switchgear e-house</t>
        </is>
      </c>
      <c r="G4449" s="12" t="inlineStr">
        <is>
          <t>JB-FC-6-AI01</t>
        </is>
      </c>
      <c r="H4449" s="12" t="inlineStr">
        <is>
          <t>FC-6: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6" t="n">
        <v>342</v>
      </c>
      <c r="U4449" s="16" t="n">
        <v>50</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I-I-0092</t>
        </is>
      </c>
      <c r="B4450" s="12" t="inlineStr">
        <is>
          <t>I</t>
        </is>
      </c>
      <c r="C4450" s="12" t="inlineStr">
        <is>
          <t>Modular / portable power</t>
        </is>
      </c>
      <c r="D4450" s="12" t="inlineStr">
        <is>
          <t>Discrete device to JB JB-FC-6-DI01: 10 x 1 pr (field cables)</t>
        </is>
      </c>
      <c r="E4450" s="12" t="inlineStr">
        <is>
          <t>FC-6</t>
        </is>
      </c>
      <c r="F4450" s="12" t="inlineStr">
        <is>
          <t>FC-6: SOFC module (Bloom ES5 class, 200-300 kW)</t>
        </is>
      </c>
      <c r="G4450" s="12" t="inlineStr">
        <is>
          <t>JB-FC-6-DI01</t>
        </is>
      </c>
      <c r="H4450" s="12" t="inlineStr">
        <is>
          <t>FC-6: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6" t="n">
        <v>45</v>
      </c>
      <c r="U4450" s="16" t="n">
        <v>10</v>
      </c>
      <c r="V4450" s="16">
        <f>ROUNDUP((T4450+U4450+2*'Read Me'!$B$13)*(1+'Read Me'!$B$12),-1)</f>
        <v/>
      </c>
      <c r="W4450" s="16">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I-I-0093</t>
        </is>
      </c>
      <c r="B4451" s="12" t="inlineStr">
        <is>
          <t>I</t>
        </is>
      </c>
      <c r="C4451" s="12" t="inlineStr">
        <is>
          <t>Modular / portable power</t>
        </is>
      </c>
      <c r="D4451" s="12" t="inlineStr">
        <is>
          <t>Home run JB-FC-6-DI01 to the control / marshalling room</t>
        </is>
      </c>
      <c r="E4451" s="12" t="inlineStr">
        <is>
          <t>PAD-EH</t>
        </is>
      </c>
      <c r="F4451" s="12" t="inlineStr">
        <is>
          <t>PAD-EH 13.8 kV switchgear e-house</t>
        </is>
      </c>
      <c r="G4451" s="12" t="inlineStr">
        <is>
          <t>JB-FC-6-DI01</t>
        </is>
      </c>
      <c r="H4451" s="12" t="inlineStr">
        <is>
          <t>FC-6: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6" t="n">
        <v>342</v>
      </c>
      <c r="U4451" s="16" t="n">
        <v>50</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I-I-0094</t>
        </is>
      </c>
      <c r="B4452" s="12" t="inlineStr">
        <is>
          <t>I</t>
        </is>
      </c>
      <c r="C4452" s="12" t="inlineStr">
        <is>
          <t>Modular / portable power</t>
        </is>
      </c>
      <c r="D4452" s="12" t="inlineStr">
        <is>
          <t>Analog instrument to JB JB-FC-7-AI01: 10 x 1 pr (field cables)</t>
        </is>
      </c>
      <c r="E4452" s="12" t="inlineStr">
        <is>
          <t>FC-7</t>
        </is>
      </c>
      <c r="F4452" s="12" t="inlineStr">
        <is>
          <t>FC-7: SOFC module (Bloom ES5 class, 200-300 kW)</t>
        </is>
      </c>
      <c r="G4452" s="12" t="inlineStr">
        <is>
          <t>JB-FC-7-AI01</t>
        </is>
      </c>
      <c r="H4452" s="12" t="inlineStr">
        <is>
          <t>FC-7: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6" t="n">
        <v>45</v>
      </c>
      <c r="U4452" s="16" t="n">
        <v>10</v>
      </c>
      <c r="V4452" s="16">
        <f>ROUNDUP((T4452+U4452+2*'Read Me'!$B$13)*(1+'Read Me'!$B$12),-1)</f>
        <v/>
      </c>
      <c r="W4452" s="16">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I-I-0095</t>
        </is>
      </c>
      <c r="B4453" s="12" t="inlineStr">
        <is>
          <t>I</t>
        </is>
      </c>
      <c r="C4453" s="12" t="inlineStr">
        <is>
          <t>Modular / portable power</t>
        </is>
      </c>
      <c r="D4453" s="12" t="inlineStr">
        <is>
          <t>Home run JB-FC-7-AI01 to the control / marshalling room</t>
        </is>
      </c>
      <c r="E4453" s="12" t="inlineStr">
        <is>
          <t>PAD-EH</t>
        </is>
      </c>
      <c r="F4453" s="12" t="inlineStr">
        <is>
          <t>PAD-EH 13.8 kV switchgear e-house</t>
        </is>
      </c>
      <c r="G4453" s="12" t="inlineStr">
        <is>
          <t>JB-FC-7-AI01</t>
        </is>
      </c>
      <c r="H4453" s="12" t="inlineStr">
        <is>
          <t>FC-7: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6" t="n">
        <v>328</v>
      </c>
      <c r="U4453" s="16" t="n">
        <v>50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I-I-0096</t>
        </is>
      </c>
      <c r="B4454" s="12" t="inlineStr">
        <is>
          <t>I</t>
        </is>
      </c>
      <c r="C4454" s="12" t="inlineStr">
        <is>
          <t>Modular / portable power</t>
        </is>
      </c>
      <c r="D4454" s="12" t="inlineStr">
        <is>
          <t>Discrete device to JB JB-FC-7-DI01: 10 x 1 pr (field cables)</t>
        </is>
      </c>
      <c r="E4454" s="12" t="inlineStr">
        <is>
          <t>FC-7</t>
        </is>
      </c>
      <c r="F4454" s="12" t="inlineStr">
        <is>
          <t>FC-7: SOFC module (Bloom ES5 class, 200-300 kW)</t>
        </is>
      </c>
      <c r="G4454" s="12" t="inlineStr">
        <is>
          <t>JB-FC-7-DI01</t>
        </is>
      </c>
      <c r="H4454" s="12" t="inlineStr">
        <is>
          <t>FC-7: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6" t="n">
        <v>45</v>
      </c>
      <c r="U4454" s="16" t="n">
        <v>10</v>
      </c>
      <c r="V4454" s="16">
        <f>ROUNDUP((T4454+U4454+2*'Read Me'!$B$13)*(1+'Read Me'!$B$12),-1)</f>
        <v/>
      </c>
      <c r="W4454" s="16">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I-I-0097</t>
        </is>
      </c>
      <c r="B4455" s="12" t="inlineStr">
        <is>
          <t>I</t>
        </is>
      </c>
      <c r="C4455" s="12" t="inlineStr">
        <is>
          <t>Modular / portable power</t>
        </is>
      </c>
      <c r="D4455" s="12" t="inlineStr">
        <is>
          <t>Home run JB-FC-7-DI01 to the control / marshalling room</t>
        </is>
      </c>
      <c r="E4455" s="12" t="inlineStr">
        <is>
          <t>PAD-EH</t>
        </is>
      </c>
      <c r="F4455" s="12" t="inlineStr">
        <is>
          <t>PAD-EH 13.8 kV switchgear e-house</t>
        </is>
      </c>
      <c r="G4455" s="12" t="inlineStr">
        <is>
          <t>JB-FC-7-DI01</t>
        </is>
      </c>
      <c r="H4455" s="12" t="inlineStr">
        <is>
          <t>FC-7: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6" t="n">
        <v>328</v>
      </c>
      <c r="U4455" s="16" t="n">
        <v>50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I-I-0098</t>
        </is>
      </c>
      <c r="B4456" s="12" t="inlineStr">
        <is>
          <t>I</t>
        </is>
      </c>
      <c r="C4456" s="12" t="inlineStr">
        <is>
          <t>Modular / portable power</t>
        </is>
      </c>
      <c r="D4456" s="12" t="inlineStr">
        <is>
          <t>Analog instrument to JB JB-FC-8-AI01: 10 x 1 pr (field cables)</t>
        </is>
      </c>
      <c r="E4456" s="12" t="inlineStr">
        <is>
          <t>FC-8</t>
        </is>
      </c>
      <c r="F4456" s="12" t="inlineStr">
        <is>
          <t>FC-8: SOFC module (Bloom ES5 class, 200-300 kW)</t>
        </is>
      </c>
      <c r="G4456" s="12" t="inlineStr">
        <is>
          <t>JB-FC-8-AI01</t>
        </is>
      </c>
      <c r="H4456" s="12" t="inlineStr">
        <is>
          <t>FC-8: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6" t="n">
        <v>45</v>
      </c>
      <c r="U4456" s="16" t="n">
        <v>10</v>
      </c>
      <c r="V4456" s="16">
        <f>ROUNDUP((T4456+U4456+2*'Read Me'!$B$13)*(1+'Read Me'!$B$12),-1)</f>
        <v/>
      </c>
      <c r="W4456" s="16">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I-I-0099</t>
        </is>
      </c>
      <c r="B4457" s="12" t="inlineStr">
        <is>
          <t>I</t>
        </is>
      </c>
      <c r="C4457" s="12" t="inlineStr">
        <is>
          <t>Modular / portable power</t>
        </is>
      </c>
      <c r="D4457" s="12" t="inlineStr">
        <is>
          <t>Home run JB-FC-8-AI01 to the control / marshalling room</t>
        </is>
      </c>
      <c r="E4457" s="12" t="inlineStr">
        <is>
          <t>PAD-EH</t>
        </is>
      </c>
      <c r="F4457" s="12" t="inlineStr">
        <is>
          <t>PAD-EH 13.8 kV switchgear e-house</t>
        </is>
      </c>
      <c r="G4457" s="12" t="inlineStr">
        <is>
          <t>JB-FC-8-AI01</t>
        </is>
      </c>
      <c r="H4457" s="12" t="inlineStr">
        <is>
          <t>FC-8: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6" t="n">
        <v>314</v>
      </c>
      <c r="U4457" s="16" t="n">
        <v>50</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I-I-0100</t>
        </is>
      </c>
      <c r="B4458" s="12" t="inlineStr">
        <is>
          <t>I</t>
        </is>
      </c>
      <c r="C4458" s="12" t="inlineStr">
        <is>
          <t>Modular / portable power</t>
        </is>
      </c>
      <c r="D4458" s="12" t="inlineStr">
        <is>
          <t>Discrete device to JB JB-FC-8-DI01: 10 x 1 pr (field cables)</t>
        </is>
      </c>
      <c r="E4458" s="12" t="inlineStr">
        <is>
          <t>FC-8</t>
        </is>
      </c>
      <c r="F4458" s="12" t="inlineStr">
        <is>
          <t>FC-8: SOFC module (Bloom ES5 class, 200-300 kW)</t>
        </is>
      </c>
      <c r="G4458" s="12" t="inlineStr">
        <is>
          <t>JB-FC-8-DI01</t>
        </is>
      </c>
      <c r="H4458" s="12" t="inlineStr">
        <is>
          <t>FC-8: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6" t="n">
        <v>45</v>
      </c>
      <c r="U4458" s="16" t="n">
        <v>10</v>
      </c>
      <c r="V4458" s="16">
        <f>ROUNDUP((T4458+U4458+2*'Read Me'!$B$13)*(1+'Read Me'!$B$12),-1)</f>
        <v/>
      </c>
      <c r="W4458" s="16">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I-I-0101</t>
        </is>
      </c>
      <c r="B4459" s="12" t="inlineStr">
        <is>
          <t>I</t>
        </is>
      </c>
      <c r="C4459" s="12" t="inlineStr">
        <is>
          <t>Modular / portable power</t>
        </is>
      </c>
      <c r="D4459" s="12" t="inlineStr">
        <is>
          <t>Home run JB-FC-8-DI01 to the control / marshalling room</t>
        </is>
      </c>
      <c r="E4459" s="12" t="inlineStr">
        <is>
          <t>PAD-EH</t>
        </is>
      </c>
      <c r="F4459" s="12" t="inlineStr">
        <is>
          <t>PAD-EH 13.8 kV switchgear e-house</t>
        </is>
      </c>
      <c r="G4459" s="12" t="inlineStr">
        <is>
          <t>JB-FC-8-DI01</t>
        </is>
      </c>
      <c r="H4459" s="12" t="inlineStr">
        <is>
          <t>FC-8: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6" t="n">
        <v>314</v>
      </c>
      <c r="U4459" s="16" t="n">
        <v>50</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I-I-0102</t>
        </is>
      </c>
      <c r="B4460" s="12" t="inlineStr">
        <is>
          <t>I</t>
        </is>
      </c>
      <c r="C4460" s="12" t="inlineStr">
        <is>
          <t>Modular / portable power</t>
        </is>
      </c>
      <c r="D4460" s="12" t="inlineStr">
        <is>
          <t>Analog instrument to JB JB-FC-9-AI01: 10 x 1 pr (field cables)</t>
        </is>
      </c>
      <c r="E4460" s="12" t="inlineStr">
        <is>
          <t>FC-9</t>
        </is>
      </c>
      <c r="F4460" s="12" t="inlineStr">
        <is>
          <t>FC-9: SOFC module (Bloom ES5 class, 200-300 kW)</t>
        </is>
      </c>
      <c r="G4460" s="12" t="inlineStr">
        <is>
          <t>JB-FC-9-AI01</t>
        </is>
      </c>
      <c r="H4460" s="12" t="inlineStr">
        <is>
          <t>FC-9: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6" t="n">
        <v>45</v>
      </c>
      <c r="U4460" s="16" t="n">
        <v>10</v>
      </c>
      <c r="V4460" s="16">
        <f>ROUNDUP((T4460+U4460+2*'Read Me'!$B$13)*(1+'Read Me'!$B$12),-1)</f>
        <v/>
      </c>
      <c r="W4460" s="16">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I-I-0103</t>
        </is>
      </c>
      <c r="B4461" s="12" t="inlineStr">
        <is>
          <t>I</t>
        </is>
      </c>
      <c r="C4461" s="12" t="inlineStr">
        <is>
          <t>Modular / portable power</t>
        </is>
      </c>
      <c r="D4461" s="12" t="inlineStr">
        <is>
          <t>Home run JB-FC-9-AI01 to the control / marshalling room</t>
        </is>
      </c>
      <c r="E4461" s="12" t="inlineStr">
        <is>
          <t>PAD-EH</t>
        </is>
      </c>
      <c r="F4461" s="12" t="inlineStr">
        <is>
          <t>PAD-EH 13.8 kV switchgear e-house</t>
        </is>
      </c>
      <c r="G4461" s="12" t="inlineStr">
        <is>
          <t>JB-FC-9-AI01</t>
        </is>
      </c>
      <c r="H4461" s="12" t="inlineStr">
        <is>
          <t>FC-9: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6" t="n">
        <v>300</v>
      </c>
      <c r="U4461" s="16" t="n">
        <v>50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I-I-0104</t>
        </is>
      </c>
      <c r="B4462" s="12" t="inlineStr">
        <is>
          <t>I</t>
        </is>
      </c>
      <c r="C4462" s="12" t="inlineStr">
        <is>
          <t>Modular / portable power</t>
        </is>
      </c>
      <c r="D4462" s="12" t="inlineStr">
        <is>
          <t>Discrete device to JB JB-FC-9-DI01: 10 x 1 pr (field cables)</t>
        </is>
      </c>
      <c r="E4462" s="12" t="inlineStr">
        <is>
          <t>FC-9</t>
        </is>
      </c>
      <c r="F4462" s="12" t="inlineStr">
        <is>
          <t>FC-9: SOFC module (Bloom ES5 class, 200-300 kW)</t>
        </is>
      </c>
      <c r="G4462" s="12" t="inlineStr">
        <is>
          <t>JB-FC-9-DI01</t>
        </is>
      </c>
      <c r="H4462" s="12" t="inlineStr">
        <is>
          <t>FC-9: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6" t="n">
        <v>45</v>
      </c>
      <c r="U4462" s="16" t="n">
        <v>10</v>
      </c>
      <c r="V4462" s="16">
        <f>ROUNDUP((T4462+U4462+2*'Read Me'!$B$13)*(1+'Read Me'!$B$12),-1)</f>
        <v/>
      </c>
      <c r="W4462" s="16">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I-I-0105</t>
        </is>
      </c>
      <c r="B4463" s="12" t="inlineStr">
        <is>
          <t>I</t>
        </is>
      </c>
      <c r="C4463" s="12" t="inlineStr">
        <is>
          <t>Modular / portable power</t>
        </is>
      </c>
      <c r="D4463" s="12" t="inlineStr">
        <is>
          <t>Home run JB-FC-9-DI01 to the control / marshalling room</t>
        </is>
      </c>
      <c r="E4463" s="12" t="inlineStr">
        <is>
          <t>PAD-EH</t>
        </is>
      </c>
      <c r="F4463" s="12" t="inlineStr">
        <is>
          <t>PAD-EH 13.8 kV switchgear e-house</t>
        </is>
      </c>
      <c r="G4463" s="12" t="inlineStr">
        <is>
          <t>JB-FC-9-DI01</t>
        </is>
      </c>
      <c r="H4463" s="12" t="inlineStr">
        <is>
          <t>FC-9: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6" t="n">
        <v>300</v>
      </c>
      <c r="U4463" s="16" t="n">
        <v>50</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I-I-0106</t>
        </is>
      </c>
      <c r="B4464" s="12" t="inlineStr">
        <is>
          <t>I</t>
        </is>
      </c>
      <c r="C4464" s="12" t="inlineStr">
        <is>
          <t>Modular / portable power</t>
        </is>
      </c>
      <c r="D4464" s="12" t="inlineStr">
        <is>
          <t>Instrumentation</t>
        </is>
      </c>
      <c r="E4464" s="12" t="inlineStr"/>
      <c r="F4464" s="12" t="inlineStr">
        <is>
          <t>PCM: power control module</t>
        </is>
      </c>
      <c r="G4464" s="12" t="inlineStr"/>
      <c r="H4464" s="12" t="inlineStr">
        <is>
          <t>Fuel-cell inverter / AC cabinet / desulfurizer</t>
        </is>
      </c>
      <c r="I4464" s="12" t="inlineStr">
        <is>
          <t>Instrumentation</t>
        </is>
      </c>
      <c r="J4464" s="12" t="inlineStr">
        <is>
          <t>Instrumentation ITC / PLTC, IS, #18 shielded pairs, blue jacket</t>
        </is>
      </c>
      <c r="K4464" s="12" t="inlineStr">
        <is>
          <t>ITC|4 pr|18</t>
        </is>
      </c>
      <c r="L4464" s="12" t="inlineStr">
        <is>
          <t>4 pr</t>
        </is>
      </c>
      <c r="M4464" s="12" t="inlineStr">
        <is>
          <t>18</t>
        </is>
      </c>
      <c r="N4464" s="12" t="n">
        <v>1</v>
      </c>
      <c r="O4464" s="12" t="n">
        <v>1</v>
      </c>
      <c r="P4464" s="12" t="n"/>
      <c r="Q4464" s="12" t="n"/>
      <c r="R4464" s="12" t="n"/>
      <c r="S4464" s="12" t="inlineStr">
        <is>
          <t>Duct bank</t>
        </is>
      </c>
      <c r="T4464" s="16" t="n">
        <v>1032</v>
      </c>
      <c r="U4464" s="16" t="n">
        <v>34</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I-I-0107</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Fuel-cell inverter / AC cabinet / desulfurizer</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6" t="n">
        <v>1032</v>
      </c>
      <c r="U4465" s="16" t="n">
        <v>34</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I-I-0108</t>
        </is>
      </c>
      <c r="B4466" s="12" t="inlineStr">
        <is>
          <t>I</t>
        </is>
      </c>
      <c r="C4466" s="12" t="inlineStr">
        <is>
          <t>Modular / portable power</t>
        </is>
      </c>
      <c r="D4466" s="12" t="inlineStr">
        <is>
          <t>Thermocouples</t>
        </is>
      </c>
      <c r="E4466" s="12" t="inlineStr"/>
      <c r="F4466" s="12" t="inlineStr">
        <is>
          <t>PCM: power control module</t>
        </is>
      </c>
      <c r="G4466" s="12" t="inlineStr"/>
      <c r="H4466" s="12" t="inlineStr">
        <is>
          <t>Fuel-cell inverter / AC cabinet / desulfurizer</t>
        </is>
      </c>
      <c r="I4466" s="12" t="inlineStr">
        <is>
          <t>Instrumentation</t>
        </is>
      </c>
      <c r="J4466" s="12" t="inlineStr">
        <is>
          <t>Thermocouple extension KX, #16 shielded pairs, PLTC</t>
        </is>
      </c>
      <c r="K4466" s="12" t="inlineStr">
        <is>
          <t>TCX|12 pr|16</t>
        </is>
      </c>
      <c r="L4466" s="12" t="inlineStr">
        <is>
          <t>12 pr</t>
        </is>
      </c>
      <c r="M4466" s="12" t="inlineStr">
        <is>
          <t>16</t>
        </is>
      </c>
      <c r="N4466" s="12" t="n">
        <v>1</v>
      </c>
      <c r="O4466" s="12" t="n">
        <v>1</v>
      </c>
      <c r="P4466" s="12" t="n"/>
      <c r="Q4466" s="12" t="n"/>
      <c r="R4466" s="12" t="n"/>
      <c r="S4466" s="12" t="inlineStr">
        <is>
          <t>Duct bank</t>
        </is>
      </c>
      <c r="T4466" s="16" t="n">
        <v>1032</v>
      </c>
      <c r="U4466" s="16" t="n">
        <v>34</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I-I-0109</t>
        </is>
      </c>
      <c r="B4467" s="12" t="inlineStr">
        <is>
          <t>I</t>
        </is>
      </c>
      <c r="C4467" s="12" t="inlineStr">
        <is>
          <t>Modular / portable power</t>
        </is>
      </c>
      <c r="D4467" s="12" t="inlineStr">
        <is>
          <t>Analog instrument to JB JB-Fuel-gas compresso-AI01: 20 x 1 pr (field cables)</t>
        </is>
      </c>
      <c r="E4467" s="12" t="inlineStr"/>
      <c r="F4467" s="12" t="inlineStr">
        <is>
          <t>Fuel-gas compressors 3 x 100% electric</t>
        </is>
      </c>
      <c r="G4467" s="12" t="inlineStr">
        <is>
          <t>JB-Fuel-gas compresso-AI01</t>
        </is>
      </c>
      <c r="H4467" s="12" t="inlineStr">
        <is>
          <t>Fuel-gas compressors 3 x 100% electric</t>
        </is>
      </c>
      <c r="I4467" s="12" t="inlineStr">
        <is>
          <t>Instrumentation</t>
        </is>
      </c>
      <c r="J4467" s="12" t="inlineStr">
        <is>
          <t>Instrumentation ITC / PLTC, IS, #18 shielded pairs, blue jacket</t>
        </is>
      </c>
      <c r="K4467" s="12" t="inlineStr">
        <is>
          <t>ITC|1 pr|16</t>
        </is>
      </c>
      <c r="L4467" s="12" t="inlineStr">
        <is>
          <t>1 pr</t>
        </is>
      </c>
      <c r="M4467" s="12" t="inlineStr">
        <is>
          <t>16</t>
        </is>
      </c>
      <c r="N4467" s="12" t="n">
        <v>20</v>
      </c>
      <c r="O4467" s="12" t="n">
        <v>1</v>
      </c>
      <c r="P4467" s="12" t="n"/>
      <c r="Q4467" s="12" t="n"/>
      <c r="R4467" s="12" t="n"/>
      <c r="S4467" s="12" t="inlineStr">
        <is>
          <t>Tray / conduit</t>
        </is>
      </c>
      <c r="T4467" s="16" t="n">
        <v>103</v>
      </c>
      <c r="U4467" s="16" t="n">
        <v>10</v>
      </c>
      <c r="V4467" s="16">
        <f>ROUNDUP((T4467+U4467+2*'Read Me'!$B$13)*(1+'Read Me'!$B$12),-1)</f>
        <v/>
      </c>
      <c r="W4467" s="16">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I-I-0110</t>
        </is>
      </c>
      <c r="B4468" s="12" t="inlineStr">
        <is>
          <t>I</t>
        </is>
      </c>
      <c r="C4468" s="12" t="inlineStr">
        <is>
          <t>Modular / portable power</t>
        </is>
      </c>
      <c r="D4468" s="12" t="inlineStr">
        <is>
          <t>Home run JB-Fuel-gas compresso-AI01 to the control / marshalling room</t>
        </is>
      </c>
      <c r="E4468" s="12" t="inlineStr"/>
      <c r="F4468" s="12" t="inlineStr">
        <is>
          <t>PCM: power control module</t>
        </is>
      </c>
      <c r="G4468" s="12" t="inlineStr">
        <is>
          <t>JB-Fuel-gas compresso-AI01</t>
        </is>
      </c>
      <c r="H4468" s="12" t="inlineStr">
        <is>
          <t>Fuel-gas compressors 3 x 100% electric</t>
        </is>
      </c>
      <c r="I4468" s="12" t="inlineStr">
        <is>
          <t>Instrumentation</t>
        </is>
      </c>
      <c r="J4468" s="12" t="inlineStr">
        <is>
          <t>Instrumentation ITC / PLTC, IS, #18 shielded pairs, blue jacket</t>
        </is>
      </c>
      <c r="K4468" s="12" t="inlineStr">
        <is>
          <t>ITC|24 pr|18</t>
        </is>
      </c>
      <c r="L4468" s="12" t="inlineStr">
        <is>
          <t>24 pr</t>
        </is>
      </c>
      <c r="M4468" s="12" t="inlineStr">
        <is>
          <t>18</t>
        </is>
      </c>
      <c r="N4468" s="12" t="n">
        <v>1</v>
      </c>
      <c r="O4468" s="12" t="n">
        <v>1</v>
      </c>
      <c r="P4468" s="12" t="n"/>
      <c r="Q4468" s="12" t="n"/>
      <c r="R4468" s="12" t="n"/>
      <c r="S4468" s="12" t="inlineStr">
        <is>
          <t>HV duct bank</t>
        </is>
      </c>
      <c r="T4468" s="16" t="n">
        <v>4433</v>
      </c>
      <c r="U4468" s="16" t="n">
        <v>38</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I-I-0111</t>
        </is>
      </c>
      <c r="B4469" s="12" t="inlineStr">
        <is>
          <t>I</t>
        </is>
      </c>
      <c r="C4469" s="12" t="inlineStr">
        <is>
          <t>Modular / portable power</t>
        </is>
      </c>
      <c r="D4469" s="12" t="inlineStr">
        <is>
          <t>Analog instrument to JB JB-Fuel-gas compresso-AI02: 10 x 1 pr (field cables)</t>
        </is>
      </c>
      <c r="E4469" s="12" t="inlineStr"/>
      <c r="F4469" s="12" t="inlineStr">
        <is>
          <t>Fuel-gas compressors 3 x 100% electric</t>
        </is>
      </c>
      <c r="G4469" s="12" t="inlineStr">
        <is>
          <t>JB-Fuel-gas compresso-AI02</t>
        </is>
      </c>
      <c r="H4469" s="12" t="inlineStr">
        <is>
          <t>Fuel-gas compressors 3 x 100% electric</t>
        </is>
      </c>
      <c r="I4469" s="12" t="inlineStr">
        <is>
          <t>Instrumentation</t>
        </is>
      </c>
      <c r="J4469" s="12" t="inlineStr">
        <is>
          <t>Instrumentation ITC / PLTC, IS, #18 shielded pairs, blue jacket</t>
        </is>
      </c>
      <c r="K4469" s="12" t="inlineStr">
        <is>
          <t>ITC|1 pr|16</t>
        </is>
      </c>
      <c r="L4469" s="12" t="inlineStr">
        <is>
          <t>1 pr</t>
        </is>
      </c>
      <c r="M4469" s="12" t="inlineStr">
        <is>
          <t>16</t>
        </is>
      </c>
      <c r="N4469" s="12" t="n">
        <v>10</v>
      </c>
      <c r="O4469" s="12" t="n">
        <v>1</v>
      </c>
      <c r="P4469" s="12" t="n"/>
      <c r="Q4469" s="12" t="n"/>
      <c r="R4469" s="12" t="n"/>
      <c r="S4469" s="12" t="inlineStr">
        <is>
          <t>Tray / conduit</t>
        </is>
      </c>
      <c r="T4469" s="16" t="n">
        <v>103</v>
      </c>
      <c r="U4469" s="16" t="n">
        <v>10</v>
      </c>
      <c r="V4469" s="16">
        <f>ROUNDUP((T4469+U4469+2*'Read Me'!$B$13)*(1+'Read Me'!$B$12),-1)</f>
        <v/>
      </c>
      <c r="W4469" s="16">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I-I-0112</t>
        </is>
      </c>
      <c r="B4470" s="12" t="inlineStr">
        <is>
          <t>I</t>
        </is>
      </c>
      <c r="C4470" s="12" t="inlineStr">
        <is>
          <t>Modular / portable power</t>
        </is>
      </c>
      <c r="D4470" s="12" t="inlineStr">
        <is>
          <t>Home run JB-Fuel-gas compresso-AI02 to the control / marshalling room</t>
        </is>
      </c>
      <c r="E4470" s="12" t="inlineStr"/>
      <c r="F4470" s="12" t="inlineStr">
        <is>
          <t>PCM: power control module</t>
        </is>
      </c>
      <c r="G4470" s="12" t="inlineStr">
        <is>
          <t>JB-Fuel-gas compresso-AI02</t>
        </is>
      </c>
      <c r="H4470" s="12" t="inlineStr">
        <is>
          <t>Fuel-gas compressors 3 x 100% electric</t>
        </is>
      </c>
      <c r="I4470" s="12" t="inlineStr">
        <is>
          <t>Instrumentation</t>
        </is>
      </c>
      <c r="J4470" s="12" t="inlineStr">
        <is>
          <t>Instrumentation ITC / PLTC, IS, #18 shielded pairs, blue jacket</t>
        </is>
      </c>
      <c r="K4470" s="12" t="inlineStr">
        <is>
          <t>ITC|24 pr|18</t>
        </is>
      </c>
      <c r="L4470" s="12" t="inlineStr">
        <is>
          <t>24 pr</t>
        </is>
      </c>
      <c r="M4470" s="12" t="inlineStr">
        <is>
          <t>18</t>
        </is>
      </c>
      <c r="N4470" s="12" t="n">
        <v>1</v>
      </c>
      <c r="O4470" s="12" t="n">
        <v>1</v>
      </c>
      <c r="P4470" s="12" t="n"/>
      <c r="Q4470" s="12" t="n"/>
      <c r="R4470" s="12" t="n"/>
      <c r="S4470" s="12" t="inlineStr">
        <is>
          <t>HV duct bank</t>
        </is>
      </c>
      <c r="T4470" s="16" t="n">
        <v>4433</v>
      </c>
      <c r="U4470" s="16" t="n">
        <v>38</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I-I-0113</t>
        </is>
      </c>
      <c r="B4471" s="12" t="inlineStr">
        <is>
          <t>I</t>
        </is>
      </c>
      <c r="C4471" s="12" t="inlineStr">
        <is>
          <t>Modular / portable power</t>
        </is>
      </c>
      <c r="D4471" s="12" t="inlineStr">
        <is>
          <t>Discrete device to JB JB-Fuel-gas compresso-DI01: 20 x 1 pr (field cables)</t>
        </is>
      </c>
      <c r="E4471" s="12" t="inlineStr"/>
      <c r="F4471" s="12" t="inlineStr">
        <is>
          <t>Fuel-gas compressors 3 x 100% electric</t>
        </is>
      </c>
      <c r="G4471" s="12" t="inlineStr">
        <is>
          <t>JB-Fuel-gas compresso-DI01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6" t="n">
        <v>103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I-I-0114</t>
        </is>
      </c>
      <c r="B4472" s="12" t="inlineStr">
        <is>
          <t>I</t>
        </is>
      </c>
      <c r="C4472" s="12" t="inlineStr">
        <is>
          <t>Modular / portable power</t>
        </is>
      </c>
      <c r="D4472" s="12" t="inlineStr">
        <is>
          <t>Home run JB-Fuel-gas compresso-DI01 to the control / marshalling room</t>
        </is>
      </c>
      <c r="E4472" s="12" t="inlineStr"/>
      <c r="F4472" s="12" t="inlineStr">
        <is>
          <t>PCM: power control module</t>
        </is>
      </c>
      <c r="G4472" s="12" t="inlineStr">
        <is>
          <t>JB-Fuel-gas compresso-DI01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HV duct bank</t>
        </is>
      </c>
      <c r="T4472" s="16" t="n">
        <v>4433</v>
      </c>
      <c r="U4472" s="16" t="n">
        <v>38</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I-I-0115</t>
        </is>
      </c>
      <c r="B4473" s="12" t="inlineStr">
        <is>
          <t>I</t>
        </is>
      </c>
      <c r="C4473" s="12" t="inlineStr">
        <is>
          <t>Modular / portable power</t>
        </is>
      </c>
      <c r="D4473" s="12" t="inlineStr">
        <is>
          <t>RTD to JB JB-Fuel-gas compresso-RTD01: 10 x 1 tri (field cables)</t>
        </is>
      </c>
      <c r="E4473" s="12" t="inlineStr"/>
      <c r="F4473" s="12" t="inlineStr">
        <is>
          <t>Fuel-gas compressors 3 x 100% electric</t>
        </is>
      </c>
      <c r="G4473" s="12" t="inlineStr">
        <is>
          <t>JB-Fuel-gas compresso-RTD01</t>
        </is>
      </c>
      <c r="H4473" s="12" t="inlineStr">
        <is>
          <t>Fuel-gas compressors 3 x 100% electric</t>
        </is>
      </c>
      <c r="I4473" s="12" t="inlineStr">
        <is>
          <t>Instrumentation</t>
        </is>
      </c>
      <c r="J4473" s="12" t="inlineStr">
        <is>
          <t>RTD cable, #18 shielded triads, PLTC</t>
        </is>
      </c>
      <c r="K4473" s="12" t="inlineStr">
        <is>
          <t>RTD|1 tri|18</t>
        </is>
      </c>
      <c r="L4473" s="12" t="inlineStr">
        <is>
          <t>1 tri</t>
        </is>
      </c>
      <c r="M4473" s="12" t="inlineStr">
        <is>
          <t>18</t>
        </is>
      </c>
      <c r="N4473" s="12" t="n">
        <v>10</v>
      </c>
      <c r="O4473" s="12" t="n">
        <v>1</v>
      </c>
      <c r="P4473" s="12" t="n"/>
      <c r="Q4473" s="12" t="n"/>
      <c r="R4473" s="12" t="n"/>
      <c r="S4473" s="12" t="inlineStr">
        <is>
          <t>Tray / conduit</t>
        </is>
      </c>
      <c r="T4473" s="16" t="n">
        <v>103</v>
      </c>
      <c r="U4473" s="16" t="n">
        <v>10</v>
      </c>
      <c r="V4473" s="16">
        <f>ROUNDUP((T4473+U4473+2*'Read Me'!$B$13)*(1+'Read Me'!$B$12),-1)</f>
        <v/>
      </c>
      <c r="W4473" s="16">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I-I-0116</t>
        </is>
      </c>
      <c r="B4474" s="12" t="inlineStr">
        <is>
          <t>I</t>
        </is>
      </c>
      <c r="C4474" s="12" t="inlineStr">
        <is>
          <t>Modular / portable power</t>
        </is>
      </c>
      <c r="D4474" s="12" t="inlineStr">
        <is>
          <t>Home run JB-Fuel-gas compresso-RTD01 to the control / marshalling room</t>
        </is>
      </c>
      <c r="E4474" s="12" t="inlineStr"/>
      <c r="F4474" s="12" t="inlineStr">
        <is>
          <t>PCM: power control module</t>
        </is>
      </c>
      <c r="G4474" s="12" t="inlineStr">
        <is>
          <t>JB-Fuel-gas compresso-RTD01</t>
        </is>
      </c>
      <c r="H4474" s="12" t="inlineStr">
        <is>
          <t>Fuel-gas compressors 3 x 100% electric</t>
        </is>
      </c>
      <c r="I4474" s="12" t="inlineStr">
        <is>
          <t>Instrumentation</t>
        </is>
      </c>
      <c r="J4474" s="12" t="inlineStr">
        <is>
          <t>RTD cable, #18 shielded triads, PLTC</t>
        </is>
      </c>
      <c r="K4474" s="12" t="inlineStr">
        <is>
          <t>RTD|12 tri|18</t>
        </is>
      </c>
      <c r="L4474" s="12" t="inlineStr">
        <is>
          <t>12 tri</t>
        </is>
      </c>
      <c r="M4474" s="12" t="inlineStr">
        <is>
          <t>18</t>
        </is>
      </c>
      <c r="N4474" s="12" t="n">
        <v>1</v>
      </c>
      <c r="O4474" s="12" t="n">
        <v>1</v>
      </c>
      <c r="P4474" s="12" t="n"/>
      <c r="Q4474" s="12" t="n"/>
      <c r="R4474" s="12" t="n"/>
      <c r="S4474" s="12" t="inlineStr">
        <is>
          <t>HV duct bank</t>
        </is>
      </c>
      <c r="T4474" s="16" t="n">
        <v>4433</v>
      </c>
      <c r="U4474" s="16" t="n">
        <v>38</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I-I-0117</t>
        </is>
      </c>
      <c r="B4475" s="12" t="inlineStr">
        <is>
          <t>I</t>
        </is>
      </c>
      <c r="C4475" s="12" t="inlineStr">
        <is>
          <t>Modular / portable power</t>
        </is>
      </c>
      <c r="D4475" s="12" t="inlineStr">
        <is>
          <t>RTD to JB JB-Fuel-gas compresso-RTD02: 2 x 1 tri (field cables)</t>
        </is>
      </c>
      <c r="E4475" s="12" t="inlineStr"/>
      <c r="F4475" s="12" t="inlineStr">
        <is>
          <t>Fuel-gas compressors 3 x 100% electric</t>
        </is>
      </c>
      <c r="G4475" s="12" t="inlineStr">
        <is>
          <t>JB-Fuel-gas compresso-RTD02</t>
        </is>
      </c>
      <c r="H4475" s="12" t="inlineStr">
        <is>
          <t>Fuel-gas compressors 3 x 100% electric</t>
        </is>
      </c>
      <c r="I4475" s="12" t="inlineStr">
        <is>
          <t>Instrumentation</t>
        </is>
      </c>
      <c r="J4475" s="12" t="inlineStr">
        <is>
          <t>RTD cable, #18 shielded triads, PLTC</t>
        </is>
      </c>
      <c r="K4475" s="12" t="inlineStr">
        <is>
          <t>RTD|1 tri|18</t>
        </is>
      </c>
      <c r="L4475" s="12" t="inlineStr">
        <is>
          <t>1 tri</t>
        </is>
      </c>
      <c r="M4475" s="12" t="inlineStr">
        <is>
          <t>18</t>
        </is>
      </c>
      <c r="N4475" s="12" t="n">
        <v>2</v>
      </c>
      <c r="O4475" s="12" t="n">
        <v>1</v>
      </c>
      <c r="P4475" s="12" t="n"/>
      <c r="Q4475" s="12" t="n"/>
      <c r="R4475" s="12" t="n"/>
      <c r="S4475" s="12" t="inlineStr">
        <is>
          <t>Tray / conduit</t>
        </is>
      </c>
      <c r="T4475" s="16" t="n">
        <v>103</v>
      </c>
      <c r="U4475" s="16" t="n">
        <v>10</v>
      </c>
      <c r="V4475" s="16">
        <f>ROUNDUP((T4475+U4475+2*'Read Me'!$B$13)*(1+'Read Me'!$B$12),-1)</f>
        <v/>
      </c>
      <c r="W4475" s="16">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I-I-0118</t>
        </is>
      </c>
      <c r="B4476" s="12" t="inlineStr">
        <is>
          <t>I</t>
        </is>
      </c>
      <c r="C4476" s="12" t="inlineStr">
        <is>
          <t>Modular / portable power</t>
        </is>
      </c>
      <c r="D4476" s="12" t="inlineStr">
        <is>
          <t>Home run JB-Fuel-gas compresso-RTD02 to the control / marshalling room</t>
        </is>
      </c>
      <c r="E4476" s="12" t="inlineStr"/>
      <c r="F4476" s="12" t="inlineStr">
        <is>
          <t>PCM: power control module</t>
        </is>
      </c>
      <c r="G4476" s="12" t="inlineStr">
        <is>
          <t>JB-Fuel-gas compresso-RTD02</t>
        </is>
      </c>
      <c r="H4476" s="12" t="inlineStr">
        <is>
          <t>Fuel-gas compressors 3 x 100% electric</t>
        </is>
      </c>
      <c r="I4476" s="12" t="inlineStr">
        <is>
          <t>Instrumentation</t>
        </is>
      </c>
      <c r="J4476" s="12" t="inlineStr">
        <is>
          <t>RTD cable, #18 shielded triads, PLTC</t>
        </is>
      </c>
      <c r="K4476" s="12" t="inlineStr">
        <is>
          <t>RTD|12 tri|18</t>
        </is>
      </c>
      <c r="L4476" s="12" t="inlineStr">
        <is>
          <t>12 tri</t>
        </is>
      </c>
      <c r="M4476" s="12" t="inlineStr">
        <is>
          <t>18</t>
        </is>
      </c>
      <c r="N4476" s="12" t="n">
        <v>1</v>
      </c>
      <c r="O4476" s="12" t="n">
        <v>1</v>
      </c>
      <c r="P4476" s="12" t="n"/>
      <c r="Q4476" s="12" t="n"/>
      <c r="R4476" s="12" t="n"/>
      <c r="S4476" s="12" t="inlineStr">
        <is>
          <t>HV duct bank</t>
        </is>
      </c>
      <c r="T4476" s="16" t="n">
        <v>4433</v>
      </c>
      <c r="U4476" s="16" t="n">
        <v>38</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I-I-0119</t>
        </is>
      </c>
      <c r="B4477" s="12" t="inlineStr">
        <is>
          <t>I</t>
        </is>
      </c>
      <c r="C4477" s="12" t="inlineStr">
        <is>
          <t>Modular / portable power</t>
        </is>
      </c>
      <c r="D4477" s="12" t="inlineStr">
        <is>
          <t>Analog instrument to JB JB-GEN-E-AI01: 20 x 1 pr (field cables)</t>
        </is>
      </c>
      <c r="E4477" s="12" t="inlineStr">
        <is>
          <t>GEN-E</t>
        </is>
      </c>
      <c r="F4477" s="12" t="inlineStr">
        <is>
          <t>GEN-E: enclosed industrial gas genset 2 MW</t>
        </is>
      </c>
      <c r="G4477" s="12" t="inlineStr">
        <is>
          <t>JB-GEN-E-AI01</t>
        </is>
      </c>
      <c r="H4477" s="12" t="inlineStr">
        <is>
          <t>GEN-E: enclosed industrial gas genset 2 MW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6" t="n">
        <v>60</v>
      </c>
      <c r="U4477" s="16" t="n">
        <v>10</v>
      </c>
      <c r="V4477" s="16">
        <f>ROUNDUP((T4477+U4477+2*'Read Me'!$B$13)*(1+'Read Me'!$B$12),-1)</f>
        <v/>
      </c>
      <c r="W4477" s="16">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I-I-0120</t>
        </is>
      </c>
      <c r="B4478" s="12" t="inlineStr">
        <is>
          <t>I</t>
        </is>
      </c>
      <c r="C4478" s="12" t="inlineStr">
        <is>
          <t>Modular / portable power</t>
        </is>
      </c>
      <c r="D4478" s="12" t="inlineStr">
        <is>
          <t>Home run JB-GEN-E-AI01 to the control / marshalling room</t>
        </is>
      </c>
      <c r="E4478" s="12" t="inlineStr">
        <is>
          <t>PAD-EH</t>
        </is>
      </c>
      <c r="F4478" s="12" t="inlineStr">
        <is>
          <t>PAD-EH 13.8 kV switchgear e-house</t>
        </is>
      </c>
      <c r="G4478" s="12" t="inlineStr">
        <is>
          <t>JB-GEN-E-AI01</t>
        </is>
      </c>
      <c r="H4478" s="12" t="inlineStr">
        <is>
          <t>GEN-E: enclosed industrial gas genset 2 MW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6" t="n">
        <v>153</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I-I-0121</t>
        </is>
      </c>
      <c r="B4479" s="12" t="inlineStr">
        <is>
          <t>I</t>
        </is>
      </c>
      <c r="C4479" s="12" t="inlineStr">
        <is>
          <t>Modular / portable power</t>
        </is>
      </c>
      <c r="D4479" s="12" t="inlineStr">
        <is>
          <t>Discrete device to JB JB-GEN-E-DI01: 20 x 1 pr (field cables)</t>
        </is>
      </c>
      <c r="E4479" s="12" t="inlineStr">
        <is>
          <t>GEN-E</t>
        </is>
      </c>
      <c r="F4479" s="12" t="inlineStr">
        <is>
          <t>GEN-E: enclosed industrial gas genset 2 MW</t>
        </is>
      </c>
      <c r="G4479" s="12" t="inlineStr">
        <is>
          <t>JB-GEN-E-DI01</t>
        </is>
      </c>
      <c r="H4479" s="12" t="inlineStr">
        <is>
          <t>GEN-E: enclosed industrial gas genset 2 MW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6" t="n">
        <v>60</v>
      </c>
      <c r="U4479" s="16" t="n">
        <v>10</v>
      </c>
      <c r="V4479" s="16">
        <f>ROUNDUP((T4479+U4479+2*'Read Me'!$B$13)*(1+'Read Me'!$B$12),-1)</f>
        <v/>
      </c>
      <c r="W4479" s="16">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I-I-0122</t>
        </is>
      </c>
      <c r="B4480" s="12" t="inlineStr">
        <is>
          <t>I</t>
        </is>
      </c>
      <c r="C4480" s="12" t="inlineStr">
        <is>
          <t>Modular / portable power</t>
        </is>
      </c>
      <c r="D4480" s="12" t="inlineStr">
        <is>
          <t>Home run JB-GEN-E-DI01 to the control / marshalling room</t>
        </is>
      </c>
      <c r="E4480" s="12" t="inlineStr">
        <is>
          <t>PAD-EH</t>
        </is>
      </c>
      <c r="F4480" s="12" t="inlineStr">
        <is>
          <t>PAD-EH 13.8 kV switchgear e-house</t>
        </is>
      </c>
      <c r="G4480" s="12" t="inlineStr">
        <is>
          <t>JB-GEN-E-DI01</t>
        </is>
      </c>
      <c r="H4480" s="12" t="inlineStr">
        <is>
          <t>GEN-E: enclosed industrial gas genset 2 MW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6" t="n">
        <v>153</v>
      </c>
      <c r="U4480" s="16" t="n">
        <v>32</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I-I-0123</t>
        </is>
      </c>
      <c r="B4481" s="12" t="inlineStr">
        <is>
          <t>I</t>
        </is>
      </c>
      <c r="C4481" s="12" t="inlineStr">
        <is>
          <t>Modular / portable power</t>
        </is>
      </c>
      <c r="D4481" s="12" t="inlineStr">
        <is>
          <t>Analog instrument to JB JB-GEN-O-AI01: 20 x 1 pr (field cables)</t>
        </is>
      </c>
      <c r="E4481" s="12" t="inlineStr">
        <is>
          <t>GEN-O</t>
        </is>
      </c>
      <c r="F4481" s="12" t="inlineStr">
        <is>
          <t>GEN-O: open engine-generator skid</t>
        </is>
      </c>
      <c r="G4481" s="12" t="inlineStr">
        <is>
          <t>JB-GEN-O-AI01</t>
        </is>
      </c>
      <c r="H4481" s="12" t="inlineStr">
        <is>
          <t>GEN-O: open engine-generator skid</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6" t="n">
        <v>45</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I-I-0124</t>
        </is>
      </c>
      <c r="B4482" s="12" t="inlineStr">
        <is>
          <t>I</t>
        </is>
      </c>
      <c r="C4482" s="12" t="inlineStr">
        <is>
          <t>Modular / portable power</t>
        </is>
      </c>
      <c r="D4482" s="12" t="inlineStr">
        <is>
          <t>Home run JB-GEN-O-AI01 to the control / marshalling room</t>
        </is>
      </c>
      <c r="E4482" s="12" t="inlineStr">
        <is>
          <t>PAD-EH</t>
        </is>
      </c>
      <c r="F4482" s="12" t="inlineStr">
        <is>
          <t>PAD-EH 13.8 kV switchgear e-house</t>
        </is>
      </c>
      <c r="G4482" s="12" t="inlineStr">
        <is>
          <t>JB-GEN-O-AI01</t>
        </is>
      </c>
      <c r="H4482" s="12" t="inlineStr">
        <is>
          <t>GEN-O: open engine-generator skid</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6" t="n">
        <v>153</v>
      </c>
      <c r="U4482" s="16" t="n">
        <v>79</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I-I-0125</t>
        </is>
      </c>
      <c r="B4483" s="12" t="inlineStr">
        <is>
          <t>I</t>
        </is>
      </c>
      <c r="C4483" s="12" t="inlineStr">
        <is>
          <t>Modular / portable power</t>
        </is>
      </c>
      <c r="D4483" s="12" t="inlineStr">
        <is>
          <t>Discrete device to JB JB-GEN-O-DI01: 20 x 1 pr (field cables)</t>
        </is>
      </c>
      <c r="E4483" s="12" t="inlineStr">
        <is>
          <t>GEN-O</t>
        </is>
      </c>
      <c r="F4483" s="12" t="inlineStr">
        <is>
          <t>GEN-O: open engine-generator skid</t>
        </is>
      </c>
      <c r="G4483" s="12" t="inlineStr">
        <is>
          <t>JB-GEN-O-DI01</t>
        </is>
      </c>
      <c r="H4483" s="12" t="inlineStr">
        <is>
          <t>GEN-O: open engine-generator skid</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6" t="n">
        <v>45</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I-I-0126</t>
        </is>
      </c>
      <c r="B4484" s="12" t="inlineStr">
        <is>
          <t>I</t>
        </is>
      </c>
      <c r="C4484" s="12" t="inlineStr">
        <is>
          <t>Modular / portable power</t>
        </is>
      </c>
      <c r="D4484" s="12" t="inlineStr">
        <is>
          <t>Home run JB-GEN-O-DI01 to the control / marshalling room</t>
        </is>
      </c>
      <c r="E4484" s="12" t="inlineStr">
        <is>
          <t>PAD-EH</t>
        </is>
      </c>
      <c r="F4484" s="12" t="inlineStr">
        <is>
          <t>PAD-EH 13.8 kV switchgear e-house</t>
        </is>
      </c>
      <c r="G4484" s="12" t="inlineStr">
        <is>
          <t>JB-GEN-O-DI01</t>
        </is>
      </c>
      <c r="H4484" s="12" t="inlineStr">
        <is>
          <t>GEN-O: open engine-generator skid</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6" t="n">
        <v>153</v>
      </c>
      <c r="U4484" s="16" t="n">
        <v>79</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I-I-0127</t>
        </is>
      </c>
      <c r="B4485" s="12" t="inlineStr">
        <is>
          <t>I</t>
        </is>
      </c>
      <c r="C4485" s="12" t="inlineStr">
        <is>
          <t>Modular / portable power</t>
        </is>
      </c>
      <c r="D4485" s="12" t="inlineStr">
        <is>
          <t>Instrumentation</t>
        </is>
      </c>
      <c r="E4485" s="12" t="inlineStr"/>
      <c r="F4485" s="12" t="inlineStr">
        <is>
          <t>PCM: power control module</t>
        </is>
      </c>
      <c r="G4485" s="12" t="inlineStr"/>
      <c r="H4485" s="12" t="inlineStr">
        <is>
          <t>Gas conditioning skid</t>
        </is>
      </c>
      <c r="I4485" s="12" t="inlineStr">
        <is>
          <t>Instrumentation</t>
        </is>
      </c>
      <c r="J4485" s="12" t="inlineStr">
        <is>
          <t>Instrumentation ITC / PLTC, IS, #18 shielded pairs, blue jacket</t>
        </is>
      </c>
      <c r="K4485" s="12" t="inlineStr">
        <is>
          <t>ITC|4 pr|18</t>
        </is>
      </c>
      <c r="L4485" s="12" t="inlineStr">
        <is>
          <t>4 pr</t>
        </is>
      </c>
      <c r="M4485" s="12" t="inlineStr">
        <is>
          <t>18</t>
        </is>
      </c>
      <c r="N4485" s="12" t="n">
        <v>1</v>
      </c>
      <c r="O4485" s="12" t="n">
        <v>1</v>
      </c>
      <c r="P4485" s="12" t="n"/>
      <c r="Q4485" s="12" t="n"/>
      <c r="R4485" s="12" t="n"/>
      <c r="S4485" s="12" t="inlineStr">
        <is>
          <t>Tray</t>
        </is>
      </c>
      <c r="T4485" s="16" t="n">
        <v>32</v>
      </c>
      <c r="U4485" s="16" t="n">
        <v>94</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I-I-0128</t>
        </is>
      </c>
      <c r="B4486" s="12" t="inlineStr">
        <is>
          <t>I</t>
        </is>
      </c>
      <c r="C4486" s="12" t="inlineStr">
        <is>
          <t>Modular / portable power</t>
        </is>
      </c>
      <c r="D4486" s="12" t="inlineStr">
        <is>
          <t>Instrumentation</t>
        </is>
      </c>
      <c r="E4486" s="12" t="inlineStr"/>
      <c r="F4486" s="12" t="inlineStr">
        <is>
          <t>PCM: power control module</t>
        </is>
      </c>
      <c r="G4486" s="12" t="inlineStr"/>
      <c r="H4486" s="12" t="inlineStr">
        <is>
          <t>Gas conditioning skid</t>
        </is>
      </c>
      <c r="I4486" s="12" t="inlineStr">
        <is>
          <t>Instrumentation</t>
        </is>
      </c>
      <c r="J4486" s="12" t="inlineStr">
        <is>
          <t>Instrumentation ITC / PLTC, IS, #18 shielded pairs, blue jacket</t>
        </is>
      </c>
      <c r="K4486" s="12" t="inlineStr">
        <is>
          <t>ITC|12 pr|18</t>
        </is>
      </c>
      <c r="L4486" s="12" t="inlineStr">
        <is>
          <t>12 pr</t>
        </is>
      </c>
      <c r="M4486" s="12" t="inlineStr">
        <is>
          <t>18</t>
        </is>
      </c>
      <c r="N4486" s="12" t="n">
        <v>1</v>
      </c>
      <c r="O4486" s="12" t="n">
        <v>1</v>
      </c>
      <c r="P4486" s="12" t="n"/>
      <c r="Q4486" s="12" t="n"/>
      <c r="R4486" s="12" t="n"/>
      <c r="S4486" s="12" t="inlineStr">
        <is>
          <t>Tray</t>
        </is>
      </c>
      <c r="T4486" s="16" t="n">
        <v>32</v>
      </c>
      <c r="U4486" s="16" t="n">
        <v>94</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I-I-0129</t>
        </is>
      </c>
      <c r="B4487" s="12" t="inlineStr">
        <is>
          <t>I</t>
        </is>
      </c>
      <c r="C4487" s="12" t="inlineStr">
        <is>
          <t>Modular / portable power</t>
        </is>
      </c>
      <c r="D4487" s="12" t="inlineStr">
        <is>
          <t>Analog instrument to JB JB-MOB-1-AI01: 20 x 1 pr (field cables)</t>
        </is>
      </c>
      <c r="E4487" s="12" t="inlineStr">
        <is>
          <t>MOB-1</t>
        </is>
      </c>
      <c r="F4487" s="12" t="inlineStr">
        <is>
          <t>MOB-1: trailer genset</t>
        </is>
      </c>
      <c r="G4487" s="12" t="inlineStr">
        <is>
          <t>JB-MOB-1-AI01</t>
        </is>
      </c>
      <c r="H4487" s="12" t="inlineStr">
        <is>
          <t>MOB-1: trailer genset</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61</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I-I-0130</t>
        </is>
      </c>
      <c r="B4488" s="12" t="inlineStr">
        <is>
          <t>I</t>
        </is>
      </c>
      <c r="C4488" s="12" t="inlineStr">
        <is>
          <t>Modular / portable power</t>
        </is>
      </c>
      <c r="D4488" s="12" t="inlineStr">
        <is>
          <t>Home run JB-MOB-1-AI01 to the control / marshalling room</t>
        </is>
      </c>
      <c r="E4488" s="12" t="inlineStr">
        <is>
          <t>PAD-EH</t>
        </is>
      </c>
      <c r="F4488" s="12" t="inlineStr">
        <is>
          <t>PAD-EH 13.8 kV switchgear e-house</t>
        </is>
      </c>
      <c r="G4488" s="12" t="inlineStr">
        <is>
          <t>JB-MOB-1-AI01</t>
        </is>
      </c>
      <c r="H4488" s="12" t="inlineStr">
        <is>
          <t>MOB-1: trailer genset</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6" t="n">
        <v>113</v>
      </c>
      <c r="U4488" s="16" t="n">
        <v>160</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I-I-0131</t>
        </is>
      </c>
      <c r="B4489" s="12" t="inlineStr">
        <is>
          <t>I</t>
        </is>
      </c>
      <c r="C4489" s="12" t="inlineStr">
        <is>
          <t>Modular / portable power</t>
        </is>
      </c>
      <c r="D4489" s="12" t="inlineStr">
        <is>
          <t>Discrete device to JB JB-MOB-1-DI01: 20 x 1 pr (field cables)</t>
        </is>
      </c>
      <c r="E4489" s="12" t="inlineStr">
        <is>
          <t>MOB-1</t>
        </is>
      </c>
      <c r="F4489" s="12" t="inlineStr">
        <is>
          <t>MOB-1: trailer genset</t>
        </is>
      </c>
      <c r="G4489" s="12" t="inlineStr">
        <is>
          <t>JB-MOB-1-DI01</t>
        </is>
      </c>
      <c r="H4489" s="12" t="inlineStr">
        <is>
          <t>MOB-1: trailer genset</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6" t="n">
        <v>61</v>
      </c>
      <c r="U4489" s="16" t="n">
        <v>10</v>
      </c>
      <c r="V4489" s="16">
        <f>ROUNDUP((T4489+U4489+2*'Read Me'!$B$13)*(1+'Read Me'!$B$12),-1)</f>
        <v/>
      </c>
      <c r="W4489" s="16">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I-I-0132</t>
        </is>
      </c>
      <c r="B4490" s="12" t="inlineStr">
        <is>
          <t>I</t>
        </is>
      </c>
      <c r="C4490" s="12" t="inlineStr">
        <is>
          <t>Modular / portable power</t>
        </is>
      </c>
      <c r="D4490" s="12" t="inlineStr">
        <is>
          <t>Home run JB-MOB-1-DI01 to the control / marshalling room</t>
        </is>
      </c>
      <c r="E4490" s="12" t="inlineStr">
        <is>
          <t>PAD-EH</t>
        </is>
      </c>
      <c r="F4490" s="12" t="inlineStr">
        <is>
          <t>PAD-EH 13.8 kV switchgear e-house</t>
        </is>
      </c>
      <c r="G4490" s="12" t="inlineStr">
        <is>
          <t>JB-MOB-1-DI01</t>
        </is>
      </c>
      <c r="H4490" s="12" t="inlineStr">
        <is>
          <t>MOB-1: trailer genset</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Surface</t>
        </is>
      </c>
      <c r="T4490" s="16" t="n">
        <v>113</v>
      </c>
      <c r="U4490" s="16" t="n">
        <v>160</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I-I-0133</t>
        </is>
      </c>
      <c r="B4491" s="12" t="inlineStr">
        <is>
          <t>I</t>
        </is>
      </c>
      <c r="C4491" s="12" t="inlineStr">
        <is>
          <t>Modular / portable power</t>
        </is>
      </c>
      <c r="D4491" s="12" t="inlineStr">
        <is>
          <t>Instrumentation</t>
        </is>
      </c>
      <c r="E4491" s="12" t="inlineStr"/>
      <c r="F4491" s="12" t="inlineStr">
        <is>
          <t>PCM: power control module</t>
        </is>
      </c>
      <c r="G4491" s="12" t="inlineStr"/>
      <c r="H4491" s="12" t="inlineStr">
        <is>
          <t>MOD-LV 480 V board + 480 V : 13.8 kV step-up</t>
        </is>
      </c>
      <c r="I4491" s="12" t="inlineStr">
        <is>
          <t>Instrumentation</t>
        </is>
      </c>
      <c r="J4491" s="12" t="inlineStr">
        <is>
          <t>Instrumentation PLTC / TC-ER 300 V, #18 twisted shielded pairs, overall shield</t>
        </is>
      </c>
      <c r="K4491" s="12" t="inlineStr">
        <is>
          <t>PLTC|4 pr|18</t>
        </is>
      </c>
      <c r="L4491" s="12" t="inlineStr">
        <is>
          <t>4 pr</t>
        </is>
      </c>
      <c r="M4491" s="12" t="inlineStr">
        <is>
          <t>18</t>
        </is>
      </c>
      <c r="N4491" s="12" t="n">
        <v>1</v>
      </c>
      <c r="O4491" s="12" t="n">
        <v>1</v>
      </c>
      <c r="P4491" s="12" t="n"/>
      <c r="Q4491" s="12" t="n"/>
      <c r="R4491" s="12" t="n"/>
      <c r="S4491" s="12" t="inlineStr">
        <is>
          <t>Duct bank</t>
        </is>
      </c>
      <c r="T4491" s="16" t="n">
        <v>773</v>
      </c>
      <c r="U4491" s="16" t="n">
        <v>34</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I-I-0134</t>
        </is>
      </c>
      <c r="B4492" s="12" t="inlineStr">
        <is>
          <t>I</t>
        </is>
      </c>
      <c r="C4492" s="12" t="inlineStr">
        <is>
          <t>Modular / portable power</t>
        </is>
      </c>
      <c r="D4492" s="12" t="inlineStr">
        <is>
          <t>Analog instrument to JB JB-MT-1: microturbine-AI01: 6 x 1 pr (field cables)</t>
        </is>
      </c>
      <c r="E4492" s="12" t="inlineStr"/>
      <c r="F4492" s="12" t="inlineStr">
        <is>
          <t>MT-1: microturbine 1 MW (Capstone C1000 class)</t>
        </is>
      </c>
      <c r="G4492" s="12" t="inlineStr">
        <is>
          <t>JB-MT-1: microturbine-AI01</t>
        </is>
      </c>
      <c r="H4492" s="12" t="inlineStr">
        <is>
          <t>MT-1: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6" t="n">
        <v>47</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I-I-0135</t>
        </is>
      </c>
      <c r="B4493" s="12" t="inlineStr">
        <is>
          <t>I</t>
        </is>
      </c>
      <c r="C4493" s="12" t="inlineStr">
        <is>
          <t>Modular / portable power</t>
        </is>
      </c>
      <c r="D4493" s="12" t="inlineStr">
        <is>
          <t>Home run JB-MT-1: microturbine-AI01 to the control / marshalling room</t>
        </is>
      </c>
      <c r="E4493" s="12" t="inlineStr"/>
      <c r="F4493" s="12" t="inlineStr">
        <is>
          <t>PCM: power control module</t>
        </is>
      </c>
      <c r="G4493" s="12" t="inlineStr">
        <is>
          <t>JB-MT-1: microturbine-AI01</t>
        </is>
      </c>
      <c r="H4493" s="12" t="inlineStr">
        <is>
          <t>MT-1: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807</v>
      </c>
      <c r="U4493" s="16" t="n">
        <v>117</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I-I-0136</t>
        </is>
      </c>
      <c r="B4494" s="12" t="inlineStr">
        <is>
          <t>I</t>
        </is>
      </c>
      <c r="C4494" s="12" t="inlineStr">
        <is>
          <t>Modular / portable power</t>
        </is>
      </c>
      <c r="D4494" s="12" t="inlineStr">
        <is>
          <t>Discrete device to JB JB-MT-1: microturbine-DI01: 6 x 1 pr (field cables)</t>
        </is>
      </c>
      <c r="E4494" s="12" t="inlineStr"/>
      <c r="F4494" s="12" t="inlineStr">
        <is>
          <t>MT-1: microturbine 1 MW (Capstone C1000 class)</t>
        </is>
      </c>
      <c r="G4494" s="12" t="inlineStr">
        <is>
          <t>JB-MT-1: microturbine-DI01</t>
        </is>
      </c>
      <c r="H4494" s="12" t="inlineStr">
        <is>
          <t>MT-1: microturbine 1 MW (Capstone C1000 class)</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6</v>
      </c>
      <c r="O4494" s="12" t="n">
        <v>1</v>
      </c>
      <c r="P4494" s="12" t="n"/>
      <c r="Q4494" s="12" t="n"/>
      <c r="R4494" s="12" t="n"/>
      <c r="S4494" s="12" t="inlineStr">
        <is>
          <t>Tray / conduit</t>
        </is>
      </c>
      <c r="T4494" s="16" t="n">
        <v>47</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I-I-0137</t>
        </is>
      </c>
      <c r="B4495" s="12" t="inlineStr">
        <is>
          <t>I</t>
        </is>
      </c>
      <c r="C4495" s="12" t="inlineStr">
        <is>
          <t>Modular / portable power</t>
        </is>
      </c>
      <c r="D4495" s="12" t="inlineStr">
        <is>
          <t>Home run JB-MT-1: microturbine-DI01 to the control / marshalling room</t>
        </is>
      </c>
      <c r="E4495" s="12" t="inlineStr"/>
      <c r="F4495" s="12" t="inlineStr">
        <is>
          <t>PCM: power control module</t>
        </is>
      </c>
      <c r="G4495" s="12" t="inlineStr">
        <is>
          <t>JB-MT-1: microturbine-DI01</t>
        </is>
      </c>
      <c r="H4495" s="12" t="inlineStr">
        <is>
          <t>MT-1: microturbine 1 MW (Capstone C1000 class)</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807</v>
      </c>
      <c r="U4495" s="16" t="n">
        <v>117</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I-I-0138</t>
        </is>
      </c>
      <c r="B4496" s="12" t="inlineStr">
        <is>
          <t>I</t>
        </is>
      </c>
      <c r="C4496" s="12" t="inlineStr">
        <is>
          <t>Modular / portable power</t>
        </is>
      </c>
      <c r="D4496" s="12" t="inlineStr">
        <is>
          <t>Analog instrument to JB JB-MT-2: microturbine-AI01: 6 x 1 pr (field cables)</t>
        </is>
      </c>
      <c r="E4496" s="12" t="inlineStr"/>
      <c r="F4496" s="12" t="inlineStr">
        <is>
          <t>MT-2: microturbine 1 MW (Capstone C1000 class)</t>
        </is>
      </c>
      <c r="G4496" s="12" t="inlineStr">
        <is>
          <t>JB-MT-2: microturbine-AI01</t>
        </is>
      </c>
      <c r="H4496" s="12" t="inlineStr">
        <is>
          <t>MT-2: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47</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I-I-0139</t>
        </is>
      </c>
      <c r="B4497" s="12" t="inlineStr">
        <is>
          <t>I</t>
        </is>
      </c>
      <c r="C4497" s="12" t="inlineStr">
        <is>
          <t>Modular / portable power</t>
        </is>
      </c>
      <c r="D4497" s="12" t="inlineStr">
        <is>
          <t>Home run JB-MT-2: microturbine-AI01 to the control / marshalling room</t>
        </is>
      </c>
      <c r="E4497" s="12" t="inlineStr"/>
      <c r="F4497" s="12" t="inlineStr">
        <is>
          <t>PCM: power control module</t>
        </is>
      </c>
      <c r="G4497" s="12" t="inlineStr">
        <is>
          <t>JB-MT-2: microturbine-AI01</t>
        </is>
      </c>
      <c r="H4497" s="12" t="inlineStr">
        <is>
          <t>MT-2: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807</v>
      </c>
      <c r="U4497" s="16" t="n">
        <v>131</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I-I-0140</t>
        </is>
      </c>
      <c r="B4498" s="12" t="inlineStr">
        <is>
          <t>I</t>
        </is>
      </c>
      <c r="C4498" s="12" t="inlineStr">
        <is>
          <t>Modular / portable power</t>
        </is>
      </c>
      <c r="D4498" s="12" t="inlineStr">
        <is>
          <t>Discrete device to JB JB-MT-2: microturbine-DI01: 6 x 1 pr (field cables)</t>
        </is>
      </c>
      <c r="E4498" s="12" t="inlineStr"/>
      <c r="F4498" s="12" t="inlineStr">
        <is>
          <t>MT-2: microturbine 1 MW (Capstone C1000 class)</t>
        </is>
      </c>
      <c r="G4498" s="12" t="inlineStr">
        <is>
          <t>JB-MT-2: microturbine-DI01</t>
        </is>
      </c>
      <c r="H4498" s="12" t="inlineStr">
        <is>
          <t>MT-2: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6" t="n">
        <v>47</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I-I-0141</t>
        </is>
      </c>
      <c r="B4499" s="12" t="inlineStr">
        <is>
          <t>I</t>
        </is>
      </c>
      <c r="C4499" s="12" t="inlineStr">
        <is>
          <t>Modular / portable power</t>
        </is>
      </c>
      <c r="D4499" s="12" t="inlineStr">
        <is>
          <t>Home run JB-MT-2: microturbine-DI01 to the control / marshalling room</t>
        </is>
      </c>
      <c r="E4499" s="12" t="inlineStr"/>
      <c r="F4499" s="12" t="inlineStr">
        <is>
          <t>PCM: power control module</t>
        </is>
      </c>
      <c r="G4499" s="12" t="inlineStr">
        <is>
          <t>JB-MT-2: microturbine-DI01</t>
        </is>
      </c>
      <c r="H4499" s="12" t="inlineStr">
        <is>
          <t>MT-2: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6" t="n">
        <v>807</v>
      </c>
      <c r="U4499" s="16" t="n">
        <v>131</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I-I-0142</t>
        </is>
      </c>
      <c r="B4500" s="12" t="inlineStr">
        <is>
          <t>I</t>
        </is>
      </c>
      <c r="C4500" s="12" t="inlineStr">
        <is>
          <t>Modular / portable power</t>
        </is>
      </c>
      <c r="D4500" s="12" t="inlineStr">
        <is>
          <t>Analog instrument to JB JB-MT-3: microturbine-AI01: 6 x 1 pr (field cables)</t>
        </is>
      </c>
      <c r="E4500" s="12" t="inlineStr"/>
      <c r="F4500" s="12" t="inlineStr">
        <is>
          <t>MT-3: microturbine 1 MW (Capstone C1000 class)</t>
        </is>
      </c>
      <c r="G4500" s="12" t="inlineStr">
        <is>
          <t>JB-MT-3: microturbine-AI01</t>
        </is>
      </c>
      <c r="H4500" s="12" t="inlineStr">
        <is>
          <t>MT-3: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6" t="n">
        <v>47</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I-I-0143</t>
        </is>
      </c>
      <c r="B4501" s="12" t="inlineStr">
        <is>
          <t>I</t>
        </is>
      </c>
      <c r="C4501" s="12" t="inlineStr">
        <is>
          <t>Modular / portable power</t>
        </is>
      </c>
      <c r="D4501" s="12" t="inlineStr">
        <is>
          <t>Home run JB-MT-3: microturbine-AI01 to the control / marshalling room</t>
        </is>
      </c>
      <c r="E4501" s="12" t="inlineStr"/>
      <c r="F4501" s="12" t="inlineStr">
        <is>
          <t>PCM: power control module</t>
        </is>
      </c>
      <c r="G4501" s="12" t="inlineStr">
        <is>
          <t>JB-MT-3: microturbine-AI01</t>
        </is>
      </c>
      <c r="H4501" s="12" t="inlineStr">
        <is>
          <t>MT-3: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6" t="n">
        <v>807</v>
      </c>
      <c r="U4501" s="16" t="n">
        <v>145</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I-I-0144</t>
        </is>
      </c>
      <c r="B4502" s="12" t="inlineStr">
        <is>
          <t>I</t>
        </is>
      </c>
      <c r="C4502" s="12" t="inlineStr">
        <is>
          <t>Modular / portable power</t>
        </is>
      </c>
      <c r="D4502" s="12" t="inlineStr">
        <is>
          <t>Discrete device to JB JB-MT-3: microturbine-DI01: 6 x 1 pr (field cables)</t>
        </is>
      </c>
      <c r="E4502" s="12" t="inlineStr"/>
      <c r="F4502" s="12" t="inlineStr">
        <is>
          <t>MT-3: microturbine 1 MW (Capstone C1000 class)</t>
        </is>
      </c>
      <c r="G4502" s="12" t="inlineStr">
        <is>
          <t>JB-MT-3: microturbine-DI01</t>
        </is>
      </c>
      <c r="H4502" s="12" t="inlineStr">
        <is>
          <t>MT-3: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6" t="n">
        <v>47</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I-I-0145</t>
        </is>
      </c>
      <c r="B4503" s="12" t="inlineStr">
        <is>
          <t>I</t>
        </is>
      </c>
      <c r="C4503" s="12" t="inlineStr">
        <is>
          <t>Modular / portable power</t>
        </is>
      </c>
      <c r="D4503" s="12" t="inlineStr">
        <is>
          <t>Home run JB-MT-3: microturbine-DI01 to the control / marshalling room</t>
        </is>
      </c>
      <c r="E4503" s="12" t="inlineStr"/>
      <c r="F4503" s="12" t="inlineStr">
        <is>
          <t>PCM: power control module</t>
        </is>
      </c>
      <c r="G4503" s="12" t="inlineStr">
        <is>
          <t>JB-MT-3: microturbine-DI01</t>
        </is>
      </c>
      <c r="H4503" s="12" t="inlineStr">
        <is>
          <t>MT-3: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807</v>
      </c>
      <c r="U4503" s="16" t="n">
        <v>145</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I-I-0146</t>
        </is>
      </c>
      <c r="B4504" s="12" t="inlineStr">
        <is>
          <t>I</t>
        </is>
      </c>
      <c r="C4504" s="12" t="inlineStr">
        <is>
          <t>Modular / portable power</t>
        </is>
      </c>
      <c r="D4504" s="12" t="inlineStr">
        <is>
          <t>Analog instrument to JB JB-MT-4-AI01: 6 x 1 pr (field cables)</t>
        </is>
      </c>
      <c r="E4504" s="12" t="inlineStr">
        <is>
          <t>MT-4</t>
        </is>
      </c>
      <c r="F4504" s="12" t="inlineStr">
        <is>
          <t>MT-4: microturbine 1 MW (Capstone C1000 class)</t>
        </is>
      </c>
      <c r="G4504" s="12" t="inlineStr">
        <is>
          <t>JB-MT-4-AI01</t>
        </is>
      </c>
      <c r="H4504" s="12" t="inlineStr">
        <is>
          <t>MT-4: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47</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I-I-0147</t>
        </is>
      </c>
      <c r="B4505" s="12" t="inlineStr">
        <is>
          <t>I</t>
        </is>
      </c>
      <c r="C4505" s="12" t="inlineStr">
        <is>
          <t>Modular / portable power</t>
        </is>
      </c>
      <c r="D4505" s="12" t="inlineStr">
        <is>
          <t>Home run JB-MT-4-AI01 to the control / marshalling room</t>
        </is>
      </c>
      <c r="E4505" s="12" t="inlineStr">
        <is>
          <t>PAD-EH</t>
        </is>
      </c>
      <c r="F4505" s="12" t="inlineStr">
        <is>
          <t>PAD-EH 13.8 kV switchgear e-house</t>
        </is>
      </c>
      <c r="G4505" s="12" t="inlineStr">
        <is>
          <t>JB-MT-4-AI01</t>
        </is>
      </c>
      <c r="H4505" s="12" t="inlineStr">
        <is>
          <t>MT-4: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Surface</t>
        </is>
      </c>
      <c r="T4505" s="16" t="n">
        <v>198</v>
      </c>
      <c r="U4505" s="16" t="n">
        <v>47</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I-I-0148</t>
        </is>
      </c>
      <c r="B4506" s="12" t="inlineStr">
        <is>
          <t>I</t>
        </is>
      </c>
      <c r="C4506" s="12" t="inlineStr">
        <is>
          <t>Modular / portable power</t>
        </is>
      </c>
      <c r="D4506" s="12" t="inlineStr">
        <is>
          <t>Discrete device to JB JB-MT-4-DI01: 6 x 1 pr (field cables)</t>
        </is>
      </c>
      <c r="E4506" s="12" t="inlineStr">
        <is>
          <t>MT-4</t>
        </is>
      </c>
      <c r="F4506" s="12" t="inlineStr">
        <is>
          <t>MT-4: microturbine 1 MW (Capstone C1000 class)</t>
        </is>
      </c>
      <c r="G4506" s="12" t="inlineStr">
        <is>
          <t>JB-MT-4-DI01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6" t="n">
        <v>47</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I-I-0149</t>
        </is>
      </c>
      <c r="B4507" s="12" t="inlineStr">
        <is>
          <t>I</t>
        </is>
      </c>
      <c r="C4507" s="12" t="inlineStr">
        <is>
          <t>Modular / portable power</t>
        </is>
      </c>
      <c r="D4507" s="12" t="inlineStr">
        <is>
          <t>Home run JB-MT-4-DI01 to the control / marshalling room</t>
        </is>
      </c>
      <c r="E4507" s="12" t="inlineStr">
        <is>
          <t>PAD-EH</t>
        </is>
      </c>
      <c r="F4507" s="12" t="inlineStr">
        <is>
          <t>PAD-EH 13.8 kV switchgear e-house</t>
        </is>
      </c>
      <c r="G4507" s="12" t="inlineStr">
        <is>
          <t>JB-MT-4-DI01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Surface</t>
        </is>
      </c>
      <c r="T4507" s="16" t="n">
        <v>198</v>
      </c>
      <c r="U4507" s="16" t="n">
        <v>47</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I-I-0150</t>
        </is>
      </c>
      <c r="B4508" s="12" t="inlineStr">
        <is>
          <t>I</t>
        </is>
      </c>
      <c r="C4508" s="12" t="inlineStr">
        <is>
          <t>Modular / portable power</t>
        </is>
      </c>
      <c r="D4508" s="12" t="inlineStr">
        <is>
          <t>Analog instrument to JB JB-MT-5-AI01: 6 x 1 pr (field cables)</t>
        </is>
      </c>
      <c r="E4508" s="12" t="inlineStr">
        <is>
          <t>MT-5</t>
        </is>
      </c>
      <c r="F4508" s="12" t="inlineStr">
        <is>
          <t>MT-5: microturbine 1 MW (Capstone C1000 class)</t>
        </is>
      </c>
      <c r="G4508" s="12" t="inlineStr">
        <is>
          <t>JB-MT-5-AI01</t>
        </is>
      </c>
      <c r="H4508" s="12" t="inlineStr">
        <is>
          <t>MT-5: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6" t="n">
        <v>47</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I-I-0151</t>
        </is>
      </c>
      <c r="B4509" s="12" t="inlineStr">
        <is>
          <t>I</t>
        </is>
      </c>
      <c r="C4509" s="12" t="inlineStr">
        <is>
          <t>Modular / portable power</t>
        </is>
      </c>
      <c r="D4509" s="12" t="inlineStr">
        <is>
          <t>Home run JB-MT-5-AI01 to the control / marshalling room</t>
        </is>
      </c>
      <c r="E4509" s="12" t="inlineStr">
        <is>
          <t>PAD-EH</t>
        </is>
      </c>
      <c r="F4509" s="12" t="inlineStr">
        <is>
          <t>PAD-EH 13.8 kV switchgear e-house</t>
        </is>
      </c>
      <c r="G4509" s="12" t="inlineStr">
        <is>
          <t>JB-MT-5-AI01</t>
        </is>
      </c>
      <c r="H4509" s="12" t="inlineStr">
        <is>
          <t>MT-5: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Surface</t>
        </is>
      </c>
      <c r="T4509" s="16" t="n">
        <v>198</v>
      </c>
      <c r="U4509" s="16" t="n">
        <v>37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I-I-0152</t>
        </is>
      </c>
      <c r="B4510" s="12" t="inlineStr">
        <is>
          <t>I</t>
        </is>
      </c>
      <c r="C4510" s="12" t="inlineStr">
        <is>
          <t>Modular / portable power</t>
        </is>
      </c>
      <c r="D4510" s="12" t="inlineStr">
        <is>
          <t>Discrete device to JB JB-MT-5-DI01: 6 x 1 pr (field cables)</t>
        </is>
      </c>
      <c r="E4510" s="12" t="inlineStr">
        <is>
          <t>MT-5</t>
        </is>
      </c>
      <c r="F4510" s="12" t="inlineStr">
        <is>
          <t>MT-5: microturbine 1 MW (Capstone C1000 class)</t>
        </is>
      </c>
      <c r="G4510" s="12" t="inlineStr">
        <is>
          <t>JB-MT-5-DI01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6" t="n">
        <v>47</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I-I-0153</t>
        </is>
      </c>
      <c r="B4511" s="12" t="inlineStr">
        <is>
          <t>I</t>
        </is>
      </c>
      <c r="C4511" s="12" t="inlineStr">
        <is>
          <t>Modular / portable power</t>
        </is>
      </c>
      <c r="D4511" s="12" t="inlineStr">
        <is>
          <t>Home run JB-MT-5-DI01 to the control / marshalling room</t>
        </is>
      </c>
      <c r="E4511" s="12" t="inlineStr">
        <is>
          <t>PAD-EH</t>
        </is>
      </c>
      <c r="F4511" s="12" t="inlineStr">
        <is>
          <t>PAD-EH 13.8 kV switchgear e-house</t>
        </is>
      </c>
      <c r="G4511" s="12" t="inlineStr">
        <is>
          <t>JB-MT-5-DI01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Surface</t>
        </is>
      </c>
      <c r="T4511" s="16" t="n">
        <v>198</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I-I-0154</t>
        </is>
      </c>
      <c r="B4512" s="12" t="inlineStr">
        <is>
          <t>I</t>
        </is>
      </c>
      <c r="C4512" s="12" t="inlineStr">
        <is>
          <t>Modular / portable power</t>
        </is>
      </c>
      <c r="D4512" s="12" t="inlineStr">
        <is>
          <t>Analog instrument to JB JB-MT-6-AI01: 6 x 1 pr (field cables)</t>
        </is>
      </c>
      <c r="E4512" s="12" t="inlineStr">
        <is>
          <t>MT-6</t>
        </is>
      </c>
      <c r="F4512" s="12" t="inlineStr">
        <is>
          <t>MT-6: microturbine 1 MW (Capstone C1000 class)</t>
        </is>
      </c>
      <c r="G4512" s="12" t="inlineStr">
        <is>
          <t>JB-MT-6-AI01</t>
        </is>
      </c>
      <c r="H4512" s="12" t="inlineStr">
        <is>
          <t>MT-6: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47</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I-I-0155</t>
        </is>
      </c>
      <c r="B4513" s="12" t="inlineStr">
        <is>
          <t>I</t>
        </is>
      </c>
      <c r="C4513" s="12" t="inlineStr">
        <is>
          <t>Modular / portable power</t>
        </is>
      </c>
      <c r="D4513" s="12" t="inlineStr">
        <is>
          <t>Home run JB-MT-6-AI01 to the control / marshalling room</t>
        </is>
      </c>
      <c r="E4513" s="12" t="inlineStr">
        <is>
          <t>PAD-EH</t>
        </is>
      </c>
      <c r="F4513" s="12" t="inlineStr">
        <is>
          <t>PAD-EH 13.8 kV switchgear e-house</t>
        </is>
      </c>
      <c r="G4513" s="12" t="inlineStr">
        <is>
          <t>JB-MT-6-AI01</t>
        </is>
      </c>
      <c r="H4513" s="12" t="inlineStr">
        <is>
          <t>MT-6: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Surface</t>
        </is>
      </c>
      <c r="T4513" s="16" t="n">
        <v>67</v>
      </c>
      <c r="U4513" s="16" t="n">
        <v>90</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I-I-0156</t>
        </is>
      </c>
      <c r="B4514" s="12" t="inlineStr">
        <is>
          <t>I</t>
        </is>
      </c>
      <c r="C4514" s="12" t="inlineStr">
        <is>
          <t>Modular / portable power</t>
        </is>
      </c>
      <c r="D4514" s="12" t="inlineStr">
        <is>
          <t>Discrete device to JB JB-MT-6-DI01: 6 x 1 pr (field cables)</t>
        </is>
      </c>
      <c r="E4514" s="12" t="inlineStr">
        <is>
          <t>MT-6</t>
        </is>
      </c>
      <c r="F4514" s="12" t="inlineStr">
        <is>
          <t>MT-6: microturbine 1 MW (Capstone C1000 class)</t>
        </is>
      </c>
      <c r="G4514" s="12" t="inlineStr">
        <is>
          <t>JB-MT-6-DI01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6" t="n">
        <v>47</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I-I-0157</t>
        </is>
      </c>
      <c r="B4515" s="12" t="inlineStr">
        <is>
          <t>I</t>
        </is>
      </c>
      <c r="C4515" s="12" t="inlineStr">
        <is>
          <t>Modular / portable power</t>
        </is>
      </c>
      <c r="D4515" s="12" t="inlineStr">
        <is>
          <t>Home run JB-MT-6-DI01 to the control / marshalling room</t>
        </is>
      </c>
      <c r="E4515" s="12" t="inlineStr">
        <is>
          <t>PAD-EH</t>
        </is>
      </c>
      <c r="F4515" s="12" t="inlineStr">
        <is>
          <t>PAD-EH 13.8 kV switchgear e-house</t>
        </is>
      </c>
      <c r="G4515" s="12" t="inlineStr">
        <is>
          <t>JB-MT-6-DI01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67</v>
      </c>
      <c r="U4515" s="16" t="n">
        <v>90</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I-I-0158</t>
        </is>
      </c>
      <c r="B4516" s="12" t="inlineStr">
        <is>
          <t>I</t>
        </is>
      </c>
      <c r="C4516" s="12" t="inlineStr">
        <is>
          <t>Modular / portable power</t>
        </is>
      </c>
      <c r="D4516" s="12" t="inlineStr">
        <is>
          <t>Analog instrument to JB JB-RICE 1 SCR + oxida-AI01: 10 x 1 pr (field cables)</t>
        </is>
      </c>
      <c r="E4516" s="12" t="inlineStr"/>
      <c r="F4516" s="12" t="inlineStr">
        <is>
          <t>RICE 1 SCR + oxidation catalyst and stack</t>
        </is>
      </c>
      <c r="G4516" s="12" t="inlineStr">
        <is>
          <t>JB-RICE 1 SCR + oxida-AI01</t>
        </is>
      </c>
      <c r="H4516" s="12" t="inlineStr">
        <is>
          <t>RICE 1 SCR + oxidation catalyst and stack</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92</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I-I-0159</t>
        </is>
      </c>
      <c r="B4517" s="12" t="inlineStr">
        <is>
          <t>I</t>
        </is>
      </c>
      <c r="C4517" s="12" t="inlineStr">
        <is>
          <t>Modular / portable power</t>
        </is>
      </c>
      <c r="D4517" s="12" t="inlineStr">
        <is>
          <t>Home run JB-RICE 1 SCR + oxida-AI01 to the control / marshalling room</t>
        </is>
      </c>
      <c r="E4517" s="12" t="inlineStr"/>
      <c r="F4517" s="12" t="inlineStr">
        <is>
          <t>PCM: power control module</t>
        </is>
      </c>
      <c r="G4517" s="12" t="inlineStr">
        <is>
          <t>JB-RICE 1 SCR + oxida-AI01</t>
        </is>
      </c>
      <c r="H4517" s="12" t="inlineStr">
        <is>
          <t>RICE 1 SCR + oxidation catalyst and stack</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470</v>
      </c>
      <c r="U4517" s="16" t="n">
        <v>160</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I-I-0160</t>
        </is>
      </c>
      <c r="B4518" s="12" t="inlineStr">
        <is>
          <t>I</t>
        </is>
      </c>
      <c r="C4518" s="12" t="inlineStr">
        <is>
          <t>Modular / portable power</t>
        </is>
      </c>
      <c r="D4518" s="12" t="inlineStr">
        <is>
          <t>Discrete device to JB JB-RICE 1 SCR + oxida-DI01: 6 x 1 pr (field cables)</t>
        </is>
      </c>
      <c r="E4518" s="12" t="inlineStr"/>
      <c r="F4518" s="12" t="inlineStr">
        <is>
          <t>RICE 1 SCR + oxidation catalyst and stack</t>
        </is>
      </c>
      <c r="G4518" s="12" t="inlineStr">
        <is>
          <t>JB-RICE 1 SCR + oxida-DI01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I-I-0161</t>
        </is>
      </c>
      <c r="B4519" s="12" t="inlineStr">
        <is>
          <t>I</t>
        </is>
      </c>
      <c r="C4519" s="12" t="inlineStr">
        <is>
          <t>Modular / portable power</t>
        </is>
      </c>
      <c r="D4519" s="12" t="inlineStr">
        <is>
          <t>Home run JB-RICE 1 SCR + oxida-DI01 to the control / marshalling room</t>
        </is>
      </c>
      <c r="E4519" s="12" t="inlineStr"/>
      <c r="F4519" s="12" t="inlineStr">
        <is>
          <t>PCM: power control module</t>
        </is>
      </c>
      <c r="G4519" s="12" t="inlineStr">
        <is>
          <t>JB-RICE 1 SCR + oxida-DI01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470</v>
      </c>
      <c r="U4519" s="16" t="n">
        <v>160</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I-I-0162</t>
        </is>
      </c>
      <c r="B4520" s="12" t="inlineStr">
        <is>
          <t>I</t>
        </is>
      </c>
      <c r="C4520" s="12" t="inlineStr">
        <is>
          <t>Modular / portable power</t>
        </is>
      </c>
      <c r="D4520" s="12" t="inlineStr">
        <is>
          <t>Analog instrument to JB JB-RICE 1 radiators (-AI01: 5 x 1 pr (field cables)</t>
        </is>
      </c>
      <c r="E4520" s="12" t="inlineStr"/>
      <c r="F4520" s="12" t="inlineStr">
        <is>
          <t>RICE 1 radiators (5)</t>
        </is>
      </c>
      <c r="G4520" s="12" t="inlineStr">
        <is>
          <t>JB-RICE 1 radiators (-AI01</t>
        </is>
      </c>
      <c r="H4520" s="12" t="inlineStr">
        <is>
          <t>RICE 1 radiators (5)</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5</v>
      </c>
      <c r="O4520" s="12" t="n">
        <v>1</v>
      </c>
      <c r="P4520" s="12" t="n"/>
      <c r="Q4520" s="12" t="n"/>
      <c r="R4520" s="12" t="n"/>
      <c r="S4520" s="12" t="inlineStr">
        <is>
          <t>Tray / conduit</t>
        </is>
      </c>
      <c r="T4520" s="16" t="n">
        <v>80</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I-I-0163</t>
        </is>
      </c>
      <c r="B4521" s="12" t="inlineStr">
        <is>
          <t>I</t>
        </is>
      </c>
      <c r="C4521" s="12" t="inlineStr">
        <is>
          <t>Modular / portable power</t>
        </is>
      </c>
      <c r="D4521" s="12" t="inlineStr">
        <is>
          <t>Home run JB-RICE 1 radiators (-AI01 to the control / marshalling room</t>
        </is>
      </c>
      <c r="E4521" s="12" t="inlineStr"/>
      <c r="F4521" s="12" t="inlineStr">
        <is>
          <t>PCM: power control module</t>
        </is>
      </c>
      <c r="G4521" s="12" t="inlineStr">
        <is>
          <t>JB-RICE 1 radiators (-AI01</t>
        </is>
      </c>
      <c r="H4521" s="12" t="inlineStr">
        <is>
          <t>RICE 1 radiators (5)</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745</v>
      </c>
      <c r="U4521" s="16" t="n">
        <v>139</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I-I-0164</t>
        </is>
      </c>
      <c r="B4522" s="12" t="inlineStr">
        <is>
          <t>I</t>
        </is>
      </c>
      <c r="C4522" s="12" t="inlineStr">
        <is>
          <t>Modular / portable power</t>
        </is>
      </c>
      <c r="D4522" s="12" t="inlineStr">
        <is>
          <t>Discrete device to JB JB-RICE 1 radiators (-DI01: 10 x 1 pr (field cables)</t>
        </is>
      </c>
      <c r="E4522" s="12" t="inlineStr"/>
      <c r="F4522" s="12" t="inlineStr">
        <is>
          <t>RICE 1 radiators (5)</t>
        </is>
      </c>
      <c r="G4522" s="12" t="inlineStr">
        <is>
          <t>JB-RICE 1 radiators (-DI01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10</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I-I-0165</t>
        </is>
      </c>
      <c r="B4523" s="12" t="inlineStr">
        <is>
          <t>I</t>
        </is>
      </c>
      <c r="C4523" s="12" t="inlineStr">
        <is>
          <t>Modular / portable power</t>
        </is>
      </c>
      <c r="D4523" s="12" t="inlineStr">
        <is>
          <t>Home run JB-RICE 1 radiators (-DI01 to the control / marshalling room</t>
        </is>
      </c>
      <c r="E4523" s="12" t="inlineStr"/>
      <c r="F4523" s="12" t="inlineStr">
        <is>
          <t>PCM: power control module</t>
        </is>
      </c>
      <c r="G4523" s="12" t="inlineStr">
        <is>
          <t>JB-RICE 1 radiators (-DI01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745</v>
      </c>
      <c r="U4523" s="16" t="n">
        <v>139</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I-I-0166</t>
        </is>
      </c>
      <c r="B4524" s="12" t="inlineStr">
        <is>
          <t>I</t>
        </is>
      </c>
      <c r="C4524" s="12" t="inlineStr">
        <is>
          <t>Modular / portable power</t>
        </is>
      </c>
      <c r="D4524" s="12" t="inlineStr">
        <is>
          <t>Analog instrument to JB JB-RICE 2 SCR + oxida-AI01: 10 x 1 pr (field cables)</t>
        </is>
      </c>
      <c r="E4524" s="12" t="inlineStr"/>
      <c r="F4524" s="12" t="inlineStr">
        <is>
          <t>RICE 2 SCR + oxidation catalyst and stack</t>
        </is>
      </c>
      <c r="G4524" s="12" t="inlineStr">
        <is>
          <t>JB-RICE 2 SCR + oxida-AI01</t>
        </is>
      </c>
      <c r="H4524" s="12" t="inlineStr">
        <is>
          <t>RICE 2 SCR + oxidation catalyst and stack</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92</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I-I-0167</t>
        </is>
      </c>
      <c r="B4525" s="12" t="inlineStr">
        <is>
          <t>I</t>
        </is>
      </c>
      <c r="C4525" s="12" t="inlineStr">
        <is>
          <t>Modular / portable power</t>
        </is>
      </c>
      <c r="D4525" s="12" t="inlineStr">
        <is>
          <t>Home run JB-RICE 2 SCR + oxida-AI01 to the control / marshalling room</t>
        </is>
      </c>
      <c r="E4525" s="12" t="inlineStr"/>
      <c r="F4525" s="12" t="inlineStr">
        <is>
          <t>PCM: power control module</t>
        </is>
      </c>
      <c r="G4525" s="12" t="inlineStr">
        <is>
          <t>JB-RICE 2 SCR + oxida-AI01</t>
        </is>
      </c>
      <c r="H4525" s="12" t="inlineStr">
        <is>
          <t>RICE 2 SCR + oxidation catalyst and stack</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470</v>
      </c>
      <c r="U4525" s="16" t="n">
        <v>132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I-I-0168</t>
        </is>
      </c>
      <c r="B4526" s="12" t="inlineStr">
        <is>
          <t>I</t>
        </is>
      </c>
      <c r="C4526" s="12" t="inlineStr">
        <is>
          <t>Modular / portable power</t>
        </is>
      </c>
      <c r="D4526" s="12" t="inlineStr">
        <is>
          <t>Discrete device to JB JB-RICE 2 SCR + oxida-DI01: 6 x 1 pr (field cables)</t>
        </is>
      </c>
      <c r="E4526" s="12" t="inlineStr"/>
      <c r="F4526" s="12" t="inlineStr">
        <is>
          <t>RICE 2 SCR + oxidation catalyst and stack</t>
        </is>
      </c>
      <c r="G4526" s="12" t="inlineStr">
        <is>
          <t>JB-RICE 2 SCR + oxida-DI01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I-I-0169</t>
        </is>
      </c>
      <c r="B4527" s="12" t="inlineStr">
        <is>
          <t>I</t>
        </is>
      </c>
      <c r="C4527" s="12" t="inlineStr">
        <is>
          <t>Modular / portable power</t>
        </is>
      </c>
      <c r="D4527" s="12" t="inlineStr">
        <is>
          <t>Home run JB-RICE 2 SCR + oxida-DI01 to the control / marshalling room</t>
        </is>
      </c>
      <c r="E4527" s="12" t="inlineStr"/>
      <c r="F4527" s="12" t="inlineStr">
        <is>
          <t>PCM: power control module</t>
        </is>
      </c>
      <c r="G4527" s="12" t="inlineStr">
        <is>
          <t>JB-RICE 2 SCR + oxida-DI01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470</v>
      </c>
      <c r="U4527" s="16" t="n">
        <v>132</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I-I-0170</t>
        </is>
      </c>
      <c r="B4528" s="12" t="inlineStr">
        <is>
          <t>I</t>
        </is>
      </c>
      <c r="C4528" s="12" t="inlineStr">
        <is>
          <t>Modular / portable power</t>
        </is>
      </c>
      <c r="D4528" s="12" t="inlineStr">
        <is>
          <t>Analog instrument to JB JB-RICE 2 radiators (-AI01: 5 x 1 pr (field cables)</t>
        </is>
      </c>
      <c r="E4528" s="12" t="inlineStr"/>
      <c r="F4528" s="12" t="inlineStr">
        <is>
          <t>RICE 2 radiators (5)</t>
        </is>
      </c>
      <c r="G4528" s="12" t="inlineStr">
        <is>
          <t>JB-RICE 2 radiators (-AI01</t>
        </is>
      </c>
      <c r="H4528" s="12" t="inlineStr">
        <is>
          <t>RICE 2 radiators (5)</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5</v>
      </c>
      <c r="O4528" s="12" t="n">
        <v>1</v>
      </c>
      <c r="P4528" s="12" t="n"/>
      <c r="Q4528" s="12" t="n"/>
      <c r="R4528" s="12" t="n"/>
      <c r="S4528" s="12" t="inlineStr">
        <is>
          <t>Tray / conduit</t>
        </is>
      </c>
      <c r="T4528" s="16" t="n">
        <v>80</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I-I-0171</t>
        </is>
      </c>
      <c r="B4529" s="12" t="inlineStr">
        <is>
          <t>I</t>
        </is>
      </c>
      <c r="C4529" s="12" t="inlineStr">
        <is>
          <t>Modular / portable power</t>
        </is>
      </c>
      <c r="D4529" s="12" t="inlineStr">
        <is>
          <t>Home run JB-RICE 2 radiators (-AI01 to the control / marshalling room</t>
        </is>
      </c>
      <c r="E4529" s="12" t="inlineStr"/>
      <c r="F4529" s="12" t="inlineStr">
        <is>
          <t>PCM: power control module</t>
        </is>
      </c>
      <c r="G4529" s="12" t="inlineStr">
        <is>
          <t>JB-RICE 2 radiators (-AI01</t>
        </is>
      </c>
      <c r="H4529" s="12" t="inlineStr">
        <is>
          <t>RICE 2 radiators (5)</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550</v>
      </c>
      <c r="U4529" s="16" t="n">
        <v>192</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I-I-0172</t>
        </is>
      </c>
      <c r="B4530" s="12" t="inlineStr">
        <is>
          <t>I</t>
        </is>
      </c>
      <c r="C4530" s="12" t="inlineStr">
        <is>
          <t>Modular / portable power</t>
        </is>
      </c>
      <c r="D4530" s="12" t="inlineStr">
        <is>
          <t>Discrete device to JB JB-RICE 2 radiators (-DI01: 10 x 1 pr (field cables)</t>
        </is>
      </c>
      <c r="E4530" s="12" t="inlineStr"/>
      <c r="F4530" s="12" t="inlineStr">
        <is>
          <t>RICE 2 radiators (5)</t>
        </is>
      </c>
      <c r="G4530" s="12" t="inlineStr">
        <is>
          <t>JB-RICE 2 radiators (-DI01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I-I-0173</t>
        </is>
      </c>
      <c r="B4531" s="12" t="inlineStr">
        <is>
          <t>I</t>
        </is>
      </c>
      <c r="C4531" s="12" t="inlineStr">
        <is>
          <t>Modular / portable power</t>
        </is>
      </c>
      <c r="D4531" s="12" t="inlineStr">
        <is>
          <t>Home run JB-RICE 2 radiators (-DI01 to the control / marshalling room</t>
        </is>
      </c>
      <c r="E4531" s="12" t="inlineStr"/>
      <c r="F4531" s="12" t="inlineStr">
        <is>
          <t>PCM: power control module</t>
        </is>
      </c>
      <c r="G4531" s="12" t="inlineStr">
        <is>
          <t>JB-RICE 2 radiators (-DI01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550</v>
      </c>
      <c r="U4531" s="16" t="n">
        <v>192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I-I-0174</t>
        </is>
      </c>
      <c r="B4532" s="12" t="inlineStr">
        <is>
          <t>I</t>
        </is>
      </c>
      <c r="C4532" s="12" t="inlineStr">
        <is>
          <t>Modular / portable power</t>
        </is>
      </c>
      <c r="D4532" s="12" t="inlineStr">
        <is>
          <t>Analog instrument to JB JB-RICE 3 SCR + oxida-AI01: 10 x 1 pr (field cables)</t>
        </is>
      </c>
      <c r="E4532" s="12" t="inlineStr"/>
      <c r="F4532" s="12" t="inlineStr">
        <is>
          <t>RICE 3 SCR + oxidation catalyst and stack</t>
        </is>
      </c>
      <c r="G4532" s="12" t="inlineStr">
        <is>
          <t>JB-RICE 3 SCR + oxida-AI01</t>
        </is>
      </c>
      <c r="H4532" s="12" t="inlineStr">
        <is>
          <t>RICE 3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92</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I-I-0175</t>
        </is>
      </c>
      <c r="B4533" s="12" t="inlineStr">
        <is>
          <t>I</t>
        </is>
      </c>
      <c r="C4533" s="12" t="inlineStr">
        <is>
          <t>Modular / portable power</t>
        </is>
      </c>
      <c r="D4533" s="12" t="inlineStr">
        <is>
          <t>Home run JB-RICE 3 SCR + oxida-AI01 to the control / marshalling room</t>
        </is>
      </c>
      <c r="E4533" s="12" t="inlineStr"/>
      <c r="F4533" s="12" t="inlineStr">
        <is>
          <t>PCM: power control module</t>
        </is>
      </c>
      <c r="G4533" s="12" t="inlineStr">
        <is>
          <t>JB-RICE 3 SCR + oxida-AI01</t>
        </is>
      </c>
      <c r="H4533" s="12" t="inlineStr">
        <is>
          <t>RICE 3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470</v>
      </c>
      <c r="U4533" s="16" t="n">
        <v>104</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I-I-0176</t>
        </is>
      </c>
      <c r="B4534" s="12" t="inlineStr">
        <is>
          <t>I</t>
        </is>
      </c>
      <c r="C4534" s="12" t="inlineStr">
        <is>
          <t>Modular / portable power</t>
        </is>
      </c>
      <c r="D4534" s="12" t="inlineStr">
        <is>
          <t>Discrete device to JB JB-RICE 3 SCR + oxida-DI01: 6 x 1 pr (field cables)</t>
        </is>
      </c>
      <c r="E4534" s="12" t="inlineStr"/>
      <c r="F4534" s="12" t="inlineStr">
        <is>
          <t>RICE 3 SCR + oxidation catalyst and stack</t>
        </is>
      </c>
      <c r="G4534" s="12" t="inlineStr">
        <is>
          <t>JB-RICE 3 SCR + oxida-DI01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6</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I-I-0177</t>
        </is>
      </c>
      <c r="B4535" s="12" t="inlineStr">
        <is>
          <t>I</t>
        </is>
      </c>
      <c r="C4535" s="12" t="inlineStr">
        <is>
          <t>Modular / portable power</t>
        </is>
      </c>
      <c r="D4535" s="12" t="inlineStr">
        <is>
          <t>Home run JB-RICE 3 SCR + oxida-DI01 to the control / marshalling room</t>
        </is>
      </c>
      <c r="E4535" s="12" t="inlineStr"/>
      <c r="F4535" s="12" t="inlineStr">
        <is>
          <t>PCM: power control module</t>
        </is>
      </c>
      <c r="G4535" s="12" t="inlineStr">
        <is>
          <t>JB-RICE 3 SCR + oxida-DI01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470</v>
      </c>
      <c r="U4535" s="16" t="n">
        <v>104</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I-I-0178</t>
        </is>
      </c>
      <c r="B4536" s="12" t="inlineStr">
        <is>
          <t>I</t>
        </is>
      </c>
      <c r="C4536" s="12" t="inlineStr">
        <is>
          <t>Modular / portable power</t>
        </is>
      </c>
      <c r="D4536" s="12" t="inlineStr">
        <is>
          <t>Analog instrument to JB JB-RICE 3 radiators (-AI01: 5 x 1 pr (field cables)</t>
        </is>
      </c>
      <c r="E4536" s="12" t="inlineStr"/>
      <c r="F4536" s="12" t="inlineStr">
        <is>
          <t>RICE 3 radiators (5)</t>
        </is>
      </c>
      <c r="G4536" s="12" t="inlineStr">
        <is>
          <t>JB-RICE 3 radiators (-AI01</t>
        </is>
      </c>
      <c r="H4536" s="12" t="inlineStr">
        <is>
          <t>RICE 3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5</v>
      </c>
      <c r="O4536" s="12" t="n">
        <v>1</v>
      </c>
      <c r="P4536" s="12" t="n"/>
      <c r="Q4536" s="12" t="n"/>
      <c r="R4536" s="12" t="n"/>
      <c r="S4536" s="12" t="inlineStr">
        <is>
          <t>Tray / conduit</t>
        </is>
      </c>
      <c r="T4536" s="16" t="n">
        <v>80</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I-I-0179</t>
        </is>
      </c>
      <c r="B4537" s="12" t="inlineStr">
        <is>
          <t>I</t>
        </is>
      </c>
      <c r="C4537" s="12" t="inlineStr">
        <is>
          <t>Modular / portable power</t>
        </is>
      </c>
      <c r="D4537" s="12" t="inlineStr">
        <is>
          <t>Home run JB-RICE 3 radiators (-AI01 to the control / marshalling room</t>
        </is>
      </c>
      <c r="E4537" s="12" t="inlineStr"/>
      <c r="F4537" s="12" t="inlineStr">
        <is>
          <t>PCM: power control module</t>
        </is>
      </c>
      <c r="G4537" s="12" t="inlineStr">
        <is>
          <t>JB-RICE 3 radiators (-AI01</t>
        </is>
      </c>
      <c r="H4537" s="12" t="inlineStr">
        <is>
          <t>RICE 3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Tray</t>
        </is>
      </c>
      <c r="T4537" s="16" t="n">
        <v>32</v>
      </c>
      <c r="U4537" s="16" t="n">
        <v>232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I-I-0180</t>
        </is>
      </c>
      <c r="B4538" s="12" t="inlineStr">
        <is>
          <t>I</t>
        </is>
      </c>
      <c r="C4538" s="12" t="inlineStr">
        <is>
          <t>Modular / portable power</t>
        </is>
      </c>
      <c r="D4538" s="12" t="inlineStr">
        <is>
          <t>Discrete device to JB JB-RICE 3 radiators (-DI01: 10 x 1 pr (field cables)</t>
        </is>
      </c>
      <c r="E4538" s="12" t="inlineStr"/>
      <c r="F4538" s="12" t="inlineStr">
        <is>
          <t>RICE 3 radiators (5)</t>
        </is>
      </c>
      <c r="G4538" s="12" t="inlineStr">
        <is>
          <t>JB-RICE 3 radiators (-DI01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I-I-0181</t>
        </is>
      </c>
      <c r="B4539" s="12" t="inlineStr">
        <is>
          <t>I</t>
        </is>
      </c>
      <c r="C4539" s="12" t="inlineStr">
        <is>
          <t>Modular / portable power</t>
        </is>
      </c>
      <c r="D4539" s="12" t="inlineStr">
        <is>
          <t>Home run JB-RICE 3 radiators (-DI01 to the control / marshalling room</t>
        </is>
      </c>
      <c r="E4539" s="12" t="inlineStr"/>
      <c r="F4539" s="12" t="inlineStr">
        <is>
          <t>PCM: power control module</t>
        </is>
      </c>
      <c r="G4539" s="12" t="inlineStr">
        <is>
          <t>JB-RICE 3 radiators (-DI01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32</v>
      </c>
      <c r="U4539" s="16" t="n">
        <v>232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I-I-0182</t>
        </is>
      </c>
      <c r="B4540" s="12" t="inlineStr">
        <is>
          <t>I</t>
        </is>
      </c>
      <c r="C4540" s="12" t="inlineStr">
        <is>
          <t>Modular / portable power</t>
        </is>
      </c>
      <c r="D4540" s="12" t="inlineStr">
        <is>
          <t>Analog instrument to JB JB-RICE 4 SCR + oxida-AI01: 10 x 1 pr (field cables)</t>
        </is>
      </c>
      <c r="E4540" s="12" t="inlineStr"/>
      <c r="F4540" s="12" t="inlineStr">
        <is>
          <t>RICE 4 SCR + oxidation catalyst and stack</t>
        </is>
      </c>
      <c r="G4540" s="12" t="inlineStr">
        <is>
          <t>JB-RICE 4 SCR + oxida-AI01</t>
        </is>
      </c>
      <c r="H4540" s="12" t="inlineStr">
        <is>
          <t>RICE 4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92</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I-I-0183</t>
        </is>
      </c>
      <c r="B4541" s="12" t="inlineStr">
        <is>
          <t>I</t>
        </is>
      </c>
      <c r="C4541" s="12" t="inlineStr">
        <is>
          <t>Modular / portable power</t>
        </is>
      </c>
      <c r="D4541" s="12" t="inlineStr">
        <is>
          <t>Home run JB-RICE 4 SCR + oxida-AI01 to the control / marshalling room</t>
        </is>
      </c>
      <c r="E4541" s="12" t="inlineStr"/>
      <c r="F4541" s="12" t="inlineStr">
        <is>
          <t>PCM: power control module</t>
        </is>
      </c>
      <c r="G4541" s="12" t="inlineStr">
        <is>
          <t>JB-RICE 4 SCR + oxida-AI01</t>
        </is>
      </c>
      <c r="H4541" s="12" t="inlineStr">
        <is>
          <t>RICE 4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470</v>
      </c>
      <c r="U4541" s="16" t="n">
        <v>76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I-I-0184</t>
        </is>
      </c>
      <c r="B4542" s="12" t="inlineStr">
        <is>
          <t>I</t>
        </is>
      </c>
      <c r="C4542" s="12" t="inlineStr">
        <is>
          <t>Modular / portable power</t>
        </is>
      </c>
      <c r="D4542" s="12" t="inlineStr">
        <is>
          <t>Discrete device to JB JB-RICE 4 SCR + oxida-DI01: 6 x 1 pr (field cables)</t>
        </is>
      </c>
      <c r="E4542" s="12" t="inlineStr"/>
      <c r="F4542" s="12" t="inlineStr">
        <is>
          <t>RICE 4 SCR + oxidation catalyst and stack</t>
        </is>
      </c>
      <c r="G4542" s="12" t="inlineStr">
        <is>
          <t>JB-RICE 4 SCR + oxida-DI01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6</v>
      </c>
      <c r="O4542" s="12" t="n">
        <v>1</v>
      </c>
      <c r="P4542" s="12" t="n"/>
      <c r="Q4542" s="12" t="n"/>
      <c r="R4542" s="12" t="n"/>
      <c r="S4542" s="12" t="inlineStr">
        <is>
          <t>Tray / conduit</t>
        </is>
      </c>
      <c r="T4542" s="16" t="n">
        <v>92</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I-I-0185</t>
        </is>
      </c>
      <c r="B4543" s="12" t="inlineStr">
        <is>
          <t>I</t>
        </is>
      </c>
      <c r="C4543" s="12" t="inlineStr">
        <is>
          <t>Modular / portable power</t>
        </is>
      </c>
      <c r="D4543" s="12" t="inlineStr">
        <is>
          <t>Home run JB-RICE 4 SCR + oxida-DI01 to the control / marshalling room</t>
        </is>
      </c>
      <c r="E4543" s="12" t="inlineStr"/>
      <c r="F4543" s="12" t="inlineStr">
        <is>
          <t>PCM: power control module</t>
        </is>
      </c>
      <c r="G4543" s="12" t="inlineStr">
        <is>
          <t>JB-RICE 4 SCR + oxida-DI01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6" t="n">
        <v>470</v>
      </c>
      <c r="U4543" s="16" t="n">
        <v>76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I-I-0186</t>
        </is>
      </c>
      <c r="B4544" s="12" t="inlineStr">
        <is>
          <t>I</t>
        </is>
      </c>
      <c r="C4544" s="12" t="inlineStr">
        <is>
          <t>Modular / portable power</t>
        </is>
      </c>
      <c r="D4544" s="12" t="inlineStr">
        <is>
          <t>Analog instrument to JB JB-RICE 4 radiators (-AI01: 5 x 1 pr (field cables)</t>
        </is>
      </c>
      <c r="E4544" s="12" t="inlineStr"/>
      <c r="F4544" s="12" t="inlineStr">
        <is>
          <t>RICE 4 radiators (5)</t>
        </is>
      </c>
      <c r="G4544" s="12" t="inlineStr">
        <is>
          <t>JB-RICE 4 radiators (-AI01</t>
        </is>
      </c>
      <c r="H4544" s="12" t="inlineStr">
        <is>
          <t>RICE 4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5</v>
      </c>
      <c r="O4544" s="12" t="n">
        <v>1</v>
      </c>
      <c r="P4544" s="12" t="n"/>
      <c r="Q4544" s="12" t="n"/>
      <c r="R4544" s="12" t="n"/>
      <c r="S4544" s="12" t="inlineStr">
        <is>
          <t>Tray / conduit</t>
        </is>
      </c>
      <c r="T4544" s="16" t="n">
        <v>80</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I-I-0187</t>
        </is>
      </c>
      <c r="B4545" s="12" t="inlineStr">
        <is>
          <t>I</t>
        </is>
      </c>
      <c r="C4545" s="12" t="inlineStr">
        <is>
          <t>Modular / portable power</t>
        </is>
      </c>
      <c r="D4545" s="12" t="inlineStr">
        <is>
          <t>Home run JB-RICE 4 radiators (-AI01 to the control / marshalling room</t>
        </is>
      </c>
      <c r="E4545" s="12" t="inlineStr"/>
      <c r="F4545" s="12" t="inlineStr">
        <is>
          <t>PCM: power control module</t>
        </is>
      </c>
      <c r="G4545" s="12" t="inlineStr">
        <is>
          <t>JB-RICE 4 radiators (-AI01</t>
        </is>
      </c>
      <c r="H4545" s="12" t="inlineStr">
        <is>
          <t>RICE 4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Tray</t>
        </is>
      </c>
      <c r="T4545" s="16" t="n">
        <v>0</v>
      </c>
      <c r="U4545" s="16" t="n">
        <v>206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I-I-0188</t>
        </is>
      </c>
      <c r="B4546" s="12" t="inlineStr">
        <is>
          <t>I</t>
        </is>
      </c>
      <c r="C4546" s="12" t="inlineStr">
        <is>
          <t>Modular / portable power</t>
        </is>
      </c>
      <c r="D4546" s="12" t="inlineStr">
        <is>
          <t>Discrete device to JB JB-RICE 4 radiators (-DI01: 10 x 1 pr (field cables)</t>
        </is>
      </c>
      <c r="E4546" s="12" t="inlineStr"/>
      <c r="F4546" s="12" t="inlineStr">
        <is>
          <t>RICE 4 radiators (5)</t>
        </is>
      </c>
      <c r="G4546" s="12" t="inlineStr">
        <is>
          <t>JB-RICE 4 radiators (-DI01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6" t="n">
        <v>80</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I-I-0189</t>
        </is>
      </c>
      <c r="B4547" s="12" t="inlineStr">
        <is>
          <t>I</t>
        </is>
      </c>
      <c r="C4547" s="12" t="inlineStr">
        <is>
          <t>Modular / portable power</t>
        </is>
      </c>
      <c r="D4547" s="12" t="inlineStr">
        <is>
          <t>Home run JB-RICE 4 radiators (-DI01 to the control / marshalling room</t>
        </is>
      </c>
      <c r="E4547" s="12" t="inlineStr"/>
      <c r="F4547" s="12" t="inlineStr">
        <is>
          <t>PCM: power control module</t>
        </is>
      </c>
      <c r="G4547" s="12" t="inlineStr">
        <is>
          <t>JB-RICE 4 radiators (-DI01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6" t="n">
        <v>0</v>
      </c>
      <c r="U4547" s="16" t="n">
        <v>206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I-I-0190</t>
        </is>
      </c>
      <c r="B4548" s="12" t="inlineStr">
        <is>
          <t>I</t>
        </is>
      </c>
      <c r="C4548" s="12" t="inlineStr">
        <is>
          <t>Modular / portable power</t>
        </is>
      </c>
      <c r="D4548" s="12" t="inlineStr">
        <is>
          <t>Analog instrument to JB JB-RICE 5 SCR + oxida-AI01: 10 x 1 pr (field cables)</t>
        </is>
      </c>
      <c r="E4548" s="12" t="inlineStr"/>
      <c r="F4548" s="12" t="inlineStr">
        <is>
          <t>RICE 5 SCR + oxidation catalyst and stack</t>
        </is>
      </c>
      <c r="G4548" s="12" t="inlineStr">
        <is>
          <t>JB-RICE 5 SCR + oxida-AI01</t>
        </is>
      </c>
      <c r="H4548" s="12" t="inlineStr">
        <is>
          <t>RICE 5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6" t="n">
        <v>92</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I-I-0191</t>
        </is>
      </c>
      <c r="B4549" s="12" t="inlineStr">
        <is>
          <t>I</t>
        </is>
      </c>
      <c r="C4549" s="12" t="inlineStr">
        <is>
          <t>Modular / portable power</t>
        </is>
      </c>
      <c r="D4549" s="12" t="inlineStr">
        <is>
          <t>Home run JB-RICE 5 SCR + oxida-AI01 to the control / marshalling room</t>
        </is>
      </c>
      <c r="E4549" s="12" t="inlineStr"/>
      <c r="F4549" s="12" t="inlineStr">
        <is>
          <t>PCM: power control module</t>
        </is>
      </c>
      <c r="G4549" s="12" t="inlineStr">
        <is>
          <t>JB-RICE 5 SCR + oxida-AI01</t>
        </is>
      </c>
      <c r="H4549" s="12" t="inlineStr">
        <is>
          <t>RICE 5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322</v>
      </c>
      <c r="U4549" s="16" t="n">
        <v>196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I-I-0192</t>
        </is>
      </c>
      <c r="B4550" s="12" t="inlineStr">
        <is>
          <t>I</t>
        </is>
      </c>
      <c r="C4550" s="12" t="inlineStr">
        <is>
          <t>Modular / portable power</t>
        </is>
      </c>
      <c r="D4550" s="12" t="inlineStr">
        <is>
          <t>Discrete device to JB JB-RICE 5 SCR + oxida-DI01: 6 x 1 pr (field cables)</t>
        </is>
      </c>
      <c r="E4550" s="12" t="inlineStr"/>
      <c r="F4550" s="12" t="inlineStr">
        <is>
          <t>RICE 5 SCR + oxidation catalyst and stack</t>
        </is>
      </c>
      <c r="G4550" s="12" t="inlineStr">
        <is>
          <t>JB-RICE 5 SCR + oxida-DI01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6" t="n">
        <v>92</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I-I-0193</t>
        </is>
      </c>
      <c r="B4551" s="12" t="inlineStr">
        <is>
          <t>I</t>
        </is>
      </c>
      <c r="C4551" s="12" t="inlineStr">
        <is>
          <t>Modular / portable power</t>
        </is>
      </c>
      <c r="D4551" s="12" t="inlineStr">
        <is>
          <t>Home run JB-RICE 5 SCR + oxida-DI01 to the control / marshalling room</t>
        </is>
      </c>
      <c r="E4551" s="12" t="inlineStr"/>
      <c r="F4551" s="12" t="inlineStr">
        <is>
          <t>PCM: power control module</t>
        </is>
      </c>
      <c r="G4551" s="12" t="inlineStr">
        <is>
          <t>JB-RICE 5 SCR + oxida-DI01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322</v>
      </c>
      <c r="U4551" s="16" t="n">
        <v>196</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I-I-0194</t>
        </is>
      </c>
      <c r="B4552" s="12" t="inlineStr">
        <is>
          <t>I</t>
        </is>
      </c>
      <c r="C4552" s="12" t="inlineStr">
        <is>
          <t>Modular / portable power</t>
        </is>
      </c>
      <c r="D4552" s="12" t="inlineStr">
        <is>
          <t>Analog instrument to JB JB-RICE 5 radiators (-AI01: 5 x 1 pr (field cables)</t>
        </is>
      </c>
      <c r="E4552" s="12" t="inlineStr"/>
      <c r="F4552" s="12" t="inlineStr">
        <is>
          <t>RICE 5 radiators (5)</t>
        </is>
      </c>
      <c r="G4552" s="12" t="inlineStr">
        <is>
          <t>JB-RICE 5 radiators (-AI01</t>
        </is>
      </c>
      <c r="H4552" s="12" t="inlineStr">
        <is>
          <t>RICE 5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5</v>
      </c>
      <c r="O4552" s="12" t="n">
        <v>1</v>
      </c>
      <c r="P4552" s="12" t="n"/>
      <c r="Q4552" s="12" t="n"/>
      <c r="R4552" s="12" t="n"/>
      <c r="S4552" s="12" t="inlineStr">
        <is>
          <t>Tray / conduit</t>
        </is>
      </c>
      <c r="T4552" s="16" t="n">
        <v>80</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I-I-0195</t>
        </is>
      </c>
      <c r="B4553" s="12" t="inlineStr">
        <is>
          <t>I</t>
        </is>
      </c>
      <c r="C4553" s="12" t="inlineStr">
        <is>
          <t>Modular / portable power</t>
        </is>
      </c>
      <c r="D4553" s="12" t="inlineStr">
        <is>
          <t>Home run JB-RICE 5 radiators (-AI01 to the control / marshalling room</t>
        </is>
      </c>
      <c r="E4553" s="12" t="inlineStr"/>
      <c r="F4553" s="12" t="inlineStr">
        <is>
          <t>PCM: power control module</t>
        </is>
      </c>
      <c r="G4553" s="12" t="inlineStr">
        <is>
          <t>JB-RICE 5 radiators (-AI01</t>
        </is>
      </c>
      <c r="H4553" s="12" t="inlineStr">
        <is>
          <t>RICE 5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6" t="n">
        <v>0</v>
      </c>
      <c r="U4553" s="16" t="n">
        <v>178</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I-I-0196</t>
        </is>
      </c>
      <c r="B4554" s="12" t="inlineStr">
        <is>
          <t>I</t>
        </is>
      </c>
      <c r="C4554" s="12" t="inlineStr">
        <is>
          <t>Modular / portable power</t>
        </is>
      </c>
      <c r="D4554" s="12" t="inlineStr">
        <is>
          <t>Discrete device to JB JB-RICE 5 radiators (-DI01: 10 x 1 pr (field cables)</t>
        </is>
      </c>
      <c r="E4554" s="12" t="inlineStr"/>
      <c r="F4554" s="12" t="inlineStr">
        <is>
          <t>RICE 5 radiators (5)</t>
        </is>
      </c>
      <c r="G4554" s="12" t="inlineStr">
        <is>
          <t>JB-RICE 5 radiators (-DI01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80</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I-I-0197</t>
        </is>
      </c>
      <c r="B4555" s="12" t="inlineStr">
        <is>
          <t>I</t>
        </is>
      </c>
      <c r="C4555" s="12" t="inlineStr">
        <is>
          <t>Modular / portable power</t>
        </is>
      </c>
      <c r="D4555" s="12" t="inlineStr">
        <is>
          <t>Home run JB-RICE 5 radiators (-DI01 to the control / marshalling room</t>
        </is>
      </c>
      <c r="E4555" s="12" t="inlineStr"/>
      <c r="F4555" s="12" t="inlineStr">
        <is>
          <t>PCM: power control module</t>
        </is>
      </c>
      <c r="G4555" s="12" t="inlineStr">
        <is>
          <t>JB-RICE 5 radiators (-DI01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6" t="n">
        <v>0</v>
      </c>
      <c r="U4555" s="16" t="n">
        <v>178</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I-I-0198</t>
        </is>
      </c>
      <c r="B4556" s="12" t="inlineStr">
        <is>
          <t>I</t>
        </is>
      </c>
      <c r="C4556" s="12" t="inlineStr">
        <is>
          <t>Modular / portable power</t>
        </is>
      </c>
      <c r="D4556" s="12" t="inlineStr">
        <is>
          <t>Analog instrument to JB JB-RICE 6 SCR + oxida-AI01: 10 x 1 pr (field cables)</t>
        </is>
      </c>
      <c r="E4556" s="12" t="inlineStr"/>
      <c r="F4556" s="12" t="inlineStr">
        <is>
          <t>RICE 6 SCR + oxidation catalyst and stack</t>
        </is>
      </c>
      <c r="G4556" s="12" t="inlineStr">
        <is>
          <t>JB-RICE 6 SCR + oxida-AI01</t>
        </is>
      </c>
      <c r="H4556" s="12" t="inlineStr">
        <is>
          <t>RICE 6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92</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I-I-0199</t>
        </is>
      </c>
      <c r="B4557" s="12" t="inlineStr">
        <is>
          <t>I</t>
        </is>
      </c>
      <c r="C4557" s="12" t="inlineStr">
        <is>
          <t>Modular / portable power</t>
        </is>
      </c>
      <c r="D4557" s="12" t="inlineStr">
        <is>
          <t>Home run JB-RICE 6 SCR + oxida-AI01 to the control / marshalling room</t>
        </is>
      </c>
      <c r="E4557" s="12" t="inlineStr"/>
      <c r="F4557" s="12" t="inlineStr">
        <is>
          <t>PCM: power control module</t>
        </is>
      </c>
      <c r="G4557" s="12" t="inlineStr">
        <is>
          <t>JB-RICE 6 SCR + oxida-AI01</t>
        </is>
      </c>
      <c r="H4557" s="12" t="inlineStr">
        <is>
          <t>RICE 6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322</v>
      </c>
      <c r="U4557" s="16" t="n">
        <v>168</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I-I-0200</t>
        </is>
      </c>
      <c r="B4558" s="12" t="inlineStr">
        <is>
          <t>I</t>
        </is>
      </c>
      <c r="C4558" s="12" t="inlineStr">
        <is>
          <t>Modular / portable power</t>
        </is>
      </c>
      <c r="D4558" s="12" t="inlineStr">
        <is>
          <t>Discrete device to JB JB-RICE 6 SCR + oxida-DI01: 6 x 1 pr (field cables)</t>
        </is>
      </c>
      <c r="E4558" s="12" t="inlineStr"/>
      <c r="F4558" s="12" t="inlineStr">
        <is>
          <t>RICE 6 SCR + oxidation catalyst and stack</t>
        </is>
      </c>
      <c r="G4558" s="12" t="inlineStr">
        <is>
          <t>JB-RICE 6 SCR + oxida-DI01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6</v>
      </c>
      <c r="O4558" s="12" t="n">
        <v>1</v>
      </c>
      <c r="P4558" s="12" t="n"/>
      <c r="Q4558" s="12" t="n"/>
      <c r="R4558" s="12" t="n"/>
      <c r="S4558" s="12" t="inlineStr">
        <is>
          <t>Tray / conduit</t>
        </is>
      </c>
      <c r="T4558" s="16" t="n">
        <v>92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I-I-0201</t>
        </is>
      </c>
      <c r="B4559" s="12" t="inlineStr">
        <is>
          <t>I</t>
        </is>
      </c>
      <c r="C4559" s="12" t="inlineStr">
        <is>
          <t>Modular / portable power</t>
        </is>
      </c>
      <c r="D4559" s="12" t="inlineStr">
        <is>
          <t>Home run JB-RICE 6 SCR + oxida-DI01 to the control / marshalling room</t>
        </is>
      </c>
      <c r="E4559" s="12" t="inlineStr"/>
      <c r="F4559" s="12" t="inlineStr">
        <is>
          <t>PCM: power control module</t>
        </is>
      </c>
      <c r="G4559" s="12" t="inlineStr">
        <is>
          <t>JB-RICE 6 SCR + oxida-DI01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322</v>
      </c>
      <c r="U4559" s="16" t="n">
        <v>168</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I-I-0202</t>
        </is>
      </c>
      <c r="B4560" s="12" t="inlineStr">
        <is>
          <t>I</t>
        </is>
      </c>
      <c r="C4560" s="12" t="inlineStr">
        <is>
          <t>Modular / portable power</t>
        </is>
      </c>
      <c r="D4560" s="12" t="inlineStr">
        <is>
          <t>Analog instrument to JB JB-RICE 6 radiators (-AI01: 5 x 1 pr (field cables)</t>
        </is>
      </c>
      <c r="E4560" s="12" t="inlineStr"/>
      <c r="F4560" s="12" t="inlineStr">
        <is>
          <t>RICE 6 radiators (5)</t>
        </is>
      </c>
      <c r="G4560" s="12" t="inlineStr">
        <is>
          <t>JB-RICE 6 radiators (-AI01</t>
        </is>
      </c>
      <c r="H4560" s="12" t="inlineStr">
        <is>
          <t>RICE 6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5</v>
      </c>
      <c r="O4560" s="12" t="n">
        <v>1</v>
      </c>
      <c r="P4560" s="12" t="n"/>
      <c r="Q4560" s="12" t="n"/>
      <c r="R4560" s="12" t="n"/>
      <c r="S4560" s="12" t="inlineStr">
        <is>
          <t>Tray / conduit</t>
        </is>
      </c>
      <c r="T4560" s="16" t="n">
        <v>80</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I-I-0203</t>
        </is>
      </c>
      <c r="B4561" s="12" t="inlineStr">
        <is>
          <t>I</t>
        </is>
      </c>
      <c r="C4561" s="12" t="inlineStr">
        <is>
          <t>Modular / portable power</t>
        </is>
      </c>
      <c r="D4561" s="12" t="inlineStr">
        <is>
          <t>Home run JB-RICE 6 radiators (-AI01 to the control / marshalling room</t>
        </is>
      </c>
      <c r="E4561" s="12" t="inlineStr"/>
      <c r="F4561" s="12" t="inlineStr">
        <is>
          <t>PCM: power control module</t>
        </is>
      </c>
      <c r="G4561" s="12" t="inlineStr">
        <is>
          <t>JB-RICE 6 radiators (-AI01</t>
        </is>
      </c>
      <c r="H4561" s="12" t="inlineStr">
        <is>
          <t>RICE 6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6" t="n">
        <v>0</v>
      </c>
      <c r="U4561" s="16" t="n">
        <v>150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I-I-0204</t>
        </is>
      </c>
      <c r="B4562" s="12" t="inlineStr">
        <is>
          <t>I</t>
        </is>
      </c>
      <c r="C4562" s="12" t="inlineStr">
        <is>
          <t>Modular / portable power</t>
        </is>
      </c>
      <c r="D4562" s="12" t="inlineStr">
        <is>
          <t>Discrete device to JB JB-RICE 6 radiators (-DI01: 10 x 1 pr (field cables)</t>
        </is>
      </c>
      <c r="E4562" s="12" t="inlineStr"/>
      <c r="F4562" s="12" t="inlineStr">
        <is>
          <t>RICE 6 radiators (5)</t>
        </is>
      </c>
      <c r="G4562" s="12" t="inlineStr">
        <is>
          <t>JB-RICE 6 radiators (-DI01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80</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I-I-0205</t>
        </is>
      </c>
      <c r="B4563" s="12" t="inlineStr">
        <is>
          <t>I</t>
        </is>
      </c>
      <c r="C4563" s="12" t="inlineStr">
        <is>
          <t>Modular / portable power</t>
        </is>
      </c>
      <c r="D4563" s="12" t="inlineStr">
        <is>
          <t>Home run JB-RICE 6 radiators (-DI01 to the control / marshalling room</t>
        </is>
      </c>
      <c r="E4563" s="12" t="inlineStr"/>
      <c r="F4563" s="12" t="inlineStr">
        <is>
          <t>PCM: power control module</t>
        </is>
      </c>
      <c r="G4563" s="12" t="inlineStr">
        <is>
          <t>JB-RICE 6 radiators (-DI01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6" t="n">
        <v>0</v>
      </c>
      <c r="U4563" s="16" t="n">
        <v>150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I-I-0206</t>
        </is>
      </c>
      <c r="B4564" s="12" t="inlineStr">
        <is>
          <t>I</t>
        </is>
      </c>
      <c r="C4564" s="12" t="inlineStr">
        <is>
          <t>Modular / portable power</t>
        </is>
      </c>
      <c r="D4564" s="12" t="inlineStr">
        <is>
          <t>Analog instrument to JB JB-RICE 7 SCR + oxida-AI01: 10 x 1 pr (field cables)</t>
        </is>
      </c>
      <c r="E4564" s="12" t="inlineStr"/>
      <c r="F4564" s="12" t="inlineStr">
        <is>
          <t>RICE 7 SCR + oxidation catalyst and stack</t>
        </is>
      </c>
      <c r="G4564" s="12" t="inlineStr">
        <is>
          <t>JB-RICE 7 SCR + oxida-AI01</t>
        </is>
      </c>
      <c r="H4564" s="12" t="inlineStr">
        <is>
          <t>RICE 7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92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I-I-0207</t>
        </is>
      </c>
      <c r="B4565" s="12" t="inlineStr">
        <is>
          <t>I</t>
        </is>
      </c>
      <c r="C4565" s="12" t="inlineStr">
        <is>
          <t>Modular / portable power</t>
        </is>
      </c>
      <c r="D4565" s="12" t="inlineStr">
        <is>
          <t>Home run JB-RICE 7 SCR + oxida-AI01 to the control / marshalling room</t>
        </is>
      </c>
      <c r="E4565" s="12" t="inlineStr"/>
      <c r="F4565" s="12" t="inlineStr">
        <is>
          <t>PCM: power control module</t>
        </is>
      </c>
      <c r="G4565" s="12" t="inlineStr">
        <is>
          <t>JB-RICE 7 SCR + oxida-AI01</t>
        </is>
      </c>
      <c r="H4565" s="12" t="inlineStr">
        <is>
          <t>RICE 7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322</v>
      </c>
      <c r="U4565" s="16" t="n">
        <v>140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I-I-0208</t>
        </is>
      </c>
      <c r="B4566" s="12" t="inlineStr">
        <is>
          <t>I</t>
        </is>
      </c>
      <c r="C4566" s="12" t="inlineStr">
        <is>
          <t>Modular / portable power</t>
        </is>
      </c>
      <c r="D4566" s="12" t="inlineStr">
        <is>
          <t>Discrete device to JB JB-RICE 7 SCR + oxida-DI01: 6 x 1 pr (field cables)</t>
        </is>
      </c>
      <c r="E4566" s="12" t="inlineStr"/>
      <c r="F4566" s="12" t="inlineStr">
        <is>
          <t>RICE 7 SCR + oxidation catalyst and stack</t>
        </is>
      </c>
      <c r="G4566" s="12" t="inlineStr">
        <is>
          <t>JB-RICE 7 SCR + oxida-DI01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6" t="n">
        <v>92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I-I-0209</t>
        </is>
      </c>
      <c r="B4567" s="12" t="inlineStr">
        <is>
          <t>I</t>
        </is>
      </c>
      <c r="C4567" s="12" t="inlineStr">
        <is>
          <t>Modular / portable power</t>
        </is>
      </c>
      <c r="D4567" s="12" t="inlineStr">
        <is>
          <t>Home run JB-RICE 7 SCR + oxida-DI01 to the control / marshalling room</t>
        </is>
      </c>
      <c r="E4567" s="12" t="inlineStr"/>
      <c r="F4567" s="12" t="inlineStr">
        <is>
          <t>PCM: power control module</t>
        </is>
      </c>
      <c r="G4567" s="12" t="inlineStr">
        <is>
          <t>JB-RICE 7 SCR + oxida-DI01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322</v>
      </c>
      <c r="U4567" s="16" t="n">
        <v>140</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I-I-0210</t>
        </is>
      </c>
      <c r="B4568" s="12" t="inlineStr">
        <is>
          <t>I</t>
        </is>
      </c>
      <c r="C4568" s="12" t="inlineStr">
        <is>
          <t>Modular / portable power</t>
        </is>
      </c>
      <c r="D4568" s="12" t="inlineStr">
        <is>
          <t>Analog instrument to JB JB-RICE 7 radiators (-AI01: 5 x 1 pr (field cables)</t>
        </is>
      </c>
      <c r="E4568" s="12" t="inlineStr"/>
      <c r="F4568" s="12" t="inlineStr">
        <is>
          <t>RICE 7 radiators (5)</t>
        </is>
      </c>
      <c r="G4568" s="12" t="inlineStr">
        <is>
          <t>JB-RICE 7 radiators (-AI01</t>
        </is>
      </c>
      <c r="H4568" s="12" t="inlineStr">
        <is>
          <t>RICE 7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5</v>
      </c>
      <c r="O4568" s="12" t="n">
        <v>1</v>
      </c>
      <c r="P4568" s="12" t="n"/>
      <c r="Q4568" s="12" t="n"/>
      <c r="R4568" s="12" t="n"/>
      <c r="S4568" s="12" t="inlineStr">
        <is>
          <t>Tray / conduit</t>
        </is>
      </c>
      <c r="T4568" s="16" t="n">
        <v>80</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I-I-0211</t>
        </is>
      </c>
      <c r="B4569" s="12" t="inlineStr">
        <is>
          <t>I</t>
        </is>
      </c>
      <c r="C4569" s="12" t="inlineStr">
        <is>
          <t>Modular / portable power</t>
        </is>
      </c>
      <c r="D4569" s="12" t="inlineStr">
        <is>
          <t>Home run JB-RICE 7 radiators (-AI01 to the control / marshalling room</t>
        </is>
      </c>
      <c r="E4569" s="12" t="inlineStr"/>
      <c r="F4569" s="12" t="inlineStr">
        <is>
          <t>PCM: power control module</t>
        </is>
      </c>
      <c r="G4569" s="12" t="inlineStr">
        <is>
          <t>JB-RICE 7 radiators (-AI01</t>
        </is>
      </c>
      <c r="H4569" s="12" t="inlineStr">
        <is>
          <t>RICE 7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6" t="n">
        <v>0</v>
      </c>
      <c r="U4569" s="16" t="n">
        <v>122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I-I-0212</t>
        </is>
      </c>
      <c r="B4570" s="12" t="inlineStr">
        <is>
          <t>I</t>
        </is>
      </c>
      <c r="C4570" s="12" t="inlineStr">
        <is>
          <t>Modular / portable power</t>
        </is>
      </c>
      <c r="D4570" s="12" t="inlineStr">
        <is>
          <t>Discrete device to JB JB-RICE 7 radiators (-DI01: 10 x 1 pr (field cables)</t>
        </is>
      </c>
      <c r="E4570" s="12" t="inlineStr"/>
      <c r="F4570" s="12" t="inlineStr">
        <is>
          <t>RICE 7 radiators (5)</t>
        </is>
      </c>
      <c r="G4570" s="12" t="inlineStr">
        <is>
          <t>JB-RICE 7 radiators (-DI01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6" t="n">
        <v>80</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I-I-0213</t>
        </is>
      </c>
      <c r="B4571" s="12" t="inlineStr">
        <is>
          <t>I</t>
        </is>
      </c>
      <c r="C4571" s="12" t="inlineStr">
        <is>
          <t>Modular / portable power</t>
        </is>
      </c>
      <c r="D4571" s="12" t="inlineStr">
        <is>
          <t>Home run JB-RICE 7 radiators (-DI01 to the control / marshalling room</t>
        </is>
      </c>
      <c r="E4571" s="12" t="inlineStr"/>
      <c r="F4571" s="12" t="inlineStr">
        <is>
          <t>PCM: power control module</t>
        </is>
      </c>
      <c r="G4571" s="12" t="inlineStr">
        <is>
          <t>JB-RICE 7 radiators (-DI01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6" t="n">
        <v>0</v>
      </c>
      <c r="U4571" s="16" t="n">
        <v>122</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I-I-0214</t>
        </is>
      </c>
      <c r="B4572" s="12" t="inlineStr">
        <is>
          <t>I</t>
        </is>
      </c>
      <c r="C4572" s="12" t="inlineStr">
        <is>
          <t>Modular / portable power</t>
        </is>
      </c>
      <c r="D4572" s="12" t="inlineStr">
        <is>
          <t>Analog instrument to JB JB-RICE 8 SCR + oxida-AI01: 10 x 1 pr (field cables)</t>
        </is>
      </c>
      <c r="E4572" s="12" t="inlineStr"/>
      <c r="F4572" s="12" t="inlineStr">
        <is>
          <t>RICE 8 SCR + oxidation catalyst and stack</t>
        </is>
      </c>
      <c r="G4572" s="12" t="inlineStr">
        <is>
          <t>JB-RICE 8 SCR + oxida-AI01</t>
        </is>
      </c>
      <c r="H4572" s="12" t="inlineStr">
        <is>
          <t>RICE 8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6" t="n">
        <v>92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I-I-0215</t>
        </is>
      </c>
      <c r="B4573" s="12" t="inlineStr">
        <is>
          <t>I</t>
        </is>
      </c>
      <c r="C4573" s="12" t="inlineStr">
        <is>
          <t>Modular / portable power</t>
        </is>
      </c>
      <c r="D4573" s="12" t="inlineStr">
        <is>
          <t>Home run JB-RICE 8 SCR + oxida-AI01 to the control / marshalling room</t>
        </is>
      </c>
      <c r="E4573" s="12" t="inlineStr"/>
      <c r="F4573" s="12" t="inlineStr">
        <is>
          <t>PCM: power control module</t>
        </is>
      </c>
      <c r="G4573" s="12" t="inlineStr">
        <is>
          <t>JB-RICE 8 SCR + oxida-AI01</t>
        </is>
      </c>
      <c r="H4573" s="12" t="inlineStr">
        <is>
          <t>RICE 8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6" t="n">
        <v>322</v>
      </c>
      <c r="U4573" s="16" t="n">
        <v>112</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I-I-0216</t>
        </is>
      </c>
      <c r="B4574" s="12" t="inlineStr">
        <is>
          <t>I</t>
        </is>
      </c>
      <c r="C4574" s="12" t="inlineStr">
        <is>
          <t>Modular / portable power</t>
        </is>
      </c>
      <c r="D4574" s="12" t="inlineStr">
        <is>
          <t>Discrete device to JB JB-RICE 8 SCR + oxida-DI01: 6 x 1 pr (field cables)</t>
        </is>
      </c>
      <c r="E4574" s="12" t="inlineStr"/>
      <c r="F4574" s="12" t="inlineStr">
        <is>
          <t>RICE 8 SCR + oxidation catalyst and stack</t>
        </is>
      </c>
      <c r="G4574" s="12" t="inlineStr">
        <is>
          <t>JB-RICE 8 SCR + oxida-DI01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6" t="n">
        <v>92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I-I-0217</t>
        </is>
      </c>
      <c r="B4575" s="12" t="inlineStr">
        <is>
          <t>I</t>
        </is>
      </c>
      <c r="C4575" s="12" t="inlineStr">
        <is>
          <t>Modular / portable power</t>
        </is>
      </c>
      <c r="D4575" s="12" t="inlineStr">
        <is>
          <t>Home run JB-RICE 8 SCR + oxida-DI01 to the control / marshalling room</t>
        </is>
      </c>
      <c r="E4575" s="12" t="inlineStr"/>
      <c r="F4575" s="12" t="inlineStr">
        <is>
          <t>PCM: power control module</t>
        </is>
      </c>
      <c r="G4575" s="12" t="inlineStr">
        <is>
          <t>JB-RICE 8 SCR + oxida-DI01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6" t="n">
        <v>322</v>
      </c>
      <c r="U4575" s="16" t="n">
        <v>112</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I-I-0218</t>
        </is>
      </c>
      <c r="B4576" s="12" t="inlineStr">
        <is>
          <t>I</t>
        </is>
      </c>
      <c r="C4576" s="12" t="inlineStr">
        <is>
          <t>Modular / portable power</t>
        </is>
      </c>
      <c r="D4576" s="12" t="inlineStr">
        <is>
          <t>Analog instrument to JB JB-RICE 8 radiators (-AI01: 5 x 1 pr (field cables)</t>
        </is>
      </c>
      <c r="E4576" s="12" t="inlineStr"/>
      <c r="F4576" s="12" t="inlineStr">
        <is>
          <t>RICE 8 radiators (5)</t>
        </is>
      </c>
      <c r="G4576" s="12" t="inlineStr">
        <is>
          <t>JB-RICE 8 radiators (-AI01</t>
        </is>
      </c>
      <c r="H4576" s="12" t="inlineStr">
        <is>
          <t>RICE 8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5</v>
      </c>
      <c r="O4576" s="12" t="n">
        <v>1</v>
      </c>
      <c r="P4576" s="12" t="n"/>
      <c r="Q4576" s="12" t="n"/>
      <c r="R4576" s="12" t="n"/>
      <c r="S4576" s="12" t="inlineStr">
        <is>
          <t>Tray / conduit</t>
        </is>
      </c>
      <c r="T4576" s="16" t="n">
        <v>80</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I-I-0219</t>
        </is>
      </c>
      <c r="B4577" s="12" t="inlineStr">
        <is>
          <t>I</t>
        </is>
      </c>
      <c r="C4577" s="12" t="inlineStr">
        <is>
          <t>Modular / portable power</t>
        </is>
      </c>
      <c r="D4577" s="12" t="inlineStr">
        <is>
          <t>Home run JB-RICE 8 radiators (-AI01 to the control / marshalling room</t>
        </is>
      </c>
      <c r="E4577" s="12" t="inlineStr"/>
      <c r="F4577" s="12" t="inlineStr">
        <is>
          <t>PCM: power control module</t>
        </is>
      </c>
      <c r="G4577" s="12" t="inlineStr">
        <is>
          <t>JB-RICE 8 radiators (-AI01</t>
        </is>
      </c>
      <c r="H4577" s="12" t="inlineStr">
        <is>
          <t>RICE 8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6" t="n">
        <v>0</v>
      </c>
      <c r="U4577" s="16" t="n">
        <v>94</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I-I-0220</t>
        </is>
      </c>
      <c r="B4578" s="12" t="inlineStr">
        <is>
          <t>I</t>
        </is>
      </c>
      <c r="C4578" s="12" t="inlineStr">
        <is>
          <t>Modular / portable power</t>
        </is>
      </c>
      <c r="D4578" s="12" t="inlineStr">
        <is>
          <t>Discrete device to JB JB-RICE 8 radiators (-DI01: 10 x 1 pr (field cables)</t>
        </is>
      </c>
      <c r="E4578" s="12" t="inlineStr"/>
      <c r="F4578" s="12" t="inlineStr">
        <is>
          <t>RICE 8 radiators (5)</t>
        </is>
      </c>
      <c r="G4578" s="12" t="inlineStr">
        <is>
          <t>JB-RICE 8 radiators (-DI01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6" t="n">
        <v>80</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I-I-0221</t>
        </is>
      </c>
      <c r="B4579" s="12" t="inlineStr">
        <is>
          <t>I</t>
        </is>
      </c>
      <c r="C4579" s="12" t="inlineStr">
        <is>
          <t>Modular / portable power</t>
        </is>
      </c>
      <c r="D4579" s="12" t="inlineStr">
        <is>
          <t>Home run JB-RICE 8 radiators (-DI01 to the control / marshalling room</t>
        </is>
      </c>
      <c r="E4579" s="12" t="inlineStr"/>
      <c r="F4579" s="12" t="inlineStr">
        <is>
          <t>PCM: power control module</t>
        </is>
      </c>
      <c r="G4579" s="12" t="inlineStr">
        <is>
          <t>JB-RICE 8 radiators (-DI01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6" t="n">
        <v>0</v>
      </c>
      <c r="U4579" s="16" t="n">
        <v>94</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I-I-0222</t>
        </is>
      </c>
      <c r="B4580" s="12" t="inlineStr">
        <is>
          <t>I</t>
        </is>
      </c>
      <c r="C4580" s="12" t="inlineStr">
        <is>
          <t>Modular / portable power</t>
        </is>
      </c>
      <c r="D4580" s="12" t="inlineStr">
        <is>
          <t>Instrumentation</t>
        </is>
      </c>
      <c r="E4580" s="12" t="inlineStr"/>
      <c r="F4580" s="12" t="inlineStr">
        <is>
          <t>PCM: power control module</t>
        </is>
      </c>
      <c r="G4580" s="12" t="inlineStr">
        <is>
          <t>RICE</t>
        </is>
      </c>
      <c r="H4580" s="12" t="inlineStr">
        <is>
          <t>RICE engine hall (8 engines)</t>
        </is>
      </c>
      <c r="I4580" s="12" t="inlineStr">
        <is>
          <t>Instrumentation</t>
        </is>
      </c>
      <c r="J4580" s="12" t="inlineStr">
        <is>
          <t>Instrumentation PLTC / TC-ER 300 V, #18 twisted shielded pairs, overall shield</t>
        </is>
      </c>
      <c r="K4580" s="12" t="inlineStr">
        <is>
          <t>PLTC|4 pr|18</t>
        </is>
      </c>
      <c r="L4580" s="12" t="inlineStr">
        <is>
          <t>4 pr</t>
        </is>
      </c>
      <c r="M4580" s="12" t="inlineStr">
        <is>
          <t>18</t>
        </is>
      </c>
      <c r="N4580" s="12" t="n">
        <v>1</v>
      </c>
      <c r="O4580" s="12" t="n">
        <v>1</v>
      </c>
      <c r="P4580" s="12" t="n"/>
      <c r="Q4580" s="12" t="n"/>
      <c r="R4580" s="12" t="n"/>
      <c r="S4580" s="12" t="inlineStr">
        <is>
          <t>Duct bank</t>
        </is>
      </c>
      <c r="T4580" s="16" t="n">
        <v>367</v>
      </c>
      <c r="U4580" s="16" t="n">
        <v>95</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I-I-0223</t>
        </is>
      </c>
      <c r="B4581" s="12" t="inlineStr">
        <is>
          <t>I</t>
        </is>
      </c>
      <c r="C4581" s="12" t="inlineStr">
        <is>
          <t>Modular / portable power</t>
        </is>
      </c>
      <c r="D4581" s="12" t="inlineStr">
        <is>
          <t>Instrumentation</t>
        </is>
      </c>
      <c r="E4581" s="12" t="inlineStr"/>
      <c r="F4581" s="12" t="inlineStr">
        <is>
          <t>PCM: power control module</t>
        </is>
      </c>
      <c r="G4581" s="12" t="inlineStr">
        <is>
          <t>RICE</t>
        </is>
      </c>
      <c r="H4581" s="12" t="inlineStr">
        <is>
          <t>RICE engine hall (8 engines)</t>
        </is>
      </c>
      <c r="I4581" s="12" t="inlineStr">
        <is>
          <t>Instrumentation</t>
        </is>
      </c>
      <c r="J4581" s="12" t="inlineStr">
        <is>
          <t>Instrumentation PLTC / TC-ER 300 V, #18 twisted shielded pairs, overall shield</t>
        </is>
      </c>
      <c r="K4581" s="12" t="inlineStr">
        <is>
          <t>PLTC|4 pr|18</t>
        </is>
      </c>
      <c r="L4581" s="12" t="inlineStr">
        <is>
          <t>4 pr</t>
        </is>
      </c>
      <c r="M4581" s="12" t="inlineStr">
        <is>
          <t>18</t>
        </is>
      </c>
      <c r="N4581" s="12" t="n">
        <v>1</v>
      </c>
      <c r="O4581" s="12" t="n">
        <v>1</v>
      </c>
      <c r="P4581" s="12" t="n"/>
      <c r="Q4581" s="12" t="n"/>
      <c r="R4581" s="12" t="n"/>
      <c r="S4581" s="12" t="inlineStr">
        <is>
          <t>Duct bank</t>
        </is>
      </c>
      <c r="T4581" s="16" t="n">
        <v>367</v>
      </c>
      <c r="U4581" s="16" t="n">
        <v>95</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I-I-0224</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PLTC|12 pr|18</t>
        </is>
      </c>
      <c r="L4582" s="12" t="inlineStr">
        <is>
          <t>12 pr</t>
        </is>
      </c>
      <c r="M4582" s="12" t="inlineStr">
        <is>
          <t>18</t>
        </is>
      </c>
      <c r="N4582" s="12" t="n">
        <v>1</v>
      </c>
      <c r="O4582" s="12" t="n">
        <v>1</v>
      </c>
      <c r="P4582" s="12" t="n"/>
      <c r="Q4582" s="12" t="n"/>
      <c r="R4582" s="12" t="n"/>
      <c r="S4582" s="12" t="inlineStr">
        <is>
          <t>Duct bank</t>
        </is>
      </c>
      <c r="T4582" s="16" t="n">
        <v>367</v>
      </c>
      <c r="U4582" s="16" t="n">
        <v>95</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I-I-0225</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PLTC|12 pr|18</t>
        </is>
      </c>
      <c r="L4583" s="12" t="inlineStr">
        <is>
          <t>12 pr</t>
        </is>
      </c>
      <c r="M4583" s="12" t="inlineStr">
        <is>
          <t>18</t>
        </is>
      </c>
      <c r="N4583" s="12" t="n">
        <v>1</v>
      </c>
      <c r="O4583" s="12" t="n">
        <v>1</v>
      </c>
      <c r="P4583" s="12" t="n"/>
      <c r="Q4583" s="12" t="n"/>
      <c r="R4583" s="12" t="n"/>
      <c r="S4583" s="12" t="inlineStr">
        <is>
          <t>Duct bank</t>
        </is>
      </c>
      <c r="T4583" s="16" t="n">
        <v>367</v>
      </c>
      <c r="U4583" s="16" t="n">
        <v>95</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I-I-0226</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6" t="n">
        <v>367</v>
      </c>
      <c r="U4584" s="16" t="n">
        <v>95</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I-I-0227</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6" t="n">
        <v>367</v>
      </c>
      <c r="U4585" s="16" t="n">
        <v>95</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I-I-0228</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6" t="n">
        <v>367</v>
      </c>
      <c r="U4586" s="16" t="n">
        <v>95</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I-I-0229</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6" t="n">
        <v>367</v>
      </c>
      <c r="U4587" s="16" t="n">
        <v>95</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I-I-0230</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6" t="n">
        <v>367</v>
      </c>
      <c r="U4588" s="16" t="n">
        <v>95</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I-I-0231</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6" t="n">
        <v>367</v>
      </c>
      <c r="U4589" s="16" t="n">
        <v>95</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I-I-0232</t>
        </is>
      </c>
      <c r="B4590" s="12" t="inlineStr">
        <is>
          <t>I</t>
        </is>
      </c>
      <c r="C4590" s="12" t="inlineStr">
        <is>
          <t>Modular / portable power</t>
        </is>
      </c>
      <c r="D4590" s="12" t="inlineStr">
        <is>
          <t>Thermocouples</t>
        </is>
      </c>
      <c r="E4590" s="12" t="inlineStr"/>
      <c r="F4590" s="12" t="inlineStr">
        <is>
          <t>PCM: power control module</t>
        </is>
      </c>
      <c r="G4590" s="12" t="inlineStr">
        <is>
          <t>RICE</t>
        </is>
      </c>
      <c r="H4590" s="12" t="inlineStr">
        <is>
          <t>RICE engine hall (8 engines)</t>
        </is>
      </c>
      <c r="I4590" s="12" t="inlineStr">
        <is>
          <t>Instrumentation</t>
        </is>
      </c>
      <c r="J4590" s="12" t="inlineStr">
        <is>
          <t>Thermocouple extension KX, #16 shielded pairs, PLTC</t>
        </is>
      </c>
      <c r="K4590" s="12" t="inlineStr">
        <is>
          <t>TCX|12 pr|16</t>
        </is>
      </c>
      <c r="L4590" s="12" t="inlineStr">
        <is>
          <t>12 pr</t>
        </is>
      </c>
      <c r="M4590" s="12" t="inlineStr">
        <is>
          <t>16</t>
        </is>
      </c>
      <c r="N4590" s="12" t="n">
        <v>1</v>
      </c>
      <c r="O4590" s="12" t="n">
        <v>1</v>
      </c>
      <c r="P4590" s="12" t="n"/>
      <c r="Q4590" s="12" t="n"/>
      <c r="R4590" s="12" t="n"/>
      <c r="S4590" s="12" t="inlineStr">
        <is>
          <t>Duct bank</t>
        </is>
      </c>
      <c r="T4590" s="16" t="n">
        <v>367</v>
      </c>
      <c r="U4590" s="16" t="n">
        <v>95</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I-I-0233</t>
        </is>
      </c>
      <c r="B4591" s="12" t="inlineStr">
        <is>
          <t>I</t>
        </is>
      </c>
      <c r="C4591" s="12" t="inlineStr">
        <is>
          <t>Modular / portable power</t>
        </is>
      </c>
      <c r="D4591" s="12" t="inlineStr">
        <is>
          <t>Thermocouples</t>
        </is>
      </c>
      <c r="E4591" s="12" t="inlineStr"/>
      <c r="F4591" s="12" t="inlineStr">
        <is>
          <t>PCM: power control module</t>
        </is>
      </c>
      <c r="G4591" s="12" t="inlineStr">
        <is>
          <t>RICE</t>
        </is>
      </c>
      <c r="H4591" s="12" t="inlineStr">
        <is>
          <t>RICE engine hall (8 engines)</t>
        </is>
      </c>
      <c r="I4591" s="12" t="inlineStr">
        <is>
          <t>Instrumentation</t>
        </is>
      </c>
      <c r="J4591" s="12" t="inlineStr">
        <is>
          <t>Thermocouple extension KX, #16 shielded pairs, PLTC</t>
        </is>
      </c>
      <c r="K4591" s="12" t="inlineStr">
        <is>
          <t>TCX|12 pr|16</t>
        </is>
      </c>
      <c r="L4591" s="12" t="inlineStr">
        <is>
          <t>12 pr</t>
        </is>
      </c>
      <c r="M4591" s="12" t="inlineStr">
        <is>
          <t>16</t>
        </is>
      </c>
      <c r="N4591" s="12" t="n">
        <v>1</v>
      </c>
      <c r="O4591" s="12" t="n">
        <v>1</v>
      </c>
      <c r="P4591" s="12" t="n"/>
      <c r="Q4591" s="12" t="n"/>
      <c r="R4591" s="12" t="n"/>
      <c r="S4591" s="12" t="inlineStr">
        <is>
          <t>Duct bank</t>
        </is>
      </c>
      <c r="T4591" s="16" t="n">
        <v>367</v>
      </c>
      <c r="U4591" s="16" t="n">
        <v>95</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I-I-0234</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6" t="n">
        <v>367</v>
      </c>
      <c r="U4592" s="16" t="n">
        <v>95</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I-I-0235</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6" t="n">
        <v>367</v>
      </c>
      <c r="U4593" s="16" t="n">
        <v>95</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I-I-0236</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6" t="n">
        <v>367</v>
      </c>
      <c r="U4594" s="16" t="n">
        <v>95</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I-I-0237</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6" t="n">
        <v>367</v>
      </c>
      <c r="U4595" s="16" t="n">
        <v>95</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I-I-0238</t>
        </is>
      </c>
      <c r="B4596" s="12" t="inlineStr">
        <is>
          <t>I</t>
        </is>
      </c>
      <c r="C4596" s="12" t="inlineStr">
        <is>
          <t>Modular / portable power</t>
        </is>
      </c>
      <c r="D4596" s="12" t="inlineStr">
        <is>
          <t>Analog instrument to JB JB-RICE-1-AI01: 20 x 1 pr (field cables)</t>
        </is>
      </c>
      <c r="E4596" s="12" t="inlineStr">
        <is>
          <t>RICE-1</t>
        </is>
      </c>
      <c r="F4596" s="12" t="inlineStr">
        <is>
          <t>RICE engine-generator 1</t>
        </is>
      </c>
      <c r="G4596" s="12" t="inlineStr">
        <is>
          <t>JB-RICE-1-AI01</t>
        </is>
      </c>
      <c r="H4596" s="12" t="inlineStr">
        <is>
          <t>RICE engine-generator 1</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I-I-0239</t>
        </is>
      </c>
      <c r="B4597" s="12" t="inlineStr">
        <is>
          <t>I</t>
        </is>
      </c>
      <c r="C4597" s="12" t="inlineStr">
        <is>
          <t>Modular / portable power</t>
        </is>
      </c>
      <c r="D4597" s="12" t="inlineStr">
        <is>
          <t>Home run JB-RICE-1-AI01 to the control / marshalling room</t>
        </is>
      </c>
      <c r="E4597" s="12" t="inlineStr"/>
      <c r="F4597" s="12" t="inlineStr">
        <is>
          <t>PCM: power control module</t>
        </is>
      </c>
      <c r="G4597" s="12" t="inlineStr">
        <is>
          <t>JB-RICE-1-AI01</t>
        </is>
      </c>
      <c r="H4597" s="12" t="inlineStr">
        <is>
          <t>RICE engine-generator 1</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6" t="n">
        <v>550</v>
      </c>
      <c r="U4597" s="16" t="n">
        <v>137</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I-I-0240</t>
        </is>
      </c>
      <c r="B4598" s="12" t="inlineStr">
        <is>
          <t>I</t>
        </is>
      </c>
      <c r="C4598" s="12" t="inlineStr">
        <is>
          <t>Modular / portable power</t>
        </is>
      </c>
      <c r="D4598" s="12" t="inlineStr">
        <is>
          <t>Analog instrument to JB JB-RICE-1-AI02: 20 x 1 pr (field cables)</t>
        </is>
      </c>
      <c r="E4598" s="12" t="inlineStr">
        <is>
          <t>RICE-1</t>
        </is>
      </c>
      <c r="F4598" s="12" t="inlineStr">
        <is>
          <t>RICE engine-generator 1</t>
        </is>
      </c>
      <c r="G4598" s="12" t="inlineStr">
        <is>
          <t>JB-RICE-1-AI02</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I-I-0241</t>
        </is>
      </c>
      <c r="B4599" s="12" t="inlineStr">
        <is>
          <t>I</t>
        </is>
      </c>
      <c r="C4599" s="12" t="inlineStr">
        <is>
          <t>Modular / portable power</t>
        </is>
      </c>
      <c r="D4599" s="12" t="inlineStr">
        <is>
          <t>Home run JB-RICE-1-AI02 to the control / marshalling room</t>
        </is>
      </c>
      <c r="E4599" s="12" t="inlineStr"/>
      <c r="F4599" s="12" t="inlineStr">
        <is>
          <t>PCM: power control module</t>
        </is>
      </c>
      <c r="G4599" s="12" t="inlineStr">
        <is>
          <t>JB-RICE-1-AI02</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6" t="n">
        <v>550</v>
      </c>
      <c r="U4599" s="16" t="n">
        <v>137</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I-I-0242</t>
        </is>
      </c>
      <c r="B4600" s="12" t="inlineStr">
        <is>
          <t>I</t>
        </is>
      </c>
      <c r="C4600" s="12" t="inlineStr">
        <is>
          <t>Modular / portable power</t>
        </is>
      </c>
      <c r="D4600" s="12" t="inlineStr">
        <is>
          <t>Analog instrument to JB JB-RICE-1-AI03: 20 x 1 pr (field cables)</t>
        </is>
      </c>
      <c r="E4600" s="12" t="inlineStr">
        <is>
          <t>RICE-1</t>
        </is>
      </c>
      <c r="F4600" s="12" t="inlineStr">
        <is>
          <t>RICE engine-generator 1</t>
        </is>
      </c>
      <c r="G4600" s="12" t="inlineStr">
        <is>
          <t>JB-RICE-1-AI03</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I-I-0243</t>
        </is>
      </c>
      <c r="B4601" s="12" t="inlineStr">
        <is>
          <t>I</t>
        </is>
      </c>
      <c r="C4601" s="12" t="inlineStr">
        <is>
          <t>Modular / portable power</t>
        </is>
      </c>
      <c r="D4601" s="12" t="inlineStr">
        <is>
          <t>Home run JB-RICE-1-AI03 to the control / marshalling room</t>
        </is>
      </c>
      <c r="E4601" s="12" t="inlineStr"/>
      <c r="F4601" s="12" t="inlineStr">
        <is>
          <t>PCM: power control module</t>
        </is>
      </c>
      <c r="G4601" s="12" t="inlineStr">
        <is>
          <t>JB-RICE-1-AI03</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6" t="n">
        <v>550</v>
      </c>
      <c r="U4601" s="16" t="n">
        <v>137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I-I-0244</t>
        </is>
      </c>
      <c r="B4602" s="12" t="inlineStr">
        <is>
          <t>I</t>
        </is>
      </c>
      <c r="C4602" s="12" t="inlineStr">
        <is>
          <t>Modular / portable power</t>
        </is>
      </c>
      <c r="D4602" s="12" t="inlineStr">
        <is>
          <t>Analog instrument to JB JB-RICE-1-AI04: 20 x 1 pr (field cables)</t>
        </is>
      </c>
      <c r="E4602" s="12" t="inlineStr">
        <is>
          <t>RICE-1</t>
        </is>
      </c>
      <c r="F4602" s="12" t="inlineStr">
        <is>
          <t>RICE engine-generator 1</t>
        </is>
      </c>
      <c r="G4602" s="12" t="inlineStr">
        <is>
          <t>JB-RICE-1-AI04</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I-I-0245</t>
        </is>
      </c>
      <c r="B4603" s="12" t="inlineStr">
        <is>
          <t>I</t>
        </is>
      </c>
      <c r="C4603" s="12" t="inlineStr">
        <is>
          <t>Modular / portable power</t>
        </is>
      </c>
      <c r="D4603" s="12" t="inlineStr">
        <is>
          <t>Home run JB-RICE-1-AI04 to the control / marshalling room</t>
        </is>
      </c>
      <c r="E4603" s="12" t="inlineStr"/>
      <c r="F4603" s="12" t="inlineStr">
        <is>
          <t>PCM: power control module</t>
        </is>
      </c>
      <c r="G4603" s="12" t="inlineStr">
        <is>
          <t>JB-RICE-1-AI04</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137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I-I-0246</t>
        </is>
      </c>
      <c r="B4604" s="12" t="inlineStr">
        <is>
          <t>I</t>
        </is>
      </c>
      <c r="C4604" s="12" t="inlineStr">
        <is>
          <t>Modular / portable power</t>
        </is>
      </c>
      <c r="D4604" s="12" t="inlineStr">
        <is>
          <t>Discrete device to JB JB-RICE-1-DI01: 20 x 1 pr (field cables)</t>
        </is>
      </c>
      <c r="E4604" s="12" t="inlineStr">
        <is>
          <t>RICE-1</t>
        </is>
      </c>
      <c r="F4604" s="12" t="inlineStr">
        <is>
          <t>RICE engine-generator 1</t>
        </is>
      </c>
      <c r="G4604" s="12" t="inlineStr">
        <is>
          <t>JB-RICE-1-DI01</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I-I-0247</t>
        </is>
      </c>
      <c r="B4605" s="12" t="inlineStr">
        <is>
          <t>I</t>
        </is>
      </c>
      <c r="C4605" s="12" t="inlineStr">
        <is>
          <t>Modular / portable power</t>
        </is>
      </c>
      <c r="D4605" s="12" t="inlineStr">
        <is>
          <t>Home run JB-RICE-1-DI01 to the control / marshalling room</t>
        </is>
      </c>
      <c r="E4605" s="12" t="inlineStr"/>
      <c r="F4605" s="12" t="inlineStr">
        <is>
          <t>PCM: power control module</t>
        </is>
      </c>
      <c r="G4605" s="12" t="inlineStr">
        <is>
          <t>JB-RICE-1-DI01</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137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I-I-0248</t>
        </is>
      </c>
      <c r="B4606" s="12" t="inlineStr">
        <is>
          <t>I</t>
        </is>
      </c>
      <c r="C4606" s="12" t="inlineStr">
        <is>
          <t>Modular / portable power</t>
        </is>
      </c>
      <c r="D4606" s="12" t="inlineStr">
        <is>
          <t>Discrete device to JB JB-RICE-1-DI02: 20 x 1 pr (field cables)</t>
        </is>
      </c>
      <c r="E4606" s="12" t="inlineStr">
        <is>
          <t>RICE-1</t>
        </is>
      </c>
      <c r="F4606" s="12" t="inlineStr">
        <is>
          <t>RICE engine-generator 1</t>
        </is>
      </c>
      <c r="G4606" s="12" t="inlineStr">
        <is>
          <t>JB-RICE-1-DI02</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I-I-0249</t>
        </is>
      </c>
      <c r="B4607" s="12" t="inlineStr">
        <is>
          <t>I</t>
        </is>
      </c>
      <c r="C4607" s="12" t="inlineStr">
        <is>
          <t>Modular / portable power</t>
        </is>
      </c>
      <c r="D4607" s="12" t="inlineStr">
        <is>
          <t>Home run JB-RICE-1-DI02 to the control / marshalling room</t>
        </is>
      </c>
      <c r="E4607" s="12" t="inlineStr"/>
      <c r="F4607" s="12" t="inlineStr">
        <is>
          <t>PCM: power control module</t>
        </is>
      </c>
      <c r="G4607" s="12" t="inlineStr">
        <is>
          <t>JB-RICE-1-DI02</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137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I-I-0250</t>
        </is>
      </c>
      <c r="B4608" s="12" t="inlineStr">
        <is>
          <t>I</t>
        </is>
      </c>
      <c r="C4608" s="12" t="inlineStr">
        <is>
          <t>Modular / portable power</t>
        </is>
      </c>
      <c r="D4608" s="12" t="inlineStr">
        <is>
          <t>Discrete device to JB JB-RICE-1-DI03: 20 x 1 pr (field cables)</t>
        </is>
      </c>
      <c r="E4608" s="12" t="inlineStr">
        <is>
          <t>RICE-1</t>
        </is>
      </c>
      <c r="F4608" s="12" t="inlineStr">
        <is>
          <t>RICE engine-generator 1</t>
        </is>
      </c>
      <c r="G4608" s="12" t="inlineStr">
        <is>
          <t>JB-RICE-1-DI03</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I-I-0251</t>
        </is>
      </c>
      <c r="B4609" s="12" t="inlineStr">
        <is>
          <t>I</t>
        </is>
      </c>
      <c r="C4609" s="12" t="inlineStr">
        <is>
          <t>Modular / portable power</t>
        </is>
      </c>
      <c r="D4609" s="12" t="inlineStr">
        <is>
          <t>Home run JB-RICE-1-DI03 to the control / marshalling room</t>
        </is>
      </c>
      <c r="E4609" s="12" t="inlineStr"/>
      <c r="F4609" s="12" t="inlineStr">
        <is>
          <t>PCM: power control module</t>
        </is>
      </c>
      <c r="G4609" s="12" t="inlineStr">
        <is>
          <t>JB-RICE-1-DI03</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137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I-I-0252</t>
        </is>
      </c>
      <c r="B4610" s="12" t="inlineStr">
        <is>
          <t>I</t>
        </is>
      </c>
      <c r="C4610" s="12" t="inlineStr">
        <is>
          <t>Modular / portable power</t>
        </is>
      </c>
      <c r="D4610" s="12" t="inlineStr">
        <is>
          <t>Thermocouple to TC JB JB-RICE-1-TC01: 20 x 1 pr (field cables)</t>
        </is>
      </c>
      <c r="E4610" s="12" t="inlineStr">
        <is>
          <t>RICE-1</t>
        </is>
      </c>
      <c r="F4610" s="12" t="inlineStr">
        <is>
          <t>RICE engine-generator 1</t>
        </is>
      </c>
      <c r="G4610" s="12" t="inlineStr">
        <is>
          <t>JB-RICE-1-TC01</t>
        </is>
      </c>
      <c r="H4610" s="12" t="inlineStr">
        <is>
          <t>RICE engine-generator 1</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I-I-0253</t>
        </is>
      </c>
      <c r="B4611" s="12" t="inlineStr">
        <is>
          <t>I</t>
        </is>
      </c>
      <c r="C4611" s="12" t="inlineStr">
        <is>
          <t>Modular / portable power</t>
        </is>
      </c>
      <c r="D4611" s="12" t="inlineStr">
        <is>
          <t>Home run JB-RICE-1-TC01 to the control / marshalling room</t>
        </is>
      </c>
      <c r="E4611" s="12" t="inlineStr"/>
      <c r="F4611" s="12" t="inlineStr">
        <is>
          <t>PCM: power control module</t>
        </is>
      </c>
      <c r="G4611" s="12" t="inlineStr">
        <is>
          <t>JB-RICE-1-TC01</t>
        </is>
      </c>
      <c r="H4611" s="12" t="inlineStr">
        <is>
          <t>RICE engine-generator 1</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6" t="n">
        <v>550</v>
      </c>
      <c r="U4611" s="16" t="n">
        <v>137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I-I-0254</t>
        </is>
      </c>
      <c r="B4612" s="12" t="inlineStr">
        <is>
          <t>I</t>
        </is>
      </c>
      <c r="C4612" s="12" t="inlineStr">
        <is>
          <t>Modular / portable power</t>
        </is>
      </c>
      <c r="D4612" s="12" t="inlineStr">
        <is>
          <t>Thermocouple to TC JB JB-RICE-1-TC02: 10 x 1 pr (field cables)</t>
        </is>
      </c>
      <c r="E4612" s="12" t="inlineStr">
        <is>
          <t>RICE-1</t>
        </is>
      </c>
      <c r="F4612" s="12" t="inlineStr">
        <is>
          <t>RICE engine-generator 1</t>
        </is>
      </c>
      <c r="G4612" s="12" t="inlineStr">
        <is>
          <t>JB-RICE-1-TC02</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I-I-0255</t>
        </is>
      </c>
      <c r="B4613" s="12" t="inlineStr">
        <is>
          <t>I</t>
        </is>
      </c>
      <c r="C4613" s="12" t="inlineStr">
        <is>
          <t>Modular / portable power</t>
        </is>
      </c>
      <c r="D4613" s="12" t="inlineStr">
        <is>
          <t>Home run JB-RICE-1-TC02 to the control / marshalling room</t>
        </is>
      </c>
      <c r="E4613" s="12" t="inlineStr"/>
      <c r="F4613" s="12" t="inlineStr">
        <is>
          <t>PCM: power control module</t>
        </is>
      </c>
      <c r="G4613" s="12" t="inlineStr">
        <is>
          <t>JB-RICE-1-TC02</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6" t="n">
        <v>550</v>
      </c>
      <c r="U4613" s="16" t="n">
        <v>137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I-I-0256</t>
        </is>
      </c>
      <c r="B4614" s="12" t="inlineStr">
        <is>
          <t>I</t>
        </is>
      </c>
      <c r="C4614" s="12" t="inlineStr">
        <is>
          <t>Modular / portable power</t>
        </is>
      </c>
      <c r="D4614" s="12" t="inlineStr">
        <is>
          <t>RTD to JB JB-RICE-1-RTD01: 10 x 1 tri (field cables)</t>
        </is>
      </c>
      <c r="E4614" s="12" t="inlineStr">
        <is>
          <t>RICE-1</t>
        </is>
      </c>
      <c r="F4614" s="12" t="inlineStr">
        <is>
          <t>RICE engine-generator 1</t>
        </is>
      </c>
      <c r="G4614" s="12" t="inlineStr">
        <is>
          <t>JB-RICE-1-RTD01</t>
        </is>
      </c>
      <c r="H4614" s="12" t="inlineStr">
        <is>
          <t>RICE engine-generator 1</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I-I-0257</t>
        </is>
      </c>
      <c r="B4615" s="12" t="inlineStr">
        <is>
          <t>I</t>
        </is>
      </c>
      <c r="C4615" s="12" t="inlineStr">
        <is>
          <t>Modular / portable power</t>
        </is>
      </c>
      <c r="D4615" s="12" t="inlineStr">
        <is>
          <t>Home run JB-RICE-1-RTD01 to the control / marshalling room</t>
        </is>
      </c>
      <c r="E4615" s="12" t="inlineStr"/>
      <c r="F4615" s="12" t="inlineStr">
        <is>
          <t>PCM: power control module</t>
        </is>
      </c>
      <c r="G4615" s="12" t="inlineStr">
        <is>
          <t>JB-RICE-1-RTD01</t>
        </is>
      </c>
      <c r="H4615" s="12" t="inlineStr">
        <is>
          <t>RICE engine-generator 1</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6" t="n">
        <v>550</v>
      </c>
      <c r="U4615" s="16" t="n">
        <v>137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I-I-0258</t>
        </is>
      </c>
      <c r="B4616" s="12" t="inlineStr">
        <is>
          <t>I</t>
        </is>
      </c>
      <c r="C4616" s="12" t="inlineStr">
        <is>
          <t>Modular / portable power</t>
        </is>
      </c>
      <c r="D4616" s="12" t="inlineStr">
        <is>
          <t>RTD to JB JB-RICE-1-RTD02: 2 x 1 tri (field cables)</t>
        </is>
      </c>
      <c r="E4616" s="12" t="inlineStr">
        <is>
          <t>RICE-1</t>
        </is>
      </c>
      <c r="F4616" s="12" t="inlineStr">
        <is>
          <t>RICE engine-generator 1</t>
        </is>
      </c>
      <c r="G4616" s="12" t="inlineStr">
        <is>
          <t>JB-RICE-1-RTD02</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I-I-0259</t>
        </is>
      </c>
      <c r="B4617" s="12" t="inlineStr">
        <is>
          <t>I</t>
        </is>
      </c>
      <c r="C4617" s="12" t="inlineStr">
        <is>
          <t>Modular / portable power</t>
        </is>
      </c>
      <c r="D4617" s="12" t="inlineStr">
        <is>
          <t>Home run JB-RICE-1-RTD02 to the control / marshalling room</t>
        </is>
      </c>
      <c r="E4617" s="12" t="inlineStr"/>
      <c r="F4617" s="12" t="inlineStr">
        <is>
          <t>PCM: power control module</t>
        </is>
      </c>
      <c r="G4617" s="12" t="inlineStr">
        <is>
          <t>JB-RICE-1-RTD02</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6" t="n">
        <v>550</v>
      </c>
      <c r="U4617" s="16" t="n">
        <v>137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I-I-0260</t>
        </is>
      </c>
      <c r="B4618" s="12" t="inlineStr">
        <is>
          <t>I</t>
        </is>
      </c>
      <c r="C4618" s="12" t="inlineStr">
        <is>
          <t>Modular / portable power</t>
        </is>
      </c>
      <c r="D4618" s="12" t="inlineStr">
        <is>
          <t>Analog instrument to JB JB-RICE-2-AI01: 20 x 1 pr (field cables)</t>
        </is>
      </c>
      <c r="E4618" s="12" t="inlineStr">
        <is>
          <t>RICE-2</t>
        </is>
      </c>
      <c r="F4618" s="12" t="inlineStr">
        <is>
          <t>RICE engine-generator 2</t>
        </is>
      </c>
      <c r="G4618" s="12" t="inlineStr">
        <is>
          <t>JB-RICE-2-AI01</t>
        </is>
      </c>
      <c r="H4618" s="12" t="inlineStr">
        <is>
          <t>RICE engine-generator 2</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I-I-0261</t>
        </is>
      </c>
      <c r="B4619" s="12" t="inlineStr">
        <is>
          <t>I</t>
        </is>
      </c>
      <c r="C4619" s="12" t="inlineStr">
        <is>
          <t>Modular / portable power</t>
        </is>
      </c>
      <c r="D4619" s="12" t="inlineStr">
        <is>
          <t>Home run JB-RICE-2-AI01 to the control / marshalling room</t>
        </is>
      </c>
      <c r="E4619" s="12" t="inlineStr"/>
      <c r="F4619" s="12" t="inlineStr">
        <is>
          <t>PCM: power control module</t>
        </is>
      </c>
      <c r="G4619" s="12" t="inlineStr">
        <is>
          <t>JB-RICE-2-AI01</t>
        </is>
      </c>
      <c r="H4619" s="12" t="inlineStr">
        <is>
          <t>RICE engine-generator 2</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550</v>
      </c>
      <c r="U4619" s="16" t="n">
        <v>109</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I-I-0262</t>
        </is>
      </c>
      <c r="B4620" s="12" t="inlineStr">
        <is>
          <t>I</t>
        </is>
      </c>
      <c r="C4620" s="12" t="inlineStr">
        <is>
          <t>Modular / portable power</t>
        </is>
      </c>
      <c r="D4620" s="12" t="inlineStr">
        <is>
          <t>Analog instrument to JB JB-RICE-2-AI02: 20 x 1 pr (field cables)</t>
        </is>
      </c>
      <c r="E4620" s="12" t="inlineStr">
        <is>
          <t>RICE-2</t>
        </is>
      </c>
      <c r="F4620" s="12" t="inlineStr">
        <is>
          <t>RICE engine-generator 2</t>
        </is>
      </c>
      <c r="G4620" s="12" t="inlineStr">
        <is>
          <t>JB-RICE-2-AI02</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I-I-0263</t>
        </is>
      </c>
      <c r="B4621" s="12" t="inlineStr">
        <is>
          <t>I</t>
        </is>
      </c>
      <c r="C4621" s="12" t="inlineStr">
        <is>
          <t>Modular / portable power</t>
        </is>
      </c>
      <c r="D4621" s="12" t="inlineStr">
        <is>
          <t>Home run JB-RICE-2-AI02 to the control / marshalling room</t>
        </is>
      </c>
      <c r="E4621" s="12" t="inlineStr"/>
      <c r="F4621" s="12" t="inlineStr">
        <is>
          <t>PCM: power control module</t>
        </is>
      </c>
      <c r="G4621" s="12" t="inlineStr">
        <is>
          <t>JB-RICE-2-AI02</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550</v>
      </c>
      <c r="U4621" s="16" t="n">
        <v>109</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I-I-0264</t>
        </is>
      </c>
      <c r="B4622" s="12" t="inlineStr">
        <is>
          <t>I</t>
        </is>
      </c>
      <c r="C4622" s="12" t="inlineStr">
        <is>
          <t>Modular / portable power</t>
        </is>
      </c>
      <c r="D4622" s="12" t="inlineStr">
        <is>
          <t>Analog instrument to JB JB-RICE-2-AI03: 20 x 1 pr (field cables)</t>
        </is>
      </c>
      <c r="E4622" s="12" t="inlineStr">
        <is>
          <t>RICE-2</t>
        </is>
      </c>
      <c r="F4622" s="12" t="inlineStr">
        <is>
          <t>RICE engine-generator 2</t>
        </is>
      </c>
      <c r="G4622" s="12" t="inlineStr">
        <is>
          <t>JB-RICE-2-AI03</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I-I-0265</t>
        </is>
      </c>
      <c r="B4623" s="12" t="inlineStr">
        <is>
          <t>I</t>
        </is>
      </c>
      <c r="C4623" s="12" t="inlineStr">
        <is>
          <t>Modular / portable power</t>
        </is>
      </c>
      <c r="D4623" s="12" t="inlineStr">
        <is>
          <t>Home run JB-RICE-2-AI03 to the control / marshalling room</t>
        </is>
      </c>
      <c r="E4623" s="12" t="inlineStr"/>
      <c r="F4623" s="12" t="inlineStr">
        <is>
          <t>PCM: power control module</t>
        </is>
      </c>
      <c r="G4623" s="12" t="inlineStr">
        <is>
          <t>JB-RICE-2-AI03</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109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I-I-0266</t>
        </is>
      </c>
      <c r="B4624" s="12" t="inlineStr">
        <is>
          <t>I</t>
        </is>
      </c>
      <c r="C4624" s="12" t="inlineStr">
        <is>
          <t>Modular / portable power</t>
        </is>
      </c>
      <c r="D4624" s="12" t="inlineStr">
        <is>
          <t>Analog instrument to JB JB-RICE-2-AI04: 20 x 1 pr (field cables)</t>
        </is>
      </c>
      <c r="E4624" s="12" t="inlineStr">
        <is>
          <t>RICE-2</t>
        </is>
      </c>
      <c r="F4624" s="12" t="inlineStr">
        <is>
          <t>RICE engine-generator 2</t>
        </is>
      </c>
      <c r="G4624" s="12" t="inlineStr">
        <is>
          <t>JB-RICE-2-AI04</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I-I-0267</t>
        </is>
      </c>
      <c r="B4625" s="12" t="inlineStr">
        <is>
          <t>I</t>
        </is>
      </c>
      <c r="C4625" s="12" t="inlineStr">
        <is>
          <t>Modular / portable power</t>
        </is>
      </c>
      <c r="D4625" s="12" t="inlineStr">
        <is>
          <t>Home run JB-RICE-2-AI04 to the control / marshalling room</t>
        </is>
      </c>
      <c r="E4625" s="12" t="inlineStr"/>
      <c r="F4625" s="12" t="inlineStr">
        <is>
          <t>PCM: power control module</t>
        </is>
      </c>
      <c r="G4625" s="12" t="inlineStr">
        <is>
          <t>JB-RICE-2-AI04</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109</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I-I-0268</t>
        </is>
      </c>
      <c r="B4626" s="12" t="inlineStr">
        <is>
          <t>I</t>
        </is>
      </c>
      <c r="C4626" s="12" t="inlineStr">
        <is>
          <t>Modular / portable power</t>
        </is>
      </c>
      <c r="D4626" s="12" t="inlineStr">
        <is>
          <t>Discrete device to JB JB-RICE-2-DI01: 20 x 1 pr (field cables)</t>
        </is>
      </c>
      <c r="E4626" s="12" t="inlineStr">
        <is>
          <t>RICE-2</t>
        </is>
      </c>
      <c r="F4626" s="12" t="inlineStr">
        <is>
          <t>RICE engine-generator 2</t>
        </is>
      </c>
      <c r="G4626" s="12" t="inlineStr">
        <is>
          <t>JB-RICE-2-DI01</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I-I-0269</t>
        </is>
      </c>
      <c r="B4627" s="12" t="inlineStr">
        <is>
          <t>I</t>
        </is>
      </c>
      <c r="C4627" s="12" t="inlineStr">
        <is>
          <t>Modular / portable power</t>
        </is>
      </c>
      <c r="D4627" s="12" t="inlineStr">
        <is>
          <t>Home run JB-RICE-2-DI01 to the control / marshalling room</t>
        </is>
      </c>
      <c r="E4627" s="12" t="inlineStr"/>
      <c r="F4627" s="12" t="inlineStr">
        <is>
          <t>PCM: power control module</t>
        </is>
      </c>
      <c r="G4627" s="12" t="inlineStr">
        <is>
          <t>JB-RICE-2-DI01</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109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I-I-0270</t>
        </is>
      </c>
      <c r="B4628" s="12" t="inlineStr">
        <is>
          <t>I</t>
        </is>
      </c>
      <c r="C4628" s="12" t="inlineStr">
        <is>
          <t>Modular / portable power</t>
        </is>
      </c>
      <c r="D4628" s="12" t="inlineStr">
        <is>
          <t>Discrete device to JB JB-RICE-2-DI02: 20 x 1 pr (field cables)</t>
        </is>
      </c>
      <c r="E4628" s="12" t="inlineStr">
        <is>
          <t>RICE-2</t>
        </is>
      </c>
      <c r="F4628" s="12" t="inlineStr">
        <is>
          <t>RICE engine-generator 2</t>
        </is>
      </c>
      <c r="G4628" s="12" t="inlineStr">
        <is>
          <t>JB-RICE-2-DI02</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I-I-0271</t>
        </is>
      </c>
      <c r="B4629" s="12" t="inlineStr">
        <is>
          <t>I</t>
        </is>
      </c>
      <c r="C4629" s="12" t="inlineStr">
        <is>
          <t>Modular / portable power</t>
        </is>
      </c>
      <c r="D4629" s="12" t="inlineStr">
        <is>
          <t>Home run JB-RICE-2-DI02 to the control / marshalling room</t>
        </is>
      </c>
      <c r="E4629" s="12" t="inlineStr"/>
      <c r="F4629" s="12" t="inlineStr">
        <is>
          <t>PCM: power control module</t>
        </is>
      </c>
      <c r="G4629" s="12" t="inlineStr">
        <is>
          <t>JB-RICE-2-DI02</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109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I-I-0272</t>
        </is>
      </c>
      <c r="B4630" s="12" t="inlineStr">
        <is>
          <t>I</t>
        </is>
      </c>
      <c r="C4630" s="12" t="inlineStr">
        <is>
          <t>Modular / portable power</t>
        </is>
      </c>
      <c r="D4630" s="12" t="inlineStr">
        <is>
          <t>Discrete device to JB JB-RICE-2-DI03: 20 x 1 pr (field cables)</t>
        </is>
      </c>
      <c r="E4630" s="12" t="inlineStr">
        <is>
          <t>RICE-2</t>
        </is>
      </c>
      <c r="F4630" s="12" t="inlineStr">
        <is>
          <t>RICE engine-generator 2</t>
        </is>
      </c>
      <c r="G4630" s="12" t="inlineStr">
        <is>
          <t>JB-RICE-2-DI03</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I-I-0273</t>
        </is>
      </c>
      <c r="B4631" s="12" t="inlineStr">
        <is>
          <t>I</t>
        </is>
      </c>
      <c r="C4631" s="12" t="inlineStr">
        <is>
          <t>Modular / portable power</t>
        </is>
      </c>
      <c r="D4631" s="12" t="inlineStr">
        <is>
          <t>Home run JB-RICE-2-DI03 to the control / marshalling room</t>
        </is>
      </c>
      <c r="E4631" s="12" t="inlineStr"/>
      <c r="F4631" s="12" t="inlineStr">
        <is>
          <t>PCM: power control module</t>
        </is>
      </c>
      <c r="G4631" s="12" t="inlineStr">
        <is>
          <t>JB-RICE-2-DI03</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109</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I-I-0274</t>
        </is>
      </c>
      <c r="B4632" s="12" t="inlineStr">
        <is>
          <t>I</t>
        </is>
      </c>
      <c r="C4632" s="12" t="inlineStr">
        <is>
          <t>Modular / portable power</t>
        </is>
      </c>
      <c r="D4632" s="12" t="inlineStr">
        <is>
          <t>Thermocouple to TC JB JB-RICE-2-TC01: 20 x 1 pr (field cables)</t>
        </is>
      </c>
      <c r="E4632" s="12" t="inlineStr">
        <is>
          <t>RICE-2</t>
        </is>
      </c>
      <c r="F4632" s="12" t="inlineStr">
        <is>
          <t>RICE engine-generator 2</t>
        </is>
      </c>
      <c r="G4632" s="12" t="inlineStr">
        <is>
          <t>JB-RICE-2-TC01</t>
        </is>
      </c>
      <c r="H4632" s="12" t="inlineStr">
        <is>
          <t>RICE engine-generator 2</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I-I-0275</t>
        </is>
      </c>
      <c r="B4633" s="12" t="inlineStr">
        <is>
          <t>I</t>
        </is>
      </c>
      <c r="C4633" s="12" t="inlineStr">
        <is>
          <t>Modular / portable power</t>
        </is>
      </c>
      <c r="D4633" s="12" t="inlineStr">
        <is>
          <t>Home run JB-RICE-2-TC01 to the control / marshalling room</t>
        </is>
      </c>
      <c r="E4633" s="12" t="inlineStr"/>
      <c r="F4633" s="12" t="inlineStr">
        <is>
          <t>PCM: power control module</t>
        </is>
      </c>
      <c r="G4633" s="12" t="inlineStr">
        <is>
          <t>JB-RICE-2-TC01</t>
        </is>
      </c>
      <c r="H4633" s="12" t="inlineStr">
        <is>
          <t>RICE engine-generator 2</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6" t="n">
        <v>550</v>
      </c>
      <c r="U4633" s="16" t="n">
        <v>109</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I-I-0276</t>
        </is>
      </c>
      <c r="B4634" s="12" t="inlineStr">
        <is>
          <t>I</t>
        </is>
      </c>
      <c r="C4634" s="12" t="inlineStr">
        <is>
          <t>Modular / portable power</t>
        </is>
      </c>
      <c r="D4634" s="12" t="inlineStr">
        <is>
          <t>Thermocouple to TC JB JB-RICE-2-TC02: 10 x 1 pr (field cables)</t>
        </is>
      </c>
      <c r="E4634" s="12" t="inlineStr">
        <is>
          <t>RICE-2</t>
        </is>
      </c>
      <c r="F4634" s="12" t="inlineStr">
        <is>
          <t>RICE engine-generator 2</t>
        </is>
      </c>
      <c r="G4634" s="12" t="inlineStr">
        <is>
          <t>JB-RICE-2-TC02</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I-I-0277</t>
        </is>
      </c>
      <c r="B4635" s="12" t="inlineStr">
        <is>
          <t>I</t>
        </is>
      </c>
      <c r="C4635" s="12" t="inlineStr">
        <is>
          <t>Modular / portable power</t>
        </is>
      </c>
      <c r="D4635" s="12" t="inlineStr">
        <is>
          <t>Home run JB-RICE-2-TC02 to the control / marshalling room</t>
        </is>
      </c>
      <c r="E4635" s="12" t="inlineStr"/>
      <c r="F4635" s="12" t="inlineStr">
        <is>
          <t>PCM: power control module</t>
        </is>
      </c>
      <c r="G4635" s="12" t="inlineStr">
        <is>
          <t>JB-RICE-2-TC02</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6" t="n">
        <v>550</v>
      </c>
      <c r="U4635" s="16" t="n">
        <v>109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I-I-0278</t>
        </is>
      </c>
      <c r="B4636" s="12" t="inlineStr">
        <is>
          <t>I</t>
        </is>
      </c>
      <c r="C4636" s="12" t="inlineStr">
        <is>
          <t>Modular / portable power</t>
        </is>
      </c>
      <c r="D4636" s="12" t="inlineStr">
        <is>
          <t>RTD to JB JB-RICE-2-RTD01: 10 x 1 tri (field cables)</t>
        </is>
      </c>
      <c r="E4636" s="12" t="inlineStr">
        <is>
          <t>RICE-2</t>
        </is>
      </c>
      <c r="F4636" s="12" t="inlineStr">
        <is>
          <t>RICE engine-generator 2</t>
        </is>
      </c>
      <c r="G4636" s="12" t="inlineStr">
        <is>
          <t>JB-RICE-2-RTD01</t>
        </is>
      </c>
      <c r="H4636" s="12" t="inlineStr">
        <is>
          <t>RICE engine-generator 2</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I-I-0279</t>
        </is>
      </c>
      <c r="B4637" s="12" t="inlineStr">
        <is>
          <t>I</t>
        </is>
      </c>
      <c r="C4637" s="12" t="inlineStr">
        <is>
          <t>Modular / portable power</t>
        </is>
      </c>
      <c r="D4637" s="12" t="inlineStr">
        <is>
          <t>Home run JB-RICE-2-RTD01 to the control / marshalling room</t>
        </is>
      </c>
      <c r="E4637" s="12" t="inlineStr"/>
      <c r="F4637" s="12" t="inlineStr">
        <is>
          <t>PCM: power control module</t>
        </is>
      </c>
      <c r="G4637" s="12" t="inlineStr">
        <is>
          <t>JB-RICE-2-RTD01</t>
        </is>
      </c>
      <c r="H4637" s="12" t="inlineStr">
        <is>
          <t>RICE engine-generator 2</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6" t="n">
        <v>550</v>
      </c>
      <c r="U4637" s="16" t="n">
        <v>109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I-I-0280</t>
        </is>
      </c>
      <c r="B4638" s="12" t="inlineStr">
        <is>
          <t>I</t>
        </is>
      </c>
      <c r="C4638" s="12" t="inlineStr">
        <is>
          <t>Modular / portable power</t>
        </is>
      </c>
      <c r="D4638" s="12" t="inlineStr">
        <is>
          <t>RTD to JB JB-RICE-2-RTD02: 2 x 1 tri (field cables)</t>
        </is>
      </c>
      <c r="E4638" s="12" t="inlineStr">
        <is>
          <t>RICE-2</t>
        </is>
      </c>
      <c r="F4638" s="12" t="inlineStr">
        <is>
          <t>RICE engine-generator 2</t>
        </is>
      </c>
      <c r="G4638" s="12" t="inlineStr">
        <is>
          <t>JB-RICE-2-RTD02</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I-I-0281</t>
        </is>
      </c>
      <c r="B4639" s="12" t="inlineStr">
        <is>
          <t>I</t>
        </is>
      </c>
      <c r="C4639" s="12" t="inlineStr">
        <is>
          <t>Modular / portable power</t>
        </is>
      </c>
      <c r="D4639" s="12" t="inlineStr">
        <is>
          <t>Home run JB-RICE-2-RTD02 to the control / marshalling room</t>
        </is>
      </c>
      <c r="E4639" s="12" t="inlineStr"/>
      <c r="F4639" s="12" t="inlineStr">
        <is>
          <t>PCM: power control module</t>
        </is>
      </c>
      <c r="G4639" s="12" t="inlineStr">
        <is>
          <t>JB-RICE-2-RTD02</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6" t="n">
        <v>550</v>
      </c>
      <c r="U4639" s="16" t="n">
        <v>109</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I-I-0282</t>
        </is>
      </c>
      <c r="B4640" s="12" t="inlineStr">
        <is>
          <t>I</t>
        </is>
      </c>
      <c r="C4640" s="12" t="inlineStr">
        <is>
          <t>Modular / portable power</t>
        </is>
      </c>
      <c r="D4640" s="12" t="inlineStr">
        <is>
          <t>Analog instrument to JB JB-RICE-3-AI01: 20 x 1 pr (field cables)</t>
        </is>
      </c>
      <c r="E4640" s="12" t="inlineStr">
        <is>
          <t>RICE-3</t>
        </is>
      </c>
      <c r="F4640" s="12" t="inlineStr">
        <is>
          <t>RICE engine-generator 3</t>
        </is>
      </c>
      <c r="G4640" s="12" t="inlineStr">
        <is>
          <t>JB-RICE-3-AI01</t>
        </is>
      </c>
      <c r="H4640" s="12" t="inlineStr">
        <is>
          <t>RICE engine-generator 3</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I-I-0283</t>
        </is>
      </c>
      <c r="B4641" s="12" t="inlineStr">
        <is>
          <t>I</t>
        </is>
      </c>
      <c r="C4641" s="12" t="inlineStr">
        <is>
          <t>Modular / portable power</t>
        </is>
      </c>
      <c r="D4641" s="12" t="inlineStr">
        <is>
          <t>Home run JB-RICE-3-AI01 to the control / marshalling room</t>
        </is>
      </c>
      <c r="E4641" s="12" t="inlineStr"/>
      <c r="F4641" s="12" t="inlineStr">
        <is>
          <t>PCM: power control module</t>
        </is>
      </c>
      <c r="G4641" s="12" t="inlineStr">
        <is>
          <t>JB-RICE-3-AI01</t>
        </is>
      </c>
      <c r="H4641" s="12" t="inlineStr">
        <is>
          <t>RICE engine-generator 3</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550</v>
      </c>
      <c r="U4641" s="16" t="n">
        <v>81</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I-I-0284</t>
        </is>
      </c>
      <c r="B4642" s="12" t="inlineStr">
        <is>
          <t>I</t>
        </is>
      </c>
      <c r="C4642" s="12" t="inlineStr">
        <is>
          <t>Modular / portable power</t>
        </is>
      </c>
      <c r="D4642" s="12" t="inlineStr">
        <is>
          <t>Analog instrument to JB JB-RICE-3-AI02: 20 x 1 pr (field cables)</t>
        </is>
      </c>
      <c r="E4642" s="12" t="inlineStr">
        <is>
          <t>RICE-3</t>
        </is>
      </c>
      <c r="F4642" s="12" t="inlineStr">
        <is>
          <t>RICE engine-generator 3</t>
        </is>
      </c>
      <c r="G4642" s="12" t="inlineStr">
        <is>
          <t>JB-RICE-3-AI02</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I-I-0285</t>
        </is>
      </c>
      <c r="B4643" s="12" t="inlineStr">
        <is>
          <t>I</t>
        </is>
      </c>
      <c r="C4643" s="12" t="inlineStr">
        <is>
          <t>Modular / portable power</t>
        </is>
      </c>
      <c r="D4643" s="12" t="inlineStr">
        <is>
          <t>Home run JB-RICE-3-AI02 to the control / marshalling room</t>
        </is>
      </c>
      <c r="E4643" s="12" t="inlineStr"/>
      <c r="F4643" s="12" t="inlineStr">
        <is>
          <t>PCM: power control module</t>
        </is>
      </c>
      <c r="G4643" s="12" t="inlineStr">
        <is>
          <t>JB-RICE-3-AI02</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81</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I-I-0286</t>
        </is>
      </c>
      <c r="B4644" s="12" t="inlineStr">
        <is>
          <t>I</t>
        </is>
      </c>
      <c r="C4644" s="12" t="inlineStr">
        <is>
          <t>Modular / portable power</t>
        </is>
      </c>
      <c r="D4644" s="12" t="inlineStr">
        <is>
          <t>Analog instrument to JB JB-RICE-3-AI03: 20 x 1 pr (field cables)</t>
        </is>
      </c>
      <c r="E4644" s="12" t="inlineStr">
        <is>
          <t>RICE-3</t>
        </is>
      </c>
      <c r="F4644" s="12" t="inlineStr">
        <is>
          <t>RICE engine-generator 3</t>
        </is>
      </c>
      <c r="G4644" s="12" t="inlineStr">
        <is>
          <t>JB-RICE-3-AI03</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I-I-0287</t>
        </is>
      </c>
      <c r="B4645" s="12" t="inlineStr">
        <is>
          <t>I</t>
        </is>
      </c>
      <c r="C4645" s="12" t="inlineStr">
        <is>
          <t>Modular / portable power</t>
        </is>
      </c>
      <c r="D4645" s="12" t="inlineStr">
        <is>
          <t>Home run JB-RICE-3-AI03 to the control / marshalling room</t>
        </is>
      </c>
      <c r="E4645" s="12" t="inlineStr"/>
      <c r="F4645" s="12" t="inlineStr">
        <is>
          <t>PCM: power control module</t>
        </is>
      </c>
      <c r="G4645" s="12" t="inlineStr">
        <is>
          <t>JB-RICE-3-AI03</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81</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I-I-0288</t>
        </is>
      </c>
      <c r="B4646" s="12" t="inlineStr">
        <is>
          <t>I</t>
        </is>
      </c>
      <c r="C4646" s="12" t="inlineStr">
        <is>
          <t>Modular / portable power</t>
        </is>
      </c>
      <c r="D4646" s="12" t="inlineStr">
        <is>
          <t>Analog instrument to JB JB-RICE-3-AI04: 20 x 1 pr (field cables)</t>
        </is>
      </c>
      <c r="E4646" s="12" t="inlineStr">
        <is>
          <t>RICE-3</t>
        </is>
      </c>
      <c r="F4646" s="12" t="inlineStr">
        <is>
          <t>RICE engine-generator 3</t>
        </is>
      </c>
      <c r="G4646" s="12" t="inlineStr">
        <is>
          <t>JB-RICE-3-AI04</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I-I-0289</t>
        </is>
      </c>
      <c r="B4647" s="12" t="inlineStr">
        <is>
          <t>I</t>
        </is>
      </c>
      <c r="C4647" s="12" t="inlineStr">
        <is>
          <t>Modular / portable power</t>
        </is>
      </c>
      <c r="D4647" s="12" t="inlineStr">
        <is>
          <t>Home run JB-RICE-3-AI04 to the control / marshalling room</t>
        </is>
      </c>
      <c r="E4647" s="12" t="inlineStr"/>
      <c r="F4647" s="12" t="inlineStr">
        <is>
          <t>PCM: power control module</t>
        </is>
      </c>
      <c r="G4647" s="12" t="inlineStr">
        <is>
          <t>JB-RICE-3-AI04</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550</v>
      </c>
      <c r="U4647" s="16" t="n">
        <v>81</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I-I-0290</t>
        </is>
      </c>
      <c r="B4648" s="12" t="inlineStr">
        <is>
          <t>I</t>
        </is>
      </c>
      <c r="C4648" s="12" t="inlineStr">
        <is>
          <t>Modular / portable power</t>
        </is>
      </c>
      <c r="D4648" s="12" t="inlineStr">
        <is>
          <t>Discrete device to JB JB-RICE-3-DI01: 20 x 1 pr (field cables)</t>
        </is>
      </c>
      <c r="E4648" s="12" t="inlineStr">
        <is>
          <t>RICE-3</t>
        </is>
      </c>
      <c r="F4648" s="12" t="inlineStr">
        <is>
          <t>RICE engine-generator 3</t>
        </is>
      </c>
      <c r="G4648" s="12" t="inlineStr">
        <is>
          <t>JB-RICE-3-DI01</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I-I-0291</t>
        </is>
      </c>
      <c r="B4649" s="12" t="inlineStr">
        <is>
          <t>I</t>
        </is>
      </c>
      <c r="C4649" s="12" t="inlineStr">
        <is>
          <t>Modular / portable power</t>
        </is>
      </c>
      <c r="D4649" s="12" t="inlineStr">
        <is>
          <t>Home run JB-RICE-3-DI01 to the control / marshalling room</t>
        </is>
      </c>
      <c r="E4649" s="12" t="inlineStr"/>
      <c r="F4649" s="12" t="inlineStr">
        <is>
          <t>PCM: power control module</t>
        </is>
      </c>
      <c r="G4649" s="12" t="inlineStr">
        <is>
          <t>JB-RICE-3-DI01</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550</v>
      </c>
      <c r="U4649" s="16" t="n">
        <v>81</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I-I-0292</t>
        </is>
      </c>
      <c r="B4650" s="12" t="inlineStr">
        <is>
          <t>I</t>
        </is>
      </c>
      <c r="C4650" s="12" t="inlineStr">
        <is>
          <t>Modular / portable power</t>
        </is>
      </c>
      <c r="D4650" s="12" t="inlineStr">
        <is>
          <t>Discrete device to JB JB-RICE-3-DI02: 20 x 1 pr (field cables)</t>
        </is>
      </c>
      <c r="E4650" s="12" t="inlineStr">
        <is>
          <t>RICE-3</t>
        </is>
      </c>
      <c r="F4650" s="12" t="inlineStr">
        <is>
          <t>RICE engine-generator 3</t>
        </is>
      </c>
      <c r="G4650" s="12" t="inlineStr">
        <is>
          <t>JB-RICE-3-DI02</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I-I-0293</t>
        </is>
      </c>
      <c r="B4651" s="12" t="inlineStr">
        <is>
          <t>I</t>
        </is>
      </c>
      <c r="C4651" s="12" t="inlineStr">
        <is>
          <t>Modular / portable power</t>
        </is>
      </c>
      <c r="D4651" s="12" t="inlineStr">
        <is>
          <t>Home run JB-RICE-3-DI02 to the control / marshalling room</t>
        </is>
      </c>
      <c r="E4651" s="12" t="inlineStr"/>
      <c r="F4651" s="12" t="inlineStr">
        <is>
          <t>PCM: power control module</t>
        </is>
      </c>
      <c r="G4651" s="12" t="inlineStr">
        <is>
          <t>JB-RICE-3-DI02</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550</v>
      </c>
      <c r="U4651" s="16" t="n">
        <v>81</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I-I-0294</t>
        </is>
      </c>
      <c r="B4652" s="12" t="inlineStr">
        <is>
          <t>I</t>
        </is>
      </c>
      <c r="C4652" s="12" t="inlineStr">
        <is>
          <t>Modular / portable power</t>
        </is>
      </c>
      <c r="D4652" s="12" t="inlineStr">
        <is>
          <t>Discrete device to JB JB-RICE-3-DI03: 20 x 1 pr (field cables)</t>
        </is>
      </c>
      <c r="E4652" s="12" t="inlineStr">
        <is>
          <t>RICE-3</t>
        </is>
      </c>
      <c r="F4652" s="12" t="inlineStr">
        <is>
          <t>RICE engine-generator 3</t>
        </is>
      </c>
      <c r="G4652" s="12" t="inlineStr">
        <is>
          <t>JB-RICE-3-DI03</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I-I-0295</t>
        </is>
      </c>
      <c r="B4653" s="12" t="inlineStr">
        <is>
          <t>I</t>
        </is>
      </c>
      <c r="C4653" s="12" t="inlineStr">
        <is>
          <t>Modular / portable power</t>
        </is>
      </c>
      <c r="D4653" s="12" t="inlineStr">
        <is>
          <t>Home run JB-RICE-3-DI03 to the control / marshalling room</t>
        </is>
      </c>
      <c r="E4653" s="12" t="inlineStr"/>
      <c r="F4653" s="12" t="inlineStr">
        <is>
          <t>PCM: power control module</t>
        </is>
      </c>
      <c r="G4653" s="12" t="inlineStr">
        <is>
          <t>JB-RICE-3-DI03</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550</v>
      </c>
      <c r="U4653" s="16" t="n">
        <v>81</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I-I-0296</t>
        </is>
      </c>
      <c r="B4654" s="12" t="inlineStr">
        <is>
          <t>I</t>
        </is>
      </c>
      <c r="C4654" s="12" t="inlineStr">
        <is>
          <t>Modular / portable power</t>
        </is>
      </c>
      <c r="D4654" s="12" t="inlineStr">
        <is>
          <t>Thermocouple to TC JB JB-RICE-3-TC01: 20 x 1 pr (field cables)</t>
        </is>
      </c>
      <c r="E4654" s="12" t="inlineStr">
        <is>
          <t>RICE-3</t>
        </is>
      </c>
      <c r="F4654" s="12" t="inlineStr">
        <is>
          <t>RICE engine-generator 3</t>
        </is>
      </c>
      <c r="G4654" s="12" t="inlineStr">
        <is>
          <t>JB-RICE-3-TC01</t>
        </is>
      </c>
      <c r="H4654" s="12" t="inlineStr">
        <is>
          <t>RICE engine-generator 3</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I-I-0297</t>
        </is>
      </c>
      <c r="B4655" s="12" t="inlineStr">
        <is>
          <t>I</t>
        </is>
      </c>
      <c r="C4655" s="12" t="inlineStr">
        <is>
          <t>Modular / portable power</t>
        </is>
      </c>
      <c r="D4655" s="12" t="inlineStr">
        <is>
          <t>Home run JB-RICE-3-TC01 to the control / marshalling room</t>
        </is>
      </c>
      <c r="E4655" s="12" t="inlineStr"/>
      <c r="F4655" s="12" t="inlineStr">
        <is>
          <t>PCM: power control module</t>
        </is>
      </c>
      <c r="G4655" s="12" t="inlineStr">
        <is>
          <t>JB-RICE-3-TC01</t>
        </is>
      </c>
      <c r="H4655" s="12" t="inlineStr">
        <is>
          <t>RICE engine-generator 3</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6" t="n">
        <v>550</v>
      </c>
      <c r="U4655" s="16" t="n">
        <v>81</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I-I-0298</t>
        </is>
      </c>
      <c r="B4656" s="12" t="inlineStr">
        <is>
          <t>I</t>
        </is>
      </c>
      <c r="C4656" s="12" t="inlineStr">
        <is>
          <t>Modular / portable power</t>
        </is>
      </c>
      <c r="D4656" s="12" t="inlineStr">
        <is>
          <t>Thermocouple to TC JB JB-RICE-3-TC02: 10 x 1 pr (field cables)</t>
        </is>
      </c>
      <c r="E4656" s="12" t="inlineStr">
        <is>
          <t>RICE-3</t>
        </is>
      </c>
      <c r="F4656" s="12" t="inlineStr">
        <is>
          <t>RICE engine-generator 3</t>
        </is>
      </c>
      <c r="G4656" s="12" t="inlineStr">
        <is>
          <t>JB-RICE-3-TC02</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I-I-0299</t>
        </is>
      </c>
      <c r="B4657" s="12" t="inlineStr">
        <is>
          <t>I</t>
        </is>
      </c>
      <c r="C4657" s="12" t="inlineStr">
        <is>
          <t>Modular / portable power</t>
        </is>
      </c>
      <c r="D4657" s="12" t="inlineStr">
        <is>
          <t>Home run JB-RICE-3-TC02 to the control / marshalling room</t>
        </is>
      </c>
      <c r="E4657" s="12" t="inlineStr"/>
      <c r="F4657" s="12" t="inlineStr">
        <is>
          <t>PCM: power control module</t>
        </is>
      </c>
      <c r="G4657" s="12" t="inlineStr">
        <is>
          <t>JB-RICE-3-TC02</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6" t="n">
        <v>550</v>
      </c>
      <c r="U4657" s="16" t="n">
        <v>81</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I-I-0300</t>
        </is>
      </c>
      <c r="B4658" s="12" t="inlineStr">
        <is>
          <t>I</t>
        </is>
      </c>
      <c r="C4658" s="12" t="inlineStr">
        <is>
          <t>Modular / portable power</t>
        </is>
      </c>
      <c r="D4658" s="12" t="inlineStr">
        <is>
          <t>RTD to JB JB-RICE-3-RTD01: 10 x 1 tri (field cables)</t>
        </is>
      </c>
      <c r="E4658" s="12" t="inlineStr">
        <is>
          <t>RICE-3</t>
        </is>
      </c>
      <c r="F4658" s="12" t="inlineStr">
        <is>
          <t>RICE engine-generator 3</t>
        </is>
      </c>
      <c r="G4658" s="12" t="inlineStr">
        <is>
          <t>JB-RICE-3-RTD01</t>
        </is>
      </c>
      <c r="H4658" s="12" t="inlineStr">
        <is>
          <t>RICE engine-generator 3</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I-I-0301</t>
        </is>
      </c>
      <c r="B4659" s="12" t="inlineStr">
        <is>
          <t>I</t>
        </is>
      </c>
      <c r="C4659" s="12" t="inlineStr">
        <is>
          <t>Modular / portable power</t>
        </is>
      </c>
      <c r="D4659" s="12" t="inlineStr">
        <is>
          <t>Home run JB-RICE-3-RTD01 to the control / marshalling room</t>
        </is>
      </c>
      <c r="E4659" s="12" t="inlineStr"/>
      <c r="F4659" s="12" t="inlineStr">
        <is>
          <t>PCM: power control module</t>
        </is>
      </c>
      <c r="G4659" s="12" t="inlineStr">
        <is>
          <t>JB-RICE-3-RTD01</t>
        </is>
      </c>
      <c r="H4659" s="12" t="inlineStr">
        <is>
          <t>RICE engine-generator 3</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6" t="n">
        <v>550</v>
      </c>
      <c r="U4659" s="16" t="n">
        <v>81</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I-I-0302</t>
        </is>
      </c>
      <c r="B4660" s="12" t="inlineStr">
        <is>
          <t>I</t>
        </is>
      </c>
      <c r="C4660" s="12" t="inlineStr">
        <is>
          <t>Modular / portable power</t>
        </is>
      </c>
      <c r="D4660" s="12" t="inlineStr">
        <is>
          <t>RTD to JB JB-RICE-3-RTD02: 2 x 1 tri (field cables)</t>
        </is>
      </c>
      <c r="E4660" s="12" t="inlineStr">
        <is>
          <t>RICE-3</t>
        </is>
      </c>
      <c r="F4660" s="12" t="inlineStr">
        <is>
          <t>RICE engine-generator 3</t>
        </is>
      </c>
      <c r="G4660" s="12" t="inlineStr">
        <is>
          <t>JB-RICE-3-RTD02</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I-I-0303</t>
        </is>
      </c>
      <c r="B4661" s="12" t="inlineStr">
        <is>
          <t>I</t>
        </is>
      </c>
      <c r="C4661" s="12" t="inlineStr">
        <is>
          <t>Modular / portable power</t>
        </is>
      </c>
      <c r="D4661" s="12" t="inlineStr">
        <is>
          <t>Home run JB-RICE-3-RTD02 to the control / marshalling room</t>
        </is>
      </c>
      <c r="E4661" s="12" t="inlineStr"/>
      <c r="F4661" s="12" t="inlineStr">
        <is>
          <t>PCM: power control module</t>
        </is>
      </c>
      <c r="G4661" s="12" t="inlineStr">
        <is>
          <t>JB-RICE-3-RTD02</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6" t="n">
        <v>550</v>
      </c>
      <c r="U4661" s="16" t="n">
        <v>81</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I-I-0304</t>
        </is>
      </c>
      <c r="B4662" s="12" t="inlineStr">
        <is>
          <t>I</t>
        </is>
      </c>
      <c r="C4662" s="12" t="inlineStr">
        <is>
          <t>Modular / portable power</t>
        </is>
      </c>
      <c r="D4662" s="12" t="inlineStr">
        <is>
          <t>Analog instrument to JB JB-RICE-4-AI01: 20 x 1 pr (field cables)</t>
        </is>
      </c>
      <c r="E4662" s="12" t="inlineStr">
        <is>
          <t>RICE-4</t>
        </is>
      </c>
      <c r="F4662" s="12" t="inlineStr">
        <is>
          <t>RICE engine-generator 4</t>
        </is>
      </c>
      <c r="G4662" s="12" t="inlineStr">
        <is>
          <t>JB-RICE-4-AI01</t>
        </is>
      </c>
      <c r="H4662" s="12" t="inlineStr">
        <is>
          <t>RICE engine-generator 4</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I-I-0305</t>
        </is>
      </c>
      <c r="B4663" s="12" t="inlineStr">
        <is>
          <t>I</t>
        </is>
      </c>
      <c r="C4663" s="12" t="inlineStr">
        <is>
          <t>Modular / portable power</t>
        </is>
      </c>
      <c r="D4663" s="12" t="inlineStr">
        <is>
          <t>Home run JB-RICE-4-AI01 to the control / marshalling room</t>
        </is>
      </c>
      <c r="E4663" s="12" t="inlineStr"/>
      <c r="F4663" s="12" t="inlineStr">
        <is>
          <t>PCM: power control module</t>
        </is>
      </c>
      <c r="G4663" s="12" t="inlineStr">
        <is>
          <t>JB-RICE-4-AI01</t>
        </is>
      </c>
      <c r="H4663" s="12" t="inlineStr">
        <is>
          <t>RICE engine-generator 4</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550</v>
      </c>
      <c r="U4663" s="16" t="n">
        <v>53</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I-I-0306</t>
        </is>
      </c>
      <c r="B4664" s="12" t="inlineStr">
        <is>
          <t>I</t>
        </is>
      </c>
      <c r="C4664" s="12" t="inlineStr">
        <is>
          <t>Modular / portable power</t>
        </is>
      </c>
      <c r="D4664" s="12" t="inlineStr">
        <is>
          <t>Analog instrument to JB JB-RICE-4-AI02: 20 x 1 pr (field cables)</t>
        </is>
      </c>
      <c r="E4664" s="12" t="inlineStr">
        <is>
          <t>RICE-4</t>
        </is>
      </c>
      <c r="F4664" s="12" t="inlineStr">
        <is>
          <t>RICE engine-generator 4</t>
        </is>
      </c>
      <c r="G4664" s="12" t="inlineStr">
        <is>
          <t>JB-RICE-4-AI02</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I-I-0307</t>
        </is>
      </c>
      <c r="B4665" s="12" t="inlineStr">
        <is>
          <t>I</t>
        </is>
      </c>
      <c r="C4665" s="12" t="inlineStr">
        <is>
          <t>Modular / portable power</t>
        </is>
      </c>
      <c r="D4665" s="12" t="inlineStr">
        <is>
          <t>Home run JB-RICE-4-AI02 to the control / marshalling room</t>
        </is>
      </c>
      <c r="E4665" s="12" t="inlineStr"/>
      <c r="F4665" s="12" t="inlineStr">
        <is>
          <t>PCM: power control module</t>
        </is>
      </c>
      <c r="G4665" s="12" t="inlineStr">
        <is>
          <t>JB-RICE-4-AI02</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550</v>
      </c>
      <c r="U4665" s="16" t="n">
        <v>53</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I-I-0308</t>
        </is>
      </c>
      <c r="B4666" s="12" t="inlineStr">
        <is>
          <t>I</t>
        </is>
      </c>
      <c r="C4666" s="12" t="inlineStr">
        <is>
          <t>Modular / portable power</t>
        </is>
      </c>
      <c r="D4666" s="12" t="inlineStr">
        <is>
          <t>Analog instrument to JB JB-RICE-4-AI03: 20 x 1 pr (field cables)</t>
        </is>
      </c>
      <c r="E4666" s="12" t="inlineStr">
        <is>
          <t>RICE-4</t>
        </is>
      </c>
      <c r="F4666" s="12" t="inlineStr">
        <is>
          <t>RICE engine-generator 4</t>
        </is>
      </c>
      <c r="G4666" s="12" t="inlineStr">
        <is>
          <t>JB-RICE-4-AI03</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I-I-0309</t>
        </is>
      </c>
      <c r="B4667" s="12" t="inlineStr">
        <is>
          <t>I</t>
        </is>
      </c>
      <c r="C4667" s="12" t="inlineStr">
        <is>
          <t>Modular / portable power</t>
        </is>
      </c>
      <c r="D4667" s="12" t="inlineStr">
        <is>
          <t>Home run JB-RICE-4-AI03 to the control / marshalling room</t>
        </is>
      </c>
      <c r="E4667" s="12" t="inlineStr"/>
      <c r="F4667" s="12" t="inlineStr">
        <is>
          <t>PCM: power control module</t>
        </is>
      </c>
      <c r="G4667" s="12" t="inlineStr">
        <is>
          <t>JB-RICE-4-AI03</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53</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I-I-0310</t>
        </is>
      </c>
      <c r="B4668" s="12" t="inlineStr">
        <is>
          <t>I</t>
        </is>
      </c>
      <c r="C4668" s="12" t="inlineStr">
        <is>
          <t>Modular / portable power</t>
        </is>
      </c>
      <c r="D4668" s="12" t="inlineStr">
        <is>
          <t>Analog instrument to JB JB-RICE-4-AI04: 20 x 1 pr (field cables)</t>
        </is>
      </c>
      <c r="E4668" s="12" t="inlineStr">
        <is>
          <t>RICE-4</t>
        </is>
      </c>
      <c r="F4668" s="12" t="inlineStr">
        <is>
          <t>RICE engine-generator 4</t>
        </is>
      </c>
      <c r="G4668" s="12" t="inlineStr">
        <is>
          <t>JB-RICE-4-AI04</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I-I-0311</t>
        </is>
      </c>
      <c r="B4669" s="12" t="inlineStr">
        <is>
          <t>I</t>
        </is>
      </c>
      <c r="C4669" s="12" t="inlineStr">
        <is>
          <t>Modular / portable power</t>
        </is>
      </c>
      <c r="D4669" s="12" t="inlineStr">
        <is>
          <t>Home run JB-RICE-4-AI04 to the control / marshalling room</t>
        </is>
      </c>
      <c r="E4669" s="12" t="inlineStr"/>
      <c r="F4669" s="12" t="inlineStr">
        <is>
          <t>PCM: power control module</t>
        </is>
      </c>
      <c r="G4669" s="12" t="inlineStr">
        <is>
          <t>JB-RICE-4-AI04</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53</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I-I-0312</t>
        </is>
      </c>
      <c r="B4670" s="12" t="inlineStr">
        <is>
          <t>I</t>
        </is>
      </c>
      <c r="C4670" s="12" t="inlineStr">
        <is>
          <t>Modular / portable power</t>
        </is>
      </c>
      <c r="D4670" s="12" t="inlineStr">
        <is>
          <t>Discrete device to JB JB-RICE-4-DI01: 20 x 1 pr (field cables)</t>
        </is>
      </c>
      <c r="E4670" s="12" t="inlineStr">
        <is>
          <t>RICE-4</t>
        </is>
      </c>
      <c r="F4670" s="12" t="inlineStr">
        <is>
          <t>RICE engine-generator 4</t>
        </is>
      </c>
      <c r="G4670" s="12" t="inlineStr">
        <is>
          <t>JB-RICE-4-DI01</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I-I-0313</t>
        </is>
      </c>
      <c r="B4671" s="12" t="inlineStr">
        <is>
          <t>I</t>
        </is>
      </c>
      <c r="C4671" s="12" t="inlineStr">
        <is>
          <t>Modular / portable power</t>
        </is>
      </c>
      <c r="D4671" s="12" t="inlineStr">
        <is>
          <t>Home run JB-RICE-4-DI01 to the control / marshalling room</t>
        </is>
      </c>
      <c r="E4671" s="12" t="inlineStr"/>
      <c r="F4671" s="12" t="inlineStr">
        <is>
          <t>PCM: power control module</t>
        </is>
      </c>
      <c r="G4671" s="12" t="inlineStr">
        <is>
          <t>JB-RICE-4-DI01</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53</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I-I-0314</t>
        </is>
      </c>
      <c r="B4672" s="12" t="inlineStr">
        <is>
          <t>I</t>
        </is>
      </c>
      <c r="C4672" s="12" t="inlineStr">
        <is>
          <t>Modular / portable power</t>
        </is>
      </c>
      <c r="D4672" s="12" t="inlineStr">
        <is>
          <t>Discrete device to JB JB-RICE-4-DI02: 20 x 1 pr (field cables)</t>
        </is>
      </c>
      <c r="E4672" s="12" t="inlineStr">
        <is>
          <t>RICE-4</t>
        </is>
      </c>
      <c r="F4672" s="12" t="inlineStr">
        <is>
          <t>RICE engine-generator 4</t>
        </is>
      </c>
      <c r="G4672" s="12" t="inlineStr">
        <is>
          <t>JB-RICE-4-DI02</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I-I-0315</t>
        </is>
      </c>
      <c r="B4673" s="12" t="inlineStr">
        <is>
          <t>I</t>
        </is>
      </c>
      <c r="C4673" s="12" t="inlineStr">
        <is>
          <t>Modular / portable power</t>
        </is>
      </c>
      <c r="D4673" s="12" t="inlineStr">
        <is>
          <t>Home run JB-RICE-4-DI02 to the control / marshalling room</t>
        </is>
      </c>
      <c r="E4673" s="12" t="inlineStr"/>
      <c r="F4673" s="12" t="inlineStr">
        <is>
          <t>PCM: power control module</t>
        </is>
      </c>
      <c r="G4673" s="12" t="inlineStr">
        <is>
          <t>JB-RICE-4-DI02</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53</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I-I-0316</t>
        </is>
      </c>
      <c r="B4674" s="12" t="inlineStr">
        <is>
          <t>I</t>
        </is>
      </c>
      <c r="C4674" s="12" t="inlineStr">
        <is>
          <t>Modular / portable power</t>
        </is>
      </c>
      <c r="D4674" s="12" t="inlineStr">
        <is>
          <t>Discrete device to JB JB-RICE-4-DI03: 20 x 1 pr (field cables)</t>
        </is>
      </c>
      <c r="E4674" s="12" t="inlineStr">
        <is>
          <t>RICE-4</t>
        </is>
      </c>
      <c r="F4674" s="12" t="inlineStr">
        <is>
          <t>RICE engine-generator 4</t>
        </is>
      </c>
      <c r="G4674" s="12" t="inlineStr">
        <is>
          <t>JB-RICE-4-DI03</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I-I-0317</t>
        </is>
      </c>
      <c r="B4675" s="12" t="inlineStr">
        <is>
          <t>I</t>
        </is>
      </c>
      <c r="C4675" s="12" t="inlineStr">
        <is>
          <t>Modular / portable power</t>
        </is>
      </c>
      <c r="D4675" s="12" t="inlineStr">
        <is>
          <t>Home run JB-RICE-4-DI03 to the control / marshalling room</t>
        </is>
      </c>
      <c r="E4675" s="12" t="inlineStr"/>
      <c r="F4675" s="12" t="inlineStr">
        <is>
          <t>PCM: power control module</t>
        </is>
      </c>
      <c r="G4675" s="12" t="inlineStr">
        <is>
          <t>JB-RICE-4-DI03</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550</v>
      </c>
      <c r="U4675" s="16" t="n">
        <v>53</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I-I-0318</t>
        </is>
      </c>
      <c r="B4676" s="12" t="inlineStr">
        <is>
          <t>I</t>
        </is>
      </c>
      <c r="C4676" s="12" t="inlineStr">
        <is>
          <t>Modular / portable power</t>
        </is>
      </c>
      <c r="D4676" s="12" t="inlineStr">
        <is>
          <t>Thermocouple to TC JB JB-RICE-4-TC01: 20 x 1 pr (field cables)</t>
        </is>
      </c>
      <c r="E4676" s="12" t="inlineStr">
        <is>
          <t>RICE-4</t>
        </is>
      </c>
      <c r="F4676" s="12" t="inlineStr">
        <is>
          <t>RICE engine-generator 4</t>
        </is>
      </c>
      <c r="G4676" s="12" t="inlineStr">
        <is>
          <t>JB-RICE-4-TC01</t>
        </is>
      </c>
      <c r="H4676" s="12" t="inlineStr">
        <is>
          <t>RICE engine-generator 4</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I-I-0319</t>
        </is>
      </c>
      <c r="B4677" s="12" t="inlineStr">
        <is>
          <t>I</t>
        </is>
      </c>
      <c r="C4677" s="12" t="inlineStr">
        <is>
          <t>Modular / portable power</t>
        </is>
      </c>
      <c r="D4677" s="12" t="inlineStr">
        <is>
          <t>Home run JB-RICE-4-TC01 to the control / marshalling room</t>
        </is>
      </c>
      <c r="E4677" s="12" t="inlineStr"/>
      <c r="F4677" s="12" t="inlineStr">
        <is>
          <t>PCM: power control module</t>
        </is>
      </c>
      <c r="G4677" s="12" t="inlineStr">
        <is>
          <t>JB-RICE-4-TC01</t>
        </is>
      </c>
      <c r="H4677" s="12" t="inlineStr">
        <is>
          <t>RICE engine-generator 4</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6" t="n">
        <v>550</v>
      </c>
      <c r="U4677" s="16" t="n">
        <v>53</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I-I-0320</t>
        </is>
      </c>
      <c r="B4678" s="12" t="inlineStr">
        <is>
          <t>I</t>
        </is>
      </c>
      <c r="C4678" s="12" t="inlineStr">
        <is>
          <t>Modular / portable power</t>
        </is>
      </c>
      <c r="D4678" s="12" t="inlineStr">
        <is>
          <t>Thermocouple to TC JB JB-RICE-4-TC02: 10 x 1 pr (field cables)</t>
        </is>
      </c>
      <c r="E4678" s="12" t="inlineStr">
        <is>
          <t>RICE-4</t>
        </is>
      </c>
      <c r="F4678" s="12" t="inlineStr">
        <is>
          <t>RICE engine-generator 4</t>
        </is>
      </c>
      <c r="G4678" s="12" t="inlineStr">
        <is>
          <t>JB-RICE-4-TC02</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I-I-0321</t>
        </is>
      </c>
      <c r="B4679" s="12" t="inlineStr">
        <is>
          <t>I</t>
        </is>
      </c>
      <c r="C4679" s="12" t="inlineStr">
        <is>
          <t>Modular / portable power</t>
        </is>
      </c>
      <c r="D4679" s="12" t="inlineStr">
        <is>
          <t>Home run JB-RICE-4-TC02 to the control / marshalling room</t>
        </is>
      </c>
      <c r="E4679" s="12" t="inlineStr"/>
      <c r="F4679" s="12" t="inlineStr">
        <is>
          <t>PCM: power control module</t>
        </is>
      </c>
      <c r="G4679" s="12" t="inlineStr">
        <is>
          <t>JB-RICE-4-TC02</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6" t="n">
        <v>550</v>
      </c>
      <c r="U4679" s="16" t="n">
        <v>53</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I-I-0322</t>
        </is>
      </c>
      <c r="B4680" s="12" t="inlineStr">
        <is>
          <t>I</t>
        </is>
      </c>
      <c r="C4680" s="12" t="inlineStr">
        <is>
          <t>Modular / portable power</t>
        </is>
      </c>
      <c r="D4680" s="12" t="inlineStr">
        <is>
          <t>RTD to JB JB-RICE-4-RTD01: 10 x 1 tri (field cables)</t>
        </is>
      </c>
      <c r="E4680" s="12" t="inlineStr">
        <is>
          <t>RICE-4</t>
        </is>
      </c>
      <c r="F4680" s="12" t="inlineStr">
        <is>
          <t>RICE engine-generator 4</t>
        </is>
      </c>
      <c r="G4680" s="12" t="inlineStr">
        <is>
          <t>JB-RICE-4-RTD01</t>
        </is>
      </c>
      <c r="H4680" s="12" t="inlineStr">
        <is>
          <t>RICE engine-generator 4</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I-I-0323</t>
        </is>
      </c>
      <c r="B4681" s="12" t="inlineStr">
        <is>
          <t>I</t>
        </is>
      </c>
      <c r="C4681" s="12" t="inlineStr">
        <is>
          <t>Modular / portable power</t>
        </is>
      </c>
      <c r="D4681" s="12" t="inlineStr">
        <is>
          <t>Home run JB-RICE-4-RTD01 to the control / marshalling room</t>
        </is>
      </c>
      <c r="E4681" s="12" t="inlineStr"/>
      <c r="F4681" s="12" t="inlineStr">
        <is>
          <t>PCM: power control module</t>
        </is>
      </c>
      <c r="G4681" s="12" t="inlineStr">
        <is>
          <t>JB-RICE-4-RTD01</t>
        </is>
      </c>
      <c r="H4681" s="12" t="inlineStr">
        <is>
          <t>RICE engine-generator 4</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6" t="n">
        <v>550</v>
      </c>
      <c r="U4681" s="16" t="n">
        <v>53</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I-I-0324</t>
        </is>
      </c>
      <c r="B4682" s="12" t="inlineStr">
        <is>
          <t>I</t>
        </is>
      </c>
      <c r="C4682" s="12" t="inlineStr">
        <is>
          <t>Modular / portable power</t>
        </is>
      </c>
      <c r="D4682" s="12" t="inlineStr">
        <is>
          <t>RTD to JB JB-RICE-4-RTD02: 2 x 1 tri (field cables)</t>
        </is>
      </c>
      <c r="E4682" s="12" t="inlineStr">
        <is>
          <t>RICE-4</t>
        </is>
      </c>
      <c r="F4682" s="12" t="inlineStr">
        <is>
          <t>RICE engine-generator 4</t>
        </is>
      </c>
      <c r="G4682" s="12" t="inlineStr">
        <is>
          <t>JB-RICE-4-RTD02</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I-I-0325</t>
        </is>
      </c>
      <c r="B4683" s="12" t="inlineStr">
        <is>
          <t>I</t>
        </is>
      </c>
      <c r="C4683" s="12" t="inlineStr">
        <is>
          <t>Modular / portable power</t>
        </is>
      </c>
      <c r="D4683" s="12" t="inlineStr">
        <is>
          <t>Home run JB-RICE-4-RTD02 to the control / marshalling room</t>
        </is>
      </c>
      <c r="E4683" s="12" t="inlineStr"/>
      <c r="F4683" s="12" t="inlineStr">
        <is>
          <t>PCM: power control module</t>
        </is>
      </c>
      <c r="G4683" s="12" t="inlineStr">
        <is>
          <t>JB-RICE-4-RTD02</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6" t="n">
        <v>550</v>
      </c>
      <c r="U4683" s="16" t="n">
        <v>53</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I-I-0326</t>
        </is>
      </c>
      <c r="B4684" s="12" t="inlineStr">
        <is>
          <t>I</t>
        </is>
      </c>
      <c r="C4684" s="12" t="inlineStr">
        <is>
          <t>Modular / portable power</t>
        </is>
      </c>
      <c r="D4684" s="12" t="inlineStr">
        <is>
          <t>Analog instrument to JB JB-RICE-5-AI01: 20 x 1 pr (field cables)</t>
        </is>
      </c>
      <c r="E4684" s="12" t="inlineStr">
        <is>
          <t>RICE-5</t>
        </is>
      </c>
      <c r="F4684" s="12" t="inlineStr">
        <is>
          <t>RICE engine-generator 5</t>
        </is>
      </c>
      <c r="G4684" s="12" t="inlineStr">
        <is>
          <t>JB-RICE-5-AI01</t>
        </is>
      </c>
      <c r="H4684" s="12" t="inlineStr">
        <is>
          <t>RICE engine-generator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I-I-0327</t>
        </is>
      </c>
      <c r="B4685" s="12" t="inlineStr">
        <is>
          <t>I</t>
        </is>
      </c>
      <c r="C4685" s="12" t="inlineStr">
        <is>
          <t>Modular / portable power</t>
        </is>
      </c>
      <c r="D4685" s="12" t="inlineStr">
        <is>
          <t>Home run JB-RICE-5-AI01 to the control / marshalling room</t>
        </is>
      </c>
      <c r="E4685" s="12" t="inlineStr"/>
      <c r="F4685" s="12" t="inlineStr">
        <is>
          <t>PCM: power control module</t>
        </is>
      </c>
      <c r="G4685" s="12" t="inlineStr">
        <is>
          <t>JB-RICE-5-AI01</t>
        </is>
      </c>
      <c r="H4685" s="12" t="inlineStr">
        <is>
          <t>RICE engine-generator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367</v>
      </c>
      <c r="U4685" s="16" t="n">
        <v>208</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I-I-0328</t>
        </is>
      </c>
      <c r="B4686" s="12" t="inlineStr">
        <is>
          <t>I</t>
        </is>
      </c>
      <c r="C4686" s="12" t="inlineStr">
        <is>
          <t>Modular / portable power</t>
        </is>
      </c>
      <c r="D4686" s="12" t="inlineStr">
        <is>
          <t>Analog instrument to JB JB-RICE-5-AI02: 20 x 1 pr (field cables)</t>
        </is>
      </c>
      <c r="E4686" s="12" t="inlineStr">
        <is>
          <t>RICE-5</t>
        </is>
      </c>
      <c r="F4686" s="12" t="inlineStr">
        <is>
          <t>RICE engine-generator 5</t>
        </is>
      </c>
      <c r="G4686" s="12" t="inlineStr">
        <is>
          <t>JB-RICE-5-AI02</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I-I-0329</t>
        </is>
      </c>
      <c r="B4687" s="12" t="inlineStr">
        <is>
          <t>I</t>
        </is>
      </c>
      <c r="C4687" s="12" t="inlineStr">
        <is>
          <t>Modular / portable power</t>
        </is>
      </c>
      <c r="D4687" s="12" t="inlineStr">
        <is>
          <t>Home run JB-RICE-5-AI02 to the control / marshalling room</t>
        </is>
      </c>
      <c r="E4687" s="12" t="inlineStr"/>
      <c r="F4687" s="12" t="inlineStr">
        <is>
          <t>PCM: power control module</t>
        </is>
      </c>
      <c r="G4687" s="12" t="inlineStr">
        <is>
          <t>JB-RICE-5-AI02</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367</v>
      </c>
      <c r="U4687" s="16" t="n">
        <v>208</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I-I-0330</t>
        </is>
      </c>
      <c r="B4688" s="12" t="inlineStr">
        <is>
          <t>I</t>
        </is>
      </c>
      <c r="C4688" s="12" t="inlineStr">
        <is>
          <t>Modular / portable power</t>
        </is>
      </c>
      <c r="D4688" s="12" t="inlineStr">
        <is>
          <t>Analog instrument to JB JB-RICE-5-AI03: 20 x 1 pr (field cables)</t>
        </is>
      </c>
      <c r="E4688" s="12" t="inlineStr">
        <is>
          <t>RICE-5</t>
        </is>
      </c>
      <c r="F4688" s="12" t="inlineStr">
        <is>
          <t>RICE engine-generator 5</t>
        </is>
      </c>
      <c r="G4688" s="12" t="inlineStr">
        <is>
          <t>JB-RICE-5-AI03</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I-I-0331</t>
        </is>
      </c>
      <c r="B4689" s="12" t="inlineStr">
        <is>
          <t>I</t>
        </is>
      </c>
      <c r="C4689" s="12" t="inlineStr">
        <is>
          <t>Modular / portable power</t>
        </is>
      </c>
      <c r="D4689" s="12" t="inlineStr">
        <is>
          <t>Home run JB-RICE-5-AI03 to the control / marshalling room</t>
        </is>
      </c>
      <c r="E4689" s="12" t="inlineStr"/>
      <c r="F4689" s="12" t="inlineStr">
        <is>
          <t>PCM: power control module</t>
        </is>
      </c>
      <c r="G4689" s="12" t="inlineStr">
        <is>
          <t>JB-RICE-5-AI03</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367</v>
      </c>
      <c r="U4689" s="16" t="n">
        <v>208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I-I-0332</t>
        </is>
      </c>
      <c r="B4690" s="12" t="inlineStr">
        <is>
          <t>I</t>
        </is>
      </c>
      <c r="C4690" s="12" t="inlineStr">
        <is>
          <t>Modular / portable power</t>
        </is>
      </c>
      <c r="D4690" s="12" t="inlineStr">
        <is>
          <t>Analog instrument to JB JB-RICE-5-AI04: 20 x 1 pr (field cables)</t>
        </is>
      </c>
      <c r="E4690" s="12" t="inlineStr">
        <is>
          <t>RICE-5</t>
        </is>
      </c>
      <c r="F4690" s="12" t="inlineStr">
        <is>
          <t>RICE engine-generator 5</t>
        </is>
      </c>
      <c r="G4690" s="12" t="inlineStr">
        <is>
          <t>JB-RICE-5-AI04</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I-I-0333</t>
        </is>
      </c>
      <c r="B4691" s="12" t="inlineStr">
        <is>
          <t>I</t>
        </is>
      </c>
      <c r="C4691" s="12" t="inlineStr">
        <is>
          <t>Modular / portable power</t>
        </is>
      </c>
      <c r="D4691" s="12" t="inlineStr">
        <is>
          <t>Home run JB-RICE-5-AI04 to the control / marshalling room</t>
        </is>
      </c>
      <c r="E4691" s="12" t="inlineStr"/>
      <c r="F4691" s="12" t="inlineStr">
        <is>
          <t>PCM: power control module</t>
        </is>
      </c>
      <c r="G4691" s="12" t="inlineStr">
        <is>
          <t>JB-RICE-5-AI04</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367</v>
      </c>
      <c r="U4691" s="16" t="n">
        <v>208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I-I-0334</t>
        </is>
      </c>
      <c r="B4692" s="12" t="inlineStr">
        <is>
          <t>I</t>
        </is>
      </c>
      <c r="C4692" s="12" t="inlineStr">
        <is>
          <t>Modular / portable power</t>
        </is>
      </c>
      <c r="D4692" s="12" t="inlineStr">
        <is>
          <t>Discrete device to JB JB-RICE-5-DI01: 20 x 1 pr (field cables)</t>
        </is>
      </c>
      <c r="E4692" s="12" t="inlineStr">
        <is>
          <t>RICE-5</t>
        </is>
      </c>
      <c r="F4692" s="12" t="inlineStr">
        <is>
          <t>RICE engine-generator 5</t>
        </is>
      </c>
      <c r="G4692" s="12" t="inlineStr">
        <is>
          <t>JB-RICE-5-DI01</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I-I-0335</t>
        </is>
      </c>
      <c r="B4693" s="12" t="inlineStr">
        <is>
          <t>I</t>
        </is>
      </c>
      <c r="C4693" s="12" t="inlineStr">
        <is>
          <t>Modular / portable power</t>
        </is>
      </c>
      <c r="D4693" s="12" t="inlineStr">
        <is>
          <t>Home run JB-RICE-5-DI01 to the control / marshalling room</t>
        </is>
      </c>
      <c r="E4693" s="12" t="inlineStr"/>
      <c r="F4693" s="12" t="inlineStr">
        <is>
          <t>PCM: power control module</t>
        </is>
      </c>
      <c r="G4693" s="12" t="inlineStr">
        <is>
          <t>JB-RICE-5-DI01</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367</v>
      </c>
      <c r="U4693" s="16" t="n">
        <v>208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I-I-0336</t>
        </is>
      </c>
      <c r="B4694" s="12" t="inlineStr">
        <is>
          <t>I</t>
        </is>
      </c>
      <c r="C4694" s="12" t="inlineStr">
        <is>
          <t>Modular / portable power</t>
        </is>
      </c>
      <c r="D4694" s="12" t="inlineStr">
        <is>
          <t>Discrete device to JB JB-RICE-5-DI02: 20 x 1 pr (field cables)</t>
        </is>
      </c>
      <c r="E4694" s="12" t="inlineStr">
        <is>
          <t>RICE-5</t>
        </is>
      </c>
      <c r="F4694" s="12" t="inlineStr">
        <is>
          <t>RICE engine-generator 5</t>
        </is>
      </c>
      <c r="G4694" s="12" t="inlineStr">
        <is>
          <t>JB-RICE-5-DI02</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I-I-0337</t>
        </is>
      </c>
      <c r="B4695" s="12" t="inlineStr">
        <is>
          <t>I</t>
        </is>
      </c>
      <c r="C4695" s="12" t="inlineStr">
        <is>
          <t>Modular / portable power</t>
        </is>
      </c>
      <c r="D4695" s="12" t="inlineStr">
        <is>
          <t>Home run JB-RICE-5-DI02 to the control / marshalling room</t>
        </is>
      </c>
      <c r="E4695" s="12" t="inlineStr"/>
      <c r="F4695" s="12" t="inlineStr">
        <is>
          <t>PCM: power control module</t>
        </is>
      </c>
      <c r="G4695" s="12" t="inlineStr">
        <is>
          <t>JB-RICE-5-DI02</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367</v>
      </c>
      <c r="U4695" s="16" t="n">
        <v>208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I-I-0338</t>
        </is>
      </c>
      <c r="B4696" s="12" t="inlineStr">
        <is>
          <t>I</t>
        </is>
      </c>
      <c r="C4696" s="12" t="inlineStr">
        <is>
          <t>Modular / portable power</t>
        </is>
      </c>
      <c r="D4696" s="12" t="inlineStr">
        <is>
          <t>Discrete device to JB JB-RICE-5-DI03: 20 x 1 pr (field cables)</t>
        </is>
      </c>
      <c r="E4696" s="12" t="inlineStr">
        <is>
          <t>RICE-5</t>
        </is>
      </c>
      <c r="F4696" s="12" t="inlineStr">
        <is>
          <t>RICE engine-generator 5</t>
        </is>
      </c>
      <c r="G4696" s="12" t="inlineStr">
        <is>
          <t>JB-RICE-5-DI03</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I-I-0339</t>
        </is>
      </c>
      <c r="B4697" s="12" t="inlineStr">
        <is>
          <t>I</t>
        </is>
      </c>
      <c r="C4697" s="12" t="inlineStr">
        <is>
          <t>Modular / portable power</t>
        </is>
      </c>
      <c r="D4697" s="12" t="inlineStr">
        <is>
          <t>Home run JB-RICE-5-DI03 to the control / marshalling room</t>
        </is>
      </c>
      <c r="E4697" s="12" t="inlineStr"/>
      <c r="F4697" s="12" t="inlineStr">
        <is>
          <t>PCM: power control module</t>
        </is>
      </c>
      <c r="G4697" s="12" t="inlineStr">
        <is>
          <t>JB-RICE-5-DI03</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367</v>
      </c>
      <c r="U4697" s="16" t="n">
        <v>208</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I-I-0340</t>
        </is>
      </c>
      <c r="B4698" s="12" t="inlineStr">
        <is>
          <t>I</t>
        </is>
      </c>
      <c r="C4698" s="12" t="inlineStr">
        <is>
          <t>Modular / portable power</t>
        </is>
      </c>
      <c r="D4698" s="12" t="inlineStr">
        <is>
          <t>Thermocouple to TC JB JB-RICE-5-TC01: 20 x 1 pr (field cables)</t>
        </is>
      </c>
      <c r="E4698" s="12" t="inlineStr">
        <is>
          <t>RICE-5</t>
        </is>
      </c>
      <c r="F4698" s="12" t="inlineStr">
        <is>
          <t>RICE engine-generator 5</t>
        </is>
      </c>
      <c r="G4698" s="12" t="inlineStr">
        <is>
          <t>JB-RICE-5-TC01</t>
        </is>
      </c>
      <c r="H4698" s="12" t="inlineStr">
        <is>
          <t>RICE engine-generator 5</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I-I-0341</t>
        </is>
      </c>
      <c r="B4699" s="12" t="inlineStr">
        <is>
          <t>I</t>
        </is>
      </c>
      <c r="C4699" s="12" t="inlineStr">
        <is>
          <t>Modular / portable power</t>
        </is>
      </c>
      <c r="D4699" s="12" t="inlineStr">
        <is>
          <t>Home run JB-RICE-5-TC01 to the control / marshalling room</t>
        </is>
      </c>
      <c r="E4699" s="12" t="inlineStr"/>
      <c r="F4699" s="12" t="inlineStr">
        <is>
          <t>PCM: power control module</t>
        </is>
      </c>
      <c r="G4699" s="12" t="inlineStr">
        <is>
          <t>JB-RICE-5-TC01</t>
        </is>
      </c>
      <c r="H4699" s="12" t="inlineStr">
        <is>
          <t>RICE engine-generator 5</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367</v>
      </c>
      <c r="U4699" s="16" t="n">
        <v>208</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I-I-0342</t>
        </is>
      </c>
      <c r="B4700" s="12" t="inlineStr">
        <is>
          <t>I</t>
        </is>
      </c>
      <c r="C4700" s="12" t="inlineStr">
        <is>
          <t>Modular / portable power</t>
        </is>
      </c>
      <c r="D4700" s="12" t="inlineStr">
        <is>
          <t>Thermocouple to TC JB JB-RICE-5-TC02: 10 x 1 pr (field cables)</t>
        </is>
      </c>
      <c r="E4700" s="12" t="inlineStr">
        <is>
          <t>RICE-5</t>
        </is>
      </c>
      <c r="F4700" s="12" t="inlineStr">
        <is>
          <t>RICE engine-generator 5</t>
        </is>
      </c>
      <c r="G4700" s="12" t="inlineStr">
        <is>
          <t>JB-RICE-5-TC02</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I-I-0343</t>
        </is>
      </c>
      <c r="B4701" s="12" t="inlineStr">
        <is>
          <t>I</t>
        </is>
      </c>
      <c r="C4701" s="12" t="inlineStr">
        <is>
          <t>Modular / portable power</t>
        </is>
      </c>
      <c r="D4701" s="12" t="inlineStr">
        <is>
          <t>Home run JB-RICE-5-TC02 to the control / marshalling room</t>
        </is>
      </c>
      <c r="E4701" s="12" t="inlineStr"/>
      <c r="F4701" s="12" t="inlineStr">
        <is>
          <t>PCM: power control module</t>
        </is>
      </c>
      <c r="G4701" s="12" t="inlineStr">
        <is>
          <t>JB-RICE-5-TC02</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6" t="n">
        <v>367</v>
      </c>
      <c r="U4701" s="16" t="n">
        <v>208</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I-I-0344</t>
        </is>
      </c>
      <c r="B4702" s="12" t="inlineStr">
        <is>
          <t>I</t>
        </is>
      </c>
      <c r="C4702" s="12" t="inlineStr">
        <is>
          <t>Modular / portable power</t>
        </is>
      </c>
      <c r="D4702" s="12" t="inlineStr">
        <is>
          <t>RTD to JB JB-RICE-5-RTD01: 10 x 1 tri (field cables)</t>
        </is>
      </c>
      <c r="E4702" s="12" t="inlineStr">
        <is>
          <t>RICE-5</t>
        </is>
      </c>
      <c r="F4702" s="12" t="inlineStr">
        <is>
          <t>RICE engine-generator 5</t>
        </is>
      </c>
      <c r="G4702" s="12" t="inlineStr">
        <is>
          <t>JB-RICE-5-RTD01</t>
        </is>
      </c>
      <c r="H4702" s="12" t="inlineStr">
        <is>
          <t>RICE engine-generator 5</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I-I-0345</t>
        </is>
      </c>
      <c r="B4703" s="12" t="inlineStr">
        <is>
          <t>I</t>
        </is>
      </c>
      <c r="C4703" s="12" t="inlineStr">
        <is>
          <t>Modular / portable power</t>
        </is>
      </c>
      <c r="D4703" s="12" t="inlineStr">
        <is>
          <t>Home run JB-RICE-5-RTD01 to the control / marshalling room</t>
        </is>
      </c>
      <c r="E4703" s="12" t="inlineStr"/>
      <c r="F4703" s="12" t="inlineStr">
        <is>
          <t>PCM: power control module</t>
        </is>
      </c>
      <c r="G4703" s="12" t="inlineStr">
        <is>
          <t>JB-RICE-5-RTD01</t>
        </is>
      </c>
      <c r="H4703" s="12" t="inlineStr">
        <is>
          <t>RICE engine-generator 5</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367</v>
      </c>
      <c r="U4703" s="16" t="n">
        <v>208</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I-I-0346</t>
        </is>
      </c>
      <c r="B4704" s="12" t="inlineStr">
        <is>
          <t>I</t>
        </is>
      </c>
      <c r="C4704" s="12" t="inlineStr">
        <is>
          <t>Modular / portable power</t>
        </is>
      </c>
      <c r="D4704" s="12" t="inlineStr">
        <is>
          <t>RTD to JB JB-RICE-5-RTD02: 2 x 1 tri (field cables)</t>
        </is>
      </c>
      <c r="E4704" s="12" t="inlineStr">
        <is>
          <t>RICE-5</t>
        </is>
      </c>
      <c r="F4704" s="12" t="inlineStr">
        <is>
          <t>RICE engine-generator 5</t>
        </is>
      </c>
      <c r="G4704" s="12" t="inlineStr">
        <is>
          <t>JB-RICE-5-RTD02</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I-I-0347</t>
        </is>
      </c>
      <c r="B4705" s="12" t="inlineStr">
        <is>
          <t>I</t>
        </is>
      </c>
      <c r="C4705" s="12" t="inlineStr">
        <is>
          <t>Modular / portable power</t>
        </is>
      </c>
      <c r="D4705" s="12" t="inlineStr">
        <is>
          <t>Home run JB-RICE-5-RTD02 to the control / marshalling room</t>
        </is>
      </c>
      <c r="E4705" s="12" t="inlineStr"/>
      <c r="F4705" s="12" t="inlineStr">
        <is>
          <t>PCM: power control module</t>
        </is>
      </c>
      <c r="G4705" s="12" t="inlineStr">
        <is>
          <t>JB-RICE-5-RTD02</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6" t="n">
        <v>367</v>
      </c>
      <c r="U4705" s="16" t="n">
        <v>208</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I-I-0348</t>
        </is>
      </c>
      <c r="B4706" s="12" t="inlineStr">
        <is>
          <t>I</t>
        </is>
      </c>
      <c r="C4706" s="12" t="inlineStr">
        <is>
          <t>Modular / portable power</t>
        </is>
      </c>
      <c r="D4706" s="12" t="inlineStr">
        <is>
          <t>Analog instrument to JB JB-RICE-6-AI01: 20 x 1 pr (field cables)</t>
        </is>
      </c>
      <c r="E4706" s="12" t="inlineStr">
        <is>
          <t>RICE-6</t>
        </is>
      </c>
      <c r="F4706" s="12" t="inlineStr">
        <is>
          <t>RICE engine-generator 6</t>
        </is>
      </c>
      <c r="G4706" s="12" t="inlineStr">
        <is>
          <t>JB-RICE-6-AI01</t>
        </is>
      </c>
      <c r="H4706" s="12" t="inlineStr">
        <is>
          <t>RICE engine-generator 6</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I-I-0349</t>
        </is>
      </c>
      <c r="B4707" s="12" t="inlineStr">
        <is>
          <t>I</t>
        </is>
      </c>
      <c r="C4707" s="12" t="inlineStr">
        <is>
          <t>Modular / portable power</t>
        </is>
      </c>
      <c r="D4707" s="12" t="inlineStr">
        <is>
          <t>Home run JB-RICE-6-AI01 to the control / marshalling room</t>
        </is>
      </c>
      <c r="E4707" s="12" t="inlineStr"/>
      <c r="F4707" s="12" t="inlineStr">
        <is>
          <t>PCM: power control module</t>
        </is>
      </c>
      <c r="G4707" s="12" t="inlineStr">
        <is>
          <t>JB-RICE-6-AI01</t>
        </is>
      </c>
      <c r="H4707" s="12" t="inlineStr">
        <is>
          <t>RICE engine-generator 6</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367</v>
      </c>
      <c r="U4707" s="16" t="n">
        <v>180</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I-I-0350</t>
        </is>
      </c>
      <c r="B4708" s="12" t="inlineStr">
        <is>
          <t>I</t>
        </is>
      </c>
      <c r="C4708" s="12" t="inlineStr">
        <is>
          <t>Modular / portable power</t>
        </is>
      </c>
      <c r="D4708" s="12" t="inlineStr">
        <is>
          <t>Analog instrument to JB JB-RICE-6-AI02: 20 x 1 pr (field cables)</t>
        </is>
      </c>
      <c r="E4708" s="12" t="inlineStr">
        <is>
          <t>RICE-6</t>
        </is>
      </c>
      <c r="F4708" s="12" t="inlineStr">
        <is>
          <t>RICE engine-generator 6</t>
        </is>
      </c>
      <c r="G4708" s="12" t="inlineStr">
        <is>
          <t>JB-RICE-6-AI02</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I-I-0351</t>
        </is>
      </c>
      <c r="B4709" s="12" t="inlineStr">
        <is>
          <t>I</t>
        </is>
      </c>
      <c r="C4709" s="12" t="inlineStr">
        <is>
          <t>Modular / portable power</t>
        </is>
      </c>
      <c r="D4709" s="12" t="inlineStr">
        <is>
          <t>Home run JB-RICE-6-AI02 to the control / marshalling room</t>
        </is>
      </c>
      <c r="E4709" s="12" t="inlineStr"/>
      <c r="F4709" s="12" t="inlineStr">
        <is>
          <t>PCM: power control module</t>
        </is>
      </c>
      <c r="G4709" s="12" t="inlineStr">
        <is>
          <t>JB-RICE-6-AI02</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367</v>
      </c>
      <c r="U4709" s="16" t="n">
        <v>180</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I-I-0352</t>
        </is>
      </c>
      <c r="B4710" s="12" t="inlineStr">
        <is>
          <t>I</t>
        </is>
      </c>
      <c r="C4710" s="12" t="inlineStr">
        <is>
          <t>Modular / portable power</t>
        </is>
      </c>
      <c r="D4710" s="12" t="inlineStr">
        <is>
          <t>Analog instrument to JB JB-RICE-6-AI03: 20 x 1 pr (field cables)</t>
        </is>
      </c>
      <c r="E4710" s="12" t="inlineStr">
        <is>
          <t>RICE-6</t>
        </is>
      </c>
      <c r="F4710" s="12" t="inlineStr">
        <is>
          <t>RICE engine-generator 6</t>
        </is>
      </c>
      <c r="G4710" s="12" t="inlineStr">
        <is>
          <t>JB-RICE-6-AI03</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I-I-0353</t>
        </is>
      </c>
      <c r="B4711" s="12" t="inlineStr">
        <is>
          <t>I</t>
        </is>
      </c>
      <c r="C4711" s="12" t="inlineStr">
        <is>
          <t>Modular / portable power</t>
        </is>
      </c>
      <c r="D4711" s="12" t="inlineStr">
        <is>
          <t>Home run JB-RICE-6-AI03 to the control / marshalling room</t>
        </is>
      </c>
      <c r="E4711" s="12" t="inlineStr"/>
      <c r="F4711" s="12" t="inlineStr">
        <is>
          <t>PCM: power control module</t>
        </is>
      </c>
      <c r="G4711" s="12" t="inlineStr">
        <is>
          <t>JB-RICE-6-AI03</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367</v>
      </c>
      <c r="U4711" s="16" t="n">
        <v>180</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I-I-0354</t>
        </is>
      </c>
      <c r="B4712" s="12" t="inlineStr">
        <is>
          <t>I</t>
        </is>
      </c>
      <c r="C4712" s="12" t="inlineStr">
        <is>
          <t>Modular / portable power</t>
        </is>
      </c>
      <c r="D4712" s="12" t="inlineStr">
        <is>
          <t>Analog instrument to JB JB-RICE-6-AI04: 20 x 1 pr (field cables)</t>
        </is>
      </c>
      <c r="E4712" s="12" t="inlineStr">
        <is>
          <t>RICE-6</t>
        </is>
      </c>
      <c r="F4712" s="12" t="inlineStr">
        <is>
          <t>RICE engine-generator 6</t>
        </is>
      </c>
      <c r="G4712" s="12" t="inlineStr">
        <is>
          <t>JB-RICE-6-AI04</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I-I-0355</t>
        </is>
      </c>
      <c r="B4713" s="12" t="inlineStr">
        <is>
          <t>I</t>
        </is>
      </c>
      <c r="C4713" s="12" t="inlineStr">
        <is>
          <t>Modular / portable power</t>
        </is>
      </c>
      <c r="D4713" s="12" t="inlineStr">
        <is>
          <t>Home run JB-RICE-6-AI04 to the control / marshalling room</t>
        </is>
      </c>
      <c r="E4713" s="12" t="inlineStr"/>
      <c r="F4713" s="12" t="inlineStr">
        <is>
          <t>PCM: power control module</t>
        </is>
      </c>
      <c r="G4713" s="12" t="inlineStr">
        <is>
          <t>JB-RICE-6-AI04</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367</v>
      </c>
      <c r="U4713" s="16" t="n">
        <v>180</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I-I-0356</t>
        </is>
      </c>
      <c r="B4714" s="12" t="inlineStr">
        <is>
          <t>I</t>
        </is>
      </c>
      <c r="C4714" s="12" t="inlineStr">
        <is>
          <t>Modular / portable power</t>
        </is>
      </c>
      <c r="D4714" s="12" t="inlineStr">
        <is>
          <t>Discrete device to JB JB-RICE-6-DI01: 20 x 1 pr (field cables)</t>
        </is>
      </c>
      <c r="E4714" s="12" t="inlineStr">
        <is>
          <t>RICE-6</t>
        </is>
      </c>
      <c r="F4714" s="12" t="inlineStr">
        <is>
          <t>RICE engine-generator 6</t>
        </is>
      </c>
      <c r="G4714" s="12" t="inlineStr">
        <is>
          <t>JB-RICE-6-DI01</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I-I-0357</t>
        </is>
      </c>
      <c r="B4715" s="12" t="inlineStr">
        <is>
          <t>I</t>
        </is>
      </c>
      <c r="C4715" s="12" t="inlineStr">
        <is>
          <t>Modular / portable power</t>
        </is>
      </c>
      <c r="D4715" s="12" t="inlineStr">
        <is>
          <t>Home run JB-RICE-6-DI01 to the control / marshalling room</t>
        </is>
      </c>
      <c r="E4715" s="12" t="inlineStr"/>
      <c r="F4715" s="12" t="inlineStr">
        <is>
          <t>PCM: power control module</t>
        </is>
      </c>
      <c r="G4715" s="12" t="inlineStr">
        <is>
          <t>JB-RICE-6-DI01</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367</v>
      </c>
      <c r="U4715" s="16" t="n">
        <v>180</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I-I-0358</t>
        </is>
      </c>
      <c r="B4716" s="12" t="inlineStr">
        <is>
          <t>I</t>
        </is>
      </c>
      <c r="C4716" s="12" t="inlineStr">
        <is>
          <t>Modular / portable power</t>
        </is>
      </c>
      <c r="D4716" s="12" t="inlineStr">
        <is>
          <t>Discrete device to JB JB-RICE-6-DI02: 20 x 1 pr (field cables)</t>
        </is>
      </c>
      <c r="E4716" s="12" t="inlineStr">
        <is>
          <t>RICE-6</t>
        </is>
      </c>
      <c r="F4716" s="12" t="inlineStr">
        <is>
          <t>RICE engine-generator 6</t>
        </is>
      </c>
      <c r="G4716" s="12" t="inlineStr">
        <is>
          <t>JB-RICE-6-DI02</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I-I-0359</t>
        </is>
      </c>
      <c r="B4717" s="12" t="inlineStr">
        <is>
          <t>I</t>
        </is>
      </c>
      <c r="C4717" s="12" t="inlineStr">
        <is>
          <t>Modular / portable power</t>
        </is>
      </c>
      <c r="D4717" s="12" t="inlineStr">
        <is>
          <t>Home run JB-RICE-6-DI02 to the control / marshalling room</t>
        </is>
      </c>
      <c r="E4717" s="12" t="inlineStr"/>
      <c r="F4717" s="12" t="inlineStr">
        <is>
          <t>PCM: power control module</t>
        </is>
      </c>
      <c r="G4717" s="12" t="inlineStr">
        <is>
          <t>JB-RICE-6-DI02</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367</v>
      </c>
      <c r="U4717" s="16" t="n">
        <v>180</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I-I-0360</t>
        </is>
      </c>
      <c r="B4718" s="12" t="inlineStr">
        <is>
          <t>I</t>
        </is>
      </c>
      <c r="C4718" s="12" t="inlineStr">
        <is>
          <t>Modular / portable power</t>
        </is>
      </c>
      <c r="D4718" s="12" t="inlineStr">
        <is>
          <t>Discrete device to JB JB-RICE-6-DI03: 20 x 1 pr (field cables)</t>
        </is>
      </c>
      <c r="E4718" s="12" t="inlineStr">
        <is>
          <t>RICE-6</t>
        </is>
      </c>
      <c r="F4718" s="12" t="inlineStr">
        <is>
          <t>RICE engine-generator 6</t>
        </is>
      </c>
      <c r="G4718" s="12" t="inlineStr">
        <is>
          <t>JB-RICE-6-DI03</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I-I-0361</t>
        </is>
      </c>
      <c r="B4719" s="12" t="inlineStr">
        <is>
          <t>I</t>
        </is>
      </c>
      <c r="C4719" s="12" t="inlineStr">
        <is>
          <t>Modular / portable power</t>
        </is>
      </c>
      <c r="D4719" s="12" t="inlineStr">
        <is>
          <t>Home run JB-RICE-6-DI03 to the control / marshalling room</t>
        </is>
      </c>
      <c r="E4719" s="12" t="inlineStr"/>
      <c r="F4719" s="12" t="inlineStr">
        <is>
          <t>PCM: power control module</t>
        </is>
      </c>
      <c r="G4719" s="12" t="inlineStr">
        <is>
          <t>JB-RICE-6-DI03</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367</v>
      </c>
      <c r="U4719" s="16" t="n">
        <v>180</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I-I-0362</t>
        </is>
      </c>
      <c r="B4720" s="12" t="inlineStr">
        <is>
          <t>I</t>
        </is>
      </c>
      <c r="C4720" s="12" t="inlineStr">
        <is>
          <t>Modular / portable power</t>
        </is>
      </c>
      <c r="D4720" s="12" t="inlineStr">
        <is>
          <t>Thermocouple to TC JB JB-RICE-6-TC01: 20 x 1 pr (field cables)</t>
        </is>
      </c>
      <c r="E4720" s="12" t="inlineStr">
        <is>
          <t>RICE-6</t>
        </is>
      </c>
      <c r="F4720" s="12" t="inlineStr">
        <is>
          <t>RICE engine-generator 6</t>
        </is>
      </c>
      <c r="G4720" s="12" t="inlineStr">
        <is>
          <t>JB-RICE-6-TC01</t>
        </is>
      </c>
      <c r="H4720" s="12" t="inlineStr">
        <is>
          <t>RICE engine-generator 6</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I-I-0363</t>
        </is>
      </c>
      <c r="B4721" s="12" t="inlineStr">
        <is>
          <t>I</t>
        </is>
      </c>
      <c r="C4721" s="12" t="inlineStr">
        <is>
          <t>Modular / portable power</t>
        </is>
      </c>
      <c r="D4721" s="12" t="inlineStr">
        <is>
          <t>Home run JB-RICE-6-TC01 to the control / marshalling room</t>
        </is>
      </c>
      <c r="E4721" s="12" t="inlineStr"/>
      <c r="F4721" s="12" t="inlineStr">
        <is>
          <t>PCM: power control module</t>
        </is>
      </c>
      <c r="G4721" s="12" t="inlineStr">
        <is>
          <t>JB-RICE-6-TC01</t>
        </is>
      </c>
      <c r="H4721" s="12" t="inlineStr">
        <is>
          <t>RICE engine-generator 6</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367</v>
      </c>
      <c r="U4721" s="16" t="n">
        <v>180</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I-I-0364</t>
        </is>
      </c>
      <c r="B4722" s="12" t="inlineStr">
        <is>
          <t>I</t>
        </is>
      </c>
      <c r="C4722" s="12" t="inlineStr">
        <is>
          <t>Modular / portable power</t>
        </is>
      </c>
      <c r="D4722" s="12" t="inlineStr">
        <is>
          <t>Thermocouple to TC JB JB-RICE-6-TC02: 10 x 1 pr (field cables)</t>
        </is>
      </c>
      <c r="E4722" s="12" t="inlineStr">
        <is>
          <t>RICE-6</t>
        </is>
      </c>
      <c r="F4722" s="12" t="inlineStr">
        <is>
          <t>RICE engine-generator 6</t>
        </is>
      </c>
      <c r="G4722" s="12" t="inlineStr">
        <is>
          <t>JB-RICE-6-TC02</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I-I-0365</t>
        </is>
      </c>
      <c r="B4723" s="12" t="inlineStr">
        <is>
          <t>I</t>
        </is>
      </c>
      <c r="C4723" s="12" t="inlineStr">
        <is>
          <t>Modular / portable power</t>
        </is>
      </c>
      <c r="D4723" s="12" t="inlineStr">
        <is>
          <t>Home run JB-RICE-6-TC02 to the control / marshalling room</t>
        </is>
      </c>
      <c r="E4723" s="12" t="inlineStr"/>
      <c r="F4723" s="12" t="inlineStr">
        <is>
          <t>PCM: power control module</t>
        </is>
      </c>
      <c r="G4723" s="12" t="inlineStr">
        <is>
          <t>JB-RICE-6-TC02</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6" t="n">
        <v>367</v>
      </c>
      <c r="U4723" s="16" t="n">
        <v>180</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I-I-0366</t>
        </is>
      </c>
      <c r="B4724" s="12" t="inlineStr">
        <is>
          <t>I</t>
        </is>
      </c>
      <c r="C4724" s="12" t="inlineStr">
        <is>
          <t>Modular / portable power</t>
        </is>
      </c>
      <c r="D4724" s="12" t="inlineStr">
        <is>
          <t>RTD to JB JB-RICE-6-RTD01: 10 x 1 tri (field cables)</t>
        </is>
      </c>
      <c r="E4724" s="12" t="inlineStr">
        <is>
          <t>RICE-6</t>
        </is>
      </c>
      <c r="F4724" s="12" t="inlineStr">
        <is>
          <t>RICE engine-generator 6</t>
        </is>
      </c>
      <c r="G4724" s="12" t="inlineStr">
        <is>
          <t>JB-RICE-6-RTD01</t>
        </is>
      </c>
      <c r="H4724" s="12" t="inlineStr">
        <is>
          <t>RICE engine-generator 6</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I-I-0367</t>
        </is>
      </c>
      <c r="B4725" s="12" t="inlineStr">
        <is>
          <t>I</t>
        </is>
      </c>
      <c r="C4725" s="12" t="inlineStr">
        <is>
          <t>Modular / portable power</t>
        </is>
      </c>
      <c r="D4725" s="12" t="inlineStr">
        <is>
          <t>Home run JB-RICE-6-RTD01 to the control / marshalling room</t>
        </is>
      </c>
      <c r="E4725" s="12" t="inlineStr"/>
      <c r="F4725" s="12" t="inlineStr">
        <is>
          <t>PCM: power control module</t>
        </is>
      </c>
      <c r="G4725" s="12" t="inlineStr">
        <is>
          <t>JB-RICE-6-RTD01</t>
        </is>
      </c>
      <c r="H4725" s="12" t="inlineStr">
        <is>
          <t>RICE engine-generator 6</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367</v>
      </c>
      <c r="U4725" s="16" t="n">
        <v>180</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I-I-0368</t>
        </is>
      </c>
      <c r="B4726" s="12" t="inlineStr">
        <is>
          <t>I</t>
        </is>
      </c>
      <c r="C4726" s="12" t="inlineStr">
        <is>
          <t>Modular / portable power</t>
        </is>
      </c>
      <c r="D4726" s="12" t="inlineStr">
        <is>
          <t>RTD to JB JB-RICE-6-RTD02: 2 x 1 tri (field cables)</t>
        </is>
      </c>
      <c r="E4726" s="12" t="inlineStr">
        <is>
          <t>RICE-6</t>
        </is>
      </c>
      <c r="F4726" s="12" t="inlineStr">
        <is>
          <t>RICE engine-generator 6</t>
        </is>
      </c>
      <c r="G4726" s="12" t="inlineStr">
        <is>
          <t>JB-RICE-6-RTD02</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I-I-0369</t>
        </is>
      </c>
      <c r="B4727" s="12" t="inlineStr">
        <is>
          <t>I</t>
        </is>
      </c>
      <c r="C4727" s="12" t="inlineStr">
        <is>
          <t>Modular / portable power</t>
        </is>
      </c>
      <c r="D4727" s="12" t="inlineStr">
        <is>
          <t>Home run JB-RICE-6-RTD02 to the control / marshalling room</t>
        </is>
      </c>
      <c r="E4727" s="12" t="inlineStr"/>
      <c r="F4727" s="12" t="inlineStr">
        <is>
          <t>PCM: power control module</t>
        </is>
      </c>
      <c r="G4727" s="12" t="inlineStr">
        <is>
          <t>JB-RICE-6-RTD02</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6" t="n">
        <v>367</v>
      </c>
      <c r="U4727" s="16" t="n">
        <v>180</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I-I-0370</t>
        </is>
      </c>
      <c r="B4728" s="12" t="inlineStr">
        <is>
          <t>I</t>
        </is>
      </c>
      <c r="C4728" s="12" t="inlineStr">
        <is>
          <t>Modular / portable power</t>
        </is>
      </c>
      <c r="D4728" s="12" t="inlineStr">
        <is>
          <t>Analog instrument to JB JB-RICE-7-AI01: 20 x 1 pr (field cables)</t>
        </is>
      </c>
      <c r="E4728" s="12" t="inlineStr">
        <is>
          <t>RICE-7</t>
        </is>
      </c>
      <c r="F4728" s="12" t="inlineStr">
        <is>
          <t>RICE engine-generator 7</t>
        </is>
      </c>
      <c r="G4728" s="12" t="inlineStr">
        <is>
          <t>JB-RICE-7-AI01</t>
        </is>
      </c>
      <c r="H4728" s="12" t="inlineStr">
        <is>
          <t>RICE engine-generator 7</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I-I-0371</t>
        </is>
      </c>
      <c r="B4729" s="12" t="inlineStr">
        <is>
          <t>I</t>
        </is>
      </c>
      <c r="C4729" s="12" t="inlineStr">
        <is>
          <t>Modular / portable power</t>
        </is>
      </c>
      <c r="D4729" s="12" t="inlineStr">
        <is>
          <t>Home run JB-RICE-7-AI01 to the control / marshalling room</t>
        </is>
      </c>
      <c r="E4729" s="12" t="inlineStr"/>
      <c r="F4729" s="12" t="inlineStr">
        <is>
          <t>PCM: power control module</t>
        </is>
      </c>
      <c r="G4729" s="12" t="inlineStr">
        <is>
          <t>JB-RICE-7-AI01</t>
        </is>
      </c>
      <c r="H4729" s="12" t="inlineStr">
        <is>
          <t>RICE engine-generator 7</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6" t="n">
        <v>0</v>
      </c>
      <c r="U4729" s="16" t="n">
        <v>189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I-I-0372</t>
        </is>
      </c>
      <c r="B4730" s="12" t="inlineStr">
        <is>
          <t>I</t>
        </is>
      </c>
      <c r="C4730" s="12" t="inlineStr">
        <is>
          <t>Modular / portable power</t>
        </is>
      </c>
      <c r="D4730" s="12" t="inlineStr">
        <is>
          <t>Analog instrument to JB JB-RICE-7-AI02: 20 x 1 pr (field cables)</t>
        </is>
      </c>
      <c r="E4730" s="12" t="inlineStr">
        <is>
          <t>RICE-7</t>
        </is>
      </c>
      <c r="F4730" s="12" t="inlineStr">
        <is>
          <t>RICE engine-generator 7</t>
        </is>
      </c>
      <c r="G4730" s="12" t="inlineStr">
        <is>
          <t>JB-RICE-7-AI02</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I-I-0373</t>
        </is>
      </c>
      <c r="B4731" s="12" t="inlineStr">
        <is>
          <t>I</t>
        </is>
      </c>
      <c r="C4731" s="12" t="inlineStr">
        <is>
          <t>Modular / portable power</t>
        </is>
      </c>
      <c r="D4731" s="12" t="inlineStr">
        <is>
          <t>Home run JB-RICE-7-AI02 to the control / marshalling room</t>
        </is>
      </c>
      <c r="E4731" s="12" t="inlineStr"/>
      <c r="F4731" s="12" t="inlineStr">
        <is>
          <t>PCM: power control module</t>
        </is>
      </c>
      <c r="G4731" s="12" t="inlineStr">
        <is>
          <t>JB-RICE-7-AI02</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6" t="n">
        <v>0</v>
      </c>
      <c r="U4731" s="16" t="n">
        <v>189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I-I-0374</t>
        </is>
      </c>
      <c r="B4732" s="12" t="inlineStr">
        <is>
          <t>I</t>
        </is>
      </c>
      <c r="C4732" s="12" t="inlineStr">
        <is>
          <t>Modular / portable power</t>
        </is>
      </c>
      <c r="D4732" s="12" t="inlineStr">
        <is>
          <t>Analog instrument to JB JB-RICE-7-AI03: 20 x 1 pr (field cables)</t>
        </is>
      </c>
      <c r="E4732" s="12" t="inlineStr">
        <is>
          <t>RICE-7</t>
        </is>
      </c>
      <c r="F4732" s="12" t="inlineStr">
        <is>
          <t>RICE engine-generator 7</t>
        </is>
      </c>
      <c r="G4732" s="12" t="inlineStr">
        <is>
          <t>JB-RICE-7-AI03</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I-I-0375</t>
        </is>
      </c>
      <c r="B4733" s="12" t="inlineStr">
        <is>
          <t>I</t>
        </is>
      </c>
      <c r="C4733" s="12" t="inlineStr">
        <is>
          <t>Modular / portable power</t>
        </is>
      </c>
      <c r="D4733" s="12" t="inlineStr">
        <is>
          <t>Home run JB-RICE-7-AI03 to the control / marshalling room</t>
        </is>
      </c>
      <c r="E4733" s="12" t="inlineStr"/>
      <c r="F4733" s="12" t="inlineStr">
        <is>
          <t>PCM: power control module</t>
        </is>
      </c>
      <c r="G4733" s="12" t="inlineStr">
        <is>
          <t>JB-RICE-7-AI03</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6" t="n">
        <v>0</v>
      </c>
      <c r="U4733" s="16" t="n">
        <v>189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I-I-0376</t>
        </is>
      </c>
      <c r="B4734" s="12" t="inlineStr">
        <is>
          <t>I</t>
        </is>
      </c>
      <c r="C4734" s="12" t="inlineStr">
        <is>
          <t>Modular / portable power</t>
        </is>
      </c>
      <c r="D4734" s="12" t="inlineStr">
        <is>
          <t>Analog instrument to JB JB-RICE-7-AI04: 20 x 1 pr (field cables)</t>
        </is>
      </c>
      <c r="E4734" s="12" t="inlineStr">
        <is>
          <t>RICE-7</t>
        </is>
      </c>
      <c r="F4734" s="12" t="inlineStr">
        <is>
          <t>RICE engine-generator 7</t>
        </is>
      </c>
      <c r="G4734" s="12" t="inlineStr">
        <is>
          <t>JB-RICE-7-AI04</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I-I-0377</t>
        </is>
      </c>
      <c r="B4735" s="12" t="inlineStr">
        <is>
          <t>I</t>
        </is>
      </c>
      <c r="C4735" s="12" t="inlineStr">
        <is>
          <t>Modular / portable power</t>
        </is>
      </c>
      <c r="D4735" s="12" t="inlineStr">
        <is>
          <t>Home run JB-RICE-7-AI04 to the control / marshalling room</t>
        </is>
      </c>
      <c r="E4735" s="12" t="inlineStr"/>
      <c r="F4735" s="12" t="inlineStr">
        <is>
          <t>PCM: power control module</t>
        </is>
      </c>
      <c r="G4735" s="12" t="inlineStr">
        <is>
          <t>JB-RICE-7-AI04</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6" t="n">
        <v>0</v>
      </c>
      <c r="U4735" s="16" t="n">
        <v>189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I-I-0378</t>
        </is>
      </c>
      <c r="B4736" s="12" t="inlineStr">
        <is>
          <t>I</t>
        </is>
      </c>
      <c r="C4736" s="12" t="inlineStr">
        <is>
          <t>Modular / portable power</t>
        </is>
      </c>
      <c r="D4736" s="12" t="inlineStr">
        <is>
          <t>Discrete device to JB JB-RICE-7-DI01: 20 x 1 pr (field cables)</t>
        </is>
      </c>
      <c r="E4736" s="12" t="inlineStr">
        <is>
          <t>RICE-7</t>
        </is>
      </c>
      <c r="F4736" s="12" t="inlineStr">
        <is>
          <t>RICE engine-generator 7</t>
        </is>
      </c>
      <c r="G4736" s="12" t="inlineStr">
        <is>
          <t>JB-RICE-7-DI01</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I-I-0379</t>
        </is>
      </c>
      <c r="B4737" s="12" t="inlineStr">
        <is>
          <t>I</t>
        </is>
      </c>
      <c r="C4737" s="12" t="inlineStr">
        <is>
          <t>Modular / portable power</t>
        </is>
      </c>
      <c r="D4737" s="12" t="inlineStr">
        <is>
          <t>Home run JB-RICE-7-DI01 to the control / marshalling room</t>
        </is>
      </c>
      <c r="E4737" s="12" t="inlineStr"/>
      <c r="F4737" s="12" t="inlineStr">
        <is>
          <t>PCM: power control module</t>
        </is>
      </c>
      <c r="G4737" s="12" t="inlineStr">
        <is>
          <t>JB-RICE-7-DI01</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6" t="n">
        <v>0</v>
      </c>
      <c r="U4737" s="16" t="n">
        <v>189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I-I-0380</t>
        </is>
      </c>
      <c r="B4738" s="12" t="inlineStr">
        <is>
          <t>I</t>
        </is>
      </c>
      <c r="C4738" s="12" t="inlineStr">
        <is>
          <t>Modular / portable power</t>
        </is>
      </c>
      <c r="D4738" s="12" t="inlineStr">
        <is>
          <t>Discrete device to JB JB-RICE-7-DI02: 20 x 1 pr (field cables)</t>
        </is>
      </c>
      <c r="E4738" s="12" t="inlineStr">
        <is>
          <t>RICE-7</t>
        </is>
      </c>
      <c r="F4738" s="12" t="inlineStr">
        <is>
          <t>RICE engine-generator 7</t>
        </is>
      </c>
      <c r="G4738" s="12" t="inlineStr">
        <is>
          <t>JB-RICE-7-DI02</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I-I-0381</t>
        </is>
      </c>
      <c r="B4739" s="12" t="inlineStr">
        <is>
          <t>I</t>
        </is>
      </c>
      <c r="C4739" s="12" t="inlineStr">
        <is>
          <t>Modular / portable power</t>
        </is>
      </c>
      <c r="D4739" s="12" t="inlineStr">
        <is>
          <t>Home run JB-RICE-7-DI02 to the control / marshalling room</t>
        </is>
      </c>
      <c r="E4739" s="12" t="inlineStr"/>
      <c r="F4739" s="12" t="inlineStr">
        <is>
          <t>PCM: power control module</t>
        </is>
      </c>
      <c r="G4739" s="12" t="inlineStr">
        <is>
          <t>JB-RICE-7-DI02</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6" t="n">
        <v>0</v>
      </c>
      <c r="U4739" s="16" t="n">
        <v>189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I-I-0382</t>
        </is>
      </c>
      <c r="B4740" s="12" t="inlineStr">
        <is>
          <t>I</t>
        </is>
      </c>
      <c r="C4740" s="12" t="inlineStr">
        <is>
          <t>Modular / portable power</t>
        </is>
      </c>
      <c r="D4740" s="12" t="inlineStr">
        <is>
          <t>Discrete device to JB JB-RICE-7-DI03: 20 x 1 pr (field cables)</t>
        </is>
      </c>
      <c r="E4740" s="12" t="inlineStr">
        <is>
          <t>RICE-7</t>
        </is>
      </c>
      <c r="F4740" s="12" t="inlineStr">
        <is>
          <t>RICE engine-generator 7</t>
        </is>
      </c>
      <c r="G4740" s="12" t="inlineStr">
        <is>
          <t>JB-RICE-7-DI03</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I-I-0383</t>
        </is>
      </c>
      <c r="B4741" s="12" t="inlineStr">
        <is>
          <t>I</t>
        </is>
      </c>
      <c r="C4741" s="12" t="inlineStr">
        <is>
          <t>Modular / portable power</t>
        </is>
      </c>
      <c r="D4741" s="12" t="inlineStr">
        <is>
          <t>Home run JB-RICE-7-DI03 to the control / marshalling room</t>
        </is>
      </c>
      <c r="E4741" s="12" t="inlineStr"/>
      <c r="F4741" s="12" t="inlineStr">
        <is>
          <t>PCM: power control module</t>
        </is>
      </c>
      <c r="G4741" s="12" t="inlineStr">
        <is>
          <t>JB-RICE-7-DI03</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6" t="n">
        <v>0</v>
      </c>
      <c r="U4741" s="16" t="n">
        <v>189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I-I-0384</t>
        </is>
      </c>
      <c r="B4742" s="12" t="inlineStr">
        <is>
          <t>I</t>
        </is>
      </c>
      <c r="C4742" s="12" t="inlineStr">
        <is>
          <t>Modular / portable power</t>
        </is>
      </c>
      <c r="D4742" s="12" t="inlineStr">
        <is>
          <t>Thermocouple to TC JB JB-RICE-7-TC01: 20 x 1 pr (field cables)</t>
        </is>
      </c>
      <c r="E4742" s="12" t="inlineStr">
        <is>
          <t>RICE-7</t>
        </is>
      </c>
      <c r="F4742" s="12" t="inlineStr">
        <is>
          <t>RICE engine-generator 7</t>
        </is>
      </c>
      <c r="G4742" s="12" t="inlineStr">
        <is>
          <t>JB-RICE-7-TC01</t>
        </is>
      </c>
      <c r="H4742" s="12" t="inlineStr">
        <is>
          <t>RICE engine-generator 7</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I-I-0385</t>
        </is>
      </c>
      <c r="B4743" s="12" t="inlineStr">
        <is>
          <t>I</t>
        </is>
      </c>
      <c r="C4743" s="12" t="inlineStr">
        <is>
          <t>Modular / portable power</t>
        </is>
      </c>
      <c r="D4743" s="12" t="inlineStr">
        <is>
          <t>Home run JB-RICE-7-TC01 to the control / marshalling room</t>
        </is>
      </c>
      <c r="E4743" s="12" t="inlineStr"/>
      <c r="F4743" s="12" t="inlineStr">
        <is>
          <t>PCM: power control module</t>
        </is>
      </c>
      <c r="G4743" s="12" t="inlineStr">
        <is>
          <t>JB-RICE-7-TC01</t>
        </is>
      </c>
      <c r="H4743" s="12" t="inlineStr">
        <is>
          <t>RICE engine-generator 7</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6" t="n">
        <v>0</v>
      </c>
      <c r="U4743" s="16" t="n">
        <v>189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I-I-0386</t>
        </is>
      </c>
      <c r="B4744" s="12" t="inlineStr">
        <is>
          <t>I</t>
        </is>
      </c>
      <c r="C4744" s="12" t="inlineStr">
        <is>
          <t>Modular / portable power</t>
        </is>
      </c>
      <c r="D4744" s="12" t="inlineStr">
        <is>
          <t>Thermocouple to TC JB JB-RICE-7-TC02: 10 x 1 pr (field cables)</t>
        </is>
      </c>
      <c r="E4744" s="12" t="inlineStr">
        <is>
          <t>RICE-7</t>
        </is>
      </c>
      <c r="F4744" s="12" t="inlineStr">
        <is>
          <t>RICE engine-generator 7</t>
        </is>
      </c>
      <c r="G4744" s="12" t="inlineStr">
        <is>
          <t>JB-RICE-7-TC02</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I-I-0387</t>
        </is>
      </c>
      <c r="B4745" s="12" t="inlineStr">
        <is>
          <t>I</t>
        </is>
      </c>
      <c r="C4745" s="12" t="inlineStr">
        <is>
          <t>Modular / portable power</t>
        </is>
      </c>
      <c r="D4745" s="12" t="inlineStr">
        <is>
          <t>Home run JB-RICE-7-TC02 to the control / marshalling room</t>
        </is>
      </c>
      <c r="E4745" s="12" t="inlineStr"/>
      <c r="F4745" s="12" t="inlineStr">
        <is>
          <t>PCM: power control module</t>
        </is>
      </c>
      <c r="G4745" s="12" t="inlineStr">
        <is>
          <t>JB-RICE-7-TC02</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6" t="n">
        <v>0</v>
      </c>
      <c r="U4745" s="16" t="n">
        <v>189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I-I-0388</t>
        </is>
      </c>
      <c r="B4746" s="12" t="inlineStr">
        <is>
          <t>I</t>
        </is>
      </c>
      <c r="C4746" s="12" t="inlineStr">
        <is>
          <t>Modular / portable power</t>
        </is>
      </c>
      <c r="D4746" s="12" t="inlineStr">
        <is>
          <t>RTD to JB JB-RICE-7-RTD01: 10 x 1 tri (field cables)</t>
        </is>
      </c>
      <c r="E4746" s="12" t="inlineStr">
        <is>
          <t>RICE-7</t>
        </is>
      </c>
      <c r="F4746" s="12" t="inlineStr">
        <is>
          <t>RICE engine-generator 7</t>
        </is>
      </c>
      <c r="G4746" s="12" t="inlineStr">
        <is>
          <t>JB-RICE-7-RTD01</t>
        </is>
      </c>
      <c r="H4746" s="12" t="inlineStr">
        <is>
          <t>RICE engine-generator 7</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I-I-0389</t>
        </is>
      </c>
      <c r="B4747" s="12" t="inlineStr">
        <is>
          <t>I</t>
        </is>
      </c>
      <c r="C4747" s="12" t="inlineStr">
        <is>
          <t>Modular / portable power</t>
        </is>
      </c>
      <c r="D4747" s="12" t="inlineStr">
        <is>
          <t>Home run JB-RICE-7-RTD01 to the control / marshalling room</t>
        </is>
      </c>
      <c r="E4747" s="12" t="inlineStr"/>
      <c r="F4747" s="12" t="inlineStr">
        <is>
          <t>PCM: power control module</t>
        </is>
      </c>
      <c r="G4747" s="12" t="inlineStr">
        <is>
          <t>JB-RICE-7-RTD01</t>
        </is>
      </c>
      <c r="H4747" s="12" t="inlineStr">
        <is>
          <t>RICE engine-generator 7</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6" t="n">
        <v>0</v>
      </c>
      <c r="U4747" s="16" t="n">
        <v>189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I-I-0390</t>
        </is>
      </c>
      <c r="B4748" s="12" t="inlineStr">
        <is>
          <t>I</t>
        </is>
      </c>
      <c r="C4748" s="12" t="inlineStr">
        <is>
          <t>Modular / portable power</t>
        </is>
      </c>
      <c r="D4748" s="12" t="inlineStr">
        <is>
          <t>RTD to JB JB-RICE-7-RTD02: 2 x 1 tri (field cables)</t>
        </is>
      </c>
      <c r="E4748" s="12" t="inlineStr">
        <is>
          <t>RICE-7</t>
        </is>
      </c>
      <c r="F4748" s="12" t="inlineStr">
        <is>
          <t>RICE engine-generator 7</t>
        </is>
      </c>
      <c r="G4748" s="12" t="inlineStr">
        <is>
          <t>JB-RICE-7-RTD02</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I-I-0391</t>
        </is>
      </c>
      <c r="B4749" s="12" t="inlineStr">
        <is>
          <t>I</t>
        </is>
      </c>
      <c r="C4749" s="12" t="inlineStr">
        <is>
          <t>Modular / portable power</t>
        </is>
      </c>
      <c r="D4749" s="12" t="inlineStr">
        <is>
          <t>Home run JB-RICE-7-RTD02 to the control / marshalling room</t>
        </is>
      </c>
      <c r="E4749" s="12" t="inlineStr"/>
      <c r="F4749" s="12" t="inlineStr">
        <is>
          <t>PCM: power control module</t>
        </is>
      </c>
      <c r="G4749" s="12" t="inlineStr">
        <is>
          <t>JB-RICE-7-RTD02</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6" t="n">
        <v>0</v>
      </c>
      <c r="U4749" s="16" t="n">
        <v>189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I-I-0392</t>
        </is>
      </c>
      <c r="B4750" s="12" t="inlineStr">
        <is>
          <t>I</t>
        </is>
      </c>
      <c r="C4750" s="12" t="inlineStr">
        <is>
          <t>Modular / portable power</t>
        </is>
      </c>
      <c r="D4750" s="12" t="inlineStr">
        <is>
          <t>Analog instrument to JB JB-RICE-8-AI01: 20 x 1 pr (field cables)</t>
        </is>
      </c>
      <c r="E4750" s="12" t="inlineStr">
        <is>
          <t>RICE-8</t>
        </is>
      </c>
      <c r="F4750" s="12" t="inlineStr">
        <is>
          <t>RICE engine-generator 8</t>
        </is>
      </c>
      <c r="G4750" s="12" t="inlineStr">
        <is>
          <t>JB-RICE-8-AI01</t>
        </is>
      </c>
      <c r="H4750" s="12" t="inlineStr">
        <is>
          <t>RICE engine-generator 8</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I-I-0393</t>
        </is>
      </c>
      <c r="B4751" s="12" t="inlineStr">
        <is>
          <t>I</t>
        </is>
      </c>
      <c r="C4751" s="12" t="inlineStr">
        <is>
          <t>Modular / portable power</t>
        </is>
      </c>
      <c r="D4751" s="12" t="inlineStr">
        <is>
          <t>Home run JB-RICE-8-AI01 to the control / marshalling room</t>
        </is>
      </c>
      <c r="E4751" s="12" t="inlineStr"/>
      <c r="F4751" s="12" t="inlineStr">
        <is>
          <t>PCM: power control module</t>
        </is>
      </c>
      <c r="G4751" s="12" t="inlineStr">
        <is>
          <t>JB-RICE-8-AI01</t>
        </is>
      </c>
      <c r="H4751" s="12" t="inlineStr">
        <is>
          <t>RICE engine-generator 8</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6" t="n">
        <v>0</v>
      </c>
      <c r="U4751" s="16" t="n">
        <v>161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I-I-0394</t>
        </is>
      </c>
      <c r="B4752" s="12" t="inlineStr">
        <is>
          <t>I</t>
        </is>
      </c>
      <c r="C4752" s="12" t="inlineStr">
        <is>
          <t>Modular / portable power</t>
        </is>
      </c>
      <c r="D4752" s="12" t="inlineStr">
        <is>
          <t>Analog instrument to JB JB-RICE-8-AI02: 20 x 1 pr (field cables)</t>
        </is>
      </c>
      <c r="E4752" s="12" t="inlineStr">
        <is>
          <t>RICE-8</t>
        </is>
      </c>
      <c r="F4752" s="12" t="inlineStr">
        <is>
          <t>RICE engine-generator 8</t>
        </is>
      </c>
      <c r="G4752" s="12" t="inlineStr">
        <is>
          <t>JB-RICE-8-AI02</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I-I-0395</t>
        </is>
      </c>
      <c r="B4753" s="12" t="inlineStr">
        <is>
          <t>I</t>
        </is>
      </c>
      <c r="C4753" s="12" t="inlineStr">
        <is>
          <t>Modular / portable power</t>
        </is>
      </c>
      <c r="D4753" s="12" t="inlineStr">
        <is>
          <t>Home run JB-RICE-8-AI02 to the control / marshalling room</t>
        </is>
      </c>
      <c r="E4753" s="12" t="inlineStr"/>
      <c r="F4753" s="12" t="inlineStr">
        <is>
          <t>PCM: power control module</t>
        </is>
      </c>
      <c r="G4753" s="12" t="inlineStr">
        <is>
          <t>JB-RICE-8-AI02</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6" t="n">
        <v>0</v>
      </c>
      <c r="U4753" s="16" t="n">
        <v>161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I-I-0396</t>
        </is>
      </c>
      <c r="B4754" s="12" t="inlineStr">
        <is>
          <t>I</t>
        </is>
      </c>
      <c r="C4754" s="12" t="inlineStr">
        <is>
          <t>Modular / portable power</t>
        </is>
      </c>
      <c r="D4754" s="12" t="inlineStr">
        <is>
          <t>Analog instrument to JB JB-RICE-8-AI03: 20 x 1 pr (field cables)</t>
        </is>
      </c>
      <c r="E4754" s="12" t="inlineStr">
        <is>
          <t>RICE-8</t>
        </is>
      </c>
      <c r="F4754" s="12" t="inlineStr">
        <is>
          <t>RICE engine-generator 8</t>
        </is>
      </c>
      <c r="G4754" s="12" t="inlineStr">
        <is>
          <t>JB-RICE-8-AI03</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I-I-0397</t>
        </is>
      </c>
      <c r="B4755" s="12" t="inlineStr">
        <is>
          <t>I</t>
        </is>
      </c>
      <c r="C4755" s="12" t="inlineStr">
        <is>
          <t>Modular / portable power</t>
        </is>
      </c>
      <c r="D4755" s="12" t="inlineStr">
        <is>
          <t>Home run JB-RICE-8-AI03 to the control / marshalling room</t>
        </is>
      </c>
      <c r="E4755" s="12" t="inlineStr"/>
      <c r="F4755" s="12" t="inlineStr">
        <is>
          <t>PCM: power control module</t>
        </is>
      </c>
      <c r="G4755" s="12" t="inlineStr">
        <is>
          <t>JB-RICE-8-AI03</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6" t="n">
        <v>0</v>
      </c>
      <c r="U4755" s="16" t="n">
        <v>161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I-I-0398</t>
        </is>
      </c>
      <c r="B4756" s="12" t="inlineStr">
        <is>
          <t>I</t>
        </is>
      </c>
      <c r="C4756" s="12" t="inlineStr">
        <is>
          <t>Modular / portable power</t>
        </is>
      </c>
      <c r="D4756" s="12" t="inlineStr">
        <is>
          <t>Analog instrument to JB JB-RICE-8-AI04: 20 x 1 pr (field cables)</t>
        </is>
      </c>
      <c r="E4756" s="12" t="inlineStr">
        <is>
          <t>RICE-8</t>
        </is>
      </c>
      <c r="F4756" s="12" t="inlineStr">
        <is>
          <t>RICE engine-generator 8</t>
        </is>
      </c>
      <c r="G4756" s="12" t="inlineStr">
        <is>
          <t>JB-RICE-8-AI04</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I-I-0399</t>
        </is>
      </c>
      <c r="B4757" s="12" t="inlineStr">
        <is>
          <t>I</t>
        </is>
      </c>
      <c r="C4757" s="12" t="inlineStr">
        <is>
          <t>Modular / portable power</t>
        </is>
      </c>
      <c r="D4757" s="12" t="inlineStr">
        <is>
          <t>Home run JB-RICE-8-AI04 to the control / marshalling room</t>
        </is>
      </c>
      <c r="E4757" s="12" t="inlineStr"/>
      <c r="F4757" s="12" t="inlineStr">
        <is>
          <t>PCM: power control module</t>
        </is>
      </c>
      <c r="G4757" s="12" t="inlineStr">
        <is>
          <t>JB-RICE-8-AI04</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6" t="n">
        <v>0</v>
      </c>
      <c r="U4757" s="16" t="n">
        <v>161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I-I-0400</t>
        </is>
      </c>
      <c r="B4758" s="12" t="inlineStr">
        <is>
          <t>I</t>
        </is>
      </c>
      <c r="C4758" s="12" t="inlineStr">
        <is>
          <t>Modular / portable power</t>
        </is>
      </c>
      <c r="D4758" s="12" t="inlineStr">
        <is>
          <t>Discrete device to JB JB-RICE-8-DI01: 20 x 1 pr (field cables)</t>
        </is>
      </c>
      <c r="E4758" s="12" t="inlineStr">
        <is>
          <t>RICE-8</t>
        </is>
      </c>
      <c r="F4758" s="12" t="inlineStr">
        <is>
          <t>RICE engine-generator 8</t>
        </is>
      </c>
      <c r="G4758" s="12" t="inlineStr">
        <is>
          <t>JB-RICE-8-DI01</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I-I-0401</t>
        </is>
      </c>
      <c r="B4759" s="12" t="inlineStr">
        <is>
          <t>I</t>
        </is>
      </c>
      <c r="C4759" s="12" t="inlineStr">
        <is>
          <t>Modular / portable power</t>
        </is>
      </c>
      <c r="D4759" s="12" t="inlineStr">
        <is>
          <t>Home run JB-RICE-8-DI01 to the control / marshalling room</t>
        </is>
      </c>
      <c r="E4759" s="12" t="inlineStr"/>
      <c r="F4759" s="12" t="inlineStr">
        <is>
          <t>PCM: power control module</t>
        </is>
      </c>
      <c r="G4759" s="12" t="inlineStr">
        <is>
          <t>JB-RICE-8-DI01</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6" t="n">
        <v>0</v>
      </c>
      <c r="U4759" s="16" t="n">
        <v>161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I-I-0402</t>
        </is>
      </c>
      <c r="B4760" s="12" t="inlineStr">
        <is>
          <t>I</t>
        </is>
      </c>
      <c r="C4760" s="12" t="inlineStr">
        <is>
          <t>Modular / portable power</t>
        </is>
      </c>
      <c r="D4760" s="12" t="inlineStr">
        <is>
          <t>Discrete device to JB JB-RICE-8-DI02: 20 x 1 pr (field cables)</t>
        </is>
      </c>
      <c r="E4760" s="12" t="inlineStr">
        <is>
          <t>RICE-8</t>
        </is>
      </c>
      <c r="F4760" s="12" t="inlineStr">
        <is>
          <t>RICE engine-generator 8</t>
        </is>
      </c>
      <c r="G4760" s="12" t="inlineStr">
        <is>
          <t>JB-RICE-8-DI02</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I-I-0403</t>
        </is>
      </c>
      <c r="B4761" s="12" t="inlineStr">
        <is>
          <t>I</t>
        </is>
      </c>
      <c r="C4761" s="12" t="inlineStr">
        <is>
          <t>Modular / portable power</t>
        </is>
      </c>
      <c r="D4761" s="12" t="inlineStr">
        <is>
          <t>Home run JB-RICE-8-DI02 to the control / marshalling room</t>
        </is>
      </c>
      <c r="E4761" s="12" t="inlineStr"/>
      <c r="F4761" s="12" t="inlineStr">
        <is>
          <t>PCM: power control module</t>
        </is>
      </c>
      <c r="G4761" s="12" t="inlineStr">
        <is>
          <t>JB-RICE-8-DI02</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6" t="n">
        <v>0</v>
      </c>
      <c r="U4761" s="16" t="n">
        <v>161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I-I-0404</t>
        </is>
      </c>
      <c r="B4762" s="12" t="inlineStr">
        <is>
          <t>I</t>
        </is>
      </c>
      <c r="C4762" s="12" t="inlineStr">
        <is>
          <t>Modular / portable power</t>
        </is>
      </c>
      <c r="D4762" s="12" t="inlineStr">
        <is>
          <t>Discrete device to JB JB-RICE-8-DI03: 20 x 1 pr (field cables)</t>
        </is>
      </c>
      <c r="E4762" s="12" t="inlineStr">
        <is>
          <t>RICE-8</t>
        </is>
      </c>
      <c r="F4762" s="12" t="inlineStr">
        <is>
          <t>RICE engine-generator 8</t>
        </is>
      </c>
      <c r="G4762" s="12" t="inlineStr">
        <is>
          <t>JB-RICE-8-DI03</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I-I-0405</t>
        </is>
      </c>
      <c r="B4763" s="12" t="inlineStr">
        <is>
          <t>I</t>
        </is>
      </c>
      <c r="C4763" s="12" t="inlineStr">
        <is>
          <t>Modular / portable power</t>
        </is>
      </c>
      <c r="D4763" s="12" t="inlineStr">
        <is>
          <t>Home run JB-RICE-8-DI03 to the control / marshalling room</t>
        </is>
      </c>
      <c r="E4763" s="12" t="inlineStr"/>
      <c r="F4763" s="12" t="inlineStr">
        <is>
          <t>PCM: power control module</t>
        </is>
      </c>
      <c r="G4763" s="12" t="inlineStr">
        <is>
          <t>JB-RICE-8-DI03</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6" t="n">
        <v>0</v>
      </c>
      <c r="U4763" s="16" t="n">
        <v>161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I-I-0406</t>
        </is>
      </c>
      <c r="B4764" s="12" t="inlineStr">
        <is>
          <t>I</t>
        </is>
      </c>
      <c r="C4764" s="12" t="inlineStr">
        <is>
          <t>Modular / portable power</t>
        </is>
      </c>
      <c r="D4764" s="12" t="inlineStr">
        <is>
          <t>Thermocouple to TC JB JB-RICE-8-TC01: 20 x 1 pr (field cables)</t>
        </is>
      </c>
      <c r="E4764" s="12" t="inlineStr">
        <is>
          <t>RICE-8</t>
        </is>
      </c>
      <c r="F4764" s="12" t="inlineStr">
        <is>
          <t>RICE engine-generator 8</t>
        </is>
      </c>
      <c r="G4764" s="12" t="inlineStr">
        <is>
          <t>JB-RICE-8-TC01</t>
        </is>
      </c>
      <c r="H4764" s="12" t="inlineStr">
        <is>
          <t>RICE engine-generator 8</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I-I-0407</t>
        </is>
      </c>
      <c r="B4765" s="12" t="inlineStr">
        <is>
          <t>I</t>
        </is>
      </c>
      <c r="C4765" s="12" t="inlineStr">
        <is>
          <t>Modular / portable power</t>
        </is>
      </c>
      <c r="D4765" s="12" t="inlineStr">
        <is>
          <t>Home run JB-RICE-8-TC01 to the control / marshalling room</t>
        </is>
      </c>
      <c r="E4765" s="12" t="inlineStr"/>
      <c r="F4765" s="12" t="inlineStr">
        <is>
          <t>PCM: power control module</t>
        </is>
      </c>
      <c r="G4765" s="12" t="inlineStr">
        <is>
          <t>JB-RICE-8-TC01</t>
        </is>
      </c>
      <c r="H4765" s="12" t="inlineStr">
        <is>
          <t>RICE engine-generator 8</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Tray</t>
        </is>
      </c>
      <c r="T4765" s="16" t="n">
        <v>0</v>
      </c>
      <c r="U4765" s="16" t="n">
        <v>161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I-I-0408</t>
        </is>
      </c>
      <c r="B4766" s="12" t="inlineStr">
        <is>
          <t>I</t>
        </is>
      </c>
      <c r="C4766" s="12" t="inlineStr">
        <is>
          <t>Modular / portable power</t>
        </is>
      </c>
      <c r="D4766" s="12" t="inlineStr">
        <is>
          <t>Thermocouple to TC JB JB-RICE-8-TC02: 10 x 1 pr (field cables)</t>
        </is>
      </c>
      <c r="E4766" s="12" t="inlineStr">
        <is>
          <t>RICE-8</t>
        </is>
      </c>
      <c r="F4766" s="12" t="inlineStr">
        <is>
          <t>RICE engine-generator 8</t>
        </is>
      </c>
      <c r="G4766" s="12" t="inlineStr">
        <is>
          <t>JB-RICE-8-TC02</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I-I-0409</t>
        </is>
      </c>
      <c r="B4767" s="12" t="inlineStr">
        <is>
          <t>I</t>
        </is>
      </c>
      <c r="C4767" s="12" t="inlineStr">
        <is>
          <t>Modular / portable power</t>
        </is>
      </c>
      <c r="D4767" s="12" t="inlineStr">
        <is>
          <t>Home run JB-RICE-8-TC02 to the control / marshalling room</t>
        </is>
      </c>
      <c r="E4767" s="12" t="inlineStr"/>
      <c r="F4767" s="12" t="inlineStr">
        <is>
          <t>PCM: power control module</t>
        </is>
      </c>
      <c r="G4767" s="12" t="inlineStr">
        <is>
          <t>JB-RICE-8-TC02</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6" t="n">
        <v>0</v>
      </c>
      <c r="U4767" s="16" t="n">
        <v>161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I-I-0410</t>
        </is>
      </c>
      <c r="B4768" s="12" t="inlineStr">
        <is>
          <t>I</t>
        </is>
      </c>
      <c r="C4768" s="12" t="inlineStr">
        <is>
          <t>Modular / portable power</t>
        </is>
      </c>
      <c r="D4768" s="12" t="inlineStr">
        <is>
          <t>RTD to JB JB-RICE-8-RTD01: 10 x 1 tri (field cables)</t>
        </is>
      </c>
      <c r="E4768" s="12" t="inlineStr">
        <is>
          <t>RICE-8</t>
        </is>
      </c>
      <c r="F4768" s="12" t="inlineStr">
        <is>
          <t>RICE engine-generator 8</t>
        </is>
      </c>
      <c r="G4768" s="12" t="inlineStr">
        <is>
          <t>JB-RICE-8-RTD01</t>
        </is>
      </c>
      <c r="H4768" s="12" t="inlineStr">
        <is>
          <t>RICE engine-generator 8</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I-I-0411</t>
        </is>
      </c>
      <c r="B4769" s="12" t="inlineStr">
        <is>
          <t>I</t>
        </is>
      </c>
      <c r="C4769" s="12" t="inlineStr">
        <is>
          <t>Modular / portable power</t>
        </is>
      </c>
      <c r="D4769" s="12" t="inlineStr">
        <is>
          <t>Home run JB-RICE-8-RTD01 to the control / marshalling room</t>
        </is>
      </c>
      <c r="E4769" s="12" t="inlineStr"/>
      <c r="F4769" s="12" t="inlineStr">
        <is>
          <t>PCM: power control module</t>
        </is>
      </c>
      <c r="G4769" s="12" t="inlineStr">
        <is>
          <t>JB-RICE-8-RTD01</t>
        </is>
      </c>
      <c r="H4769" s="12" t="inlineStr">
        <is>
          <t>RICE engine-generator 8</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Tray</t>
        </is>
      </c>
      <c r="T4769" s="16" t="n">
        <v>0</v>
      </c>
      <c r="U4769" s="16" t="n">
        <v>161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I-I-0412</t>
        </is>
      </c>
      <c r="B4770" s="12" t="inlineStr">
        <is>
          <t>I</t>
        </is>
      </c>
      <c r="C4770" s="12" t="inlineStr">
        <is>
          <t>Modular / portable power</t>
        </is>
      </c>
      <c r="D4770" s="12" t="inlineStr">
        <is>
          <t>RTD to JB JB-RICE-8-RTD02: 2 x 1 tri (field cables)</t>
        </is>
      </c>
      <c r="E4770" s="12" t="inlineStr">
        <is>
          <t>RICE-8</t>
        </is>
      </c>
      <c r="F4770" s="12" t="inlineStr">
        <is>
          <t>RICE engine-generator 8</t>
        </is>
      </c>
      <c r="G4770" s="12" t="inlineStr">
        <is>
          <t>JB-RICE-8-RTD02</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I-I-0413</t>
        </is>
      </c>
      <c r="B4771" s="12" t="inlineStr">
        <is>
          <t>I</t>
        </is>
      </c>
      <c r="C4771" s="12" t="inlineStr">
        <is>
          <t>Modular / portable power</t>
        </is>
      </c>
      <c r="D4771" s="12" t="inlineStr">
        <is>
          <t>Home run JB-RICE-8-RTD02 to the control / marshalling room</t>
        </is>
      </c>
      <c r="E4771" s="12" t="inlineStr"/>
      <c r="F4771" s="12" t="inlineStr">
        <is>
          <t>PCM: power control module</t>
        </is>
      </c>
      <c r="G4771" s="12" t="inlineStr">
        <is>
          <t>JB-RICE-8-RTD02</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6" t="n">
        <v>0</v>
      </c>
      <c r="U4771" s="16" t="n">
        <v>161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I-I-0414</t>
        </is>
      </c>
      <c r="B4772" s="12" t="inlineStr">
        <is>
          <t>I</t>
        </is>
      </c>
      <c r="C4772" s="12" t="inlineStr">
        <is>
          <t>Modular / portable power</t>
        </is>
      </c>
      <c r="D4772" s="12" t="inlineStr">
        <is>
          <t>Instrumentation</t>
        </is>
      </c>
      <c r="E4772" s="12" t="inlineStr"/>
      <c r="F4772" s="12" t="inlineStr">
        <is>
          <t>PCM: power control module</t>
        </is>
      </c>
      <c r="G4772" s="12" t="inlineStr"/>
      <c r="H4772" s="12" t="inlineStr">
        <is>
          <t>Reagent storage</t>
        </is>
      </c>
      <c r="I4772" s="12" t="inlineStr">
        <is>
          <t>Instrumentation</t>
        </is>
      </c>
      <c r="J4772" s="12" t="inlineStr">
        <is>
          <t>Instrumentation PLTC / TC-ER 300 V, #18 twisted shielded pairs, overall shield</t>
        </is>
      </c>
      <c r="K4772" s="12" t="inlineStr">
        <is>
          <t>PLTC|4 pr|18</t>
        </is>
      </c>
      <c r="L4772" s="12" t="inlineStr">
        <is>
          <t>4 pr</t>
        </is>
      </c>
      <c r="M4772" s="12" t="inlineStr">
        <is>
          <t>18</t>
        </is>
      </c>
      <c r="N4772" s="12" t="n">
        <v>1</v>
      </c>
      <c r="O4772" s="12" t="n">
        <v>1</v>
      </c>
      <c r="P4772" s="12" t="n"/>
      <c r="Q4772" s="12" t="n"/>
      <c r="R4772" s="12" t="n"/>
      <c r="S4772" s="12" t="inlineStr">
        <is>
          <t>Tray</t>
        </is>
      </c>
      <c r="T4772" s="16" t="n">
        <v>32</v>
      </c>
      <c r="U4772" s="16" t="n">
        <v>32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I-I-0415</t>
        </is>
      </c>
      <c r="B4773" s="12" t="inlineStr">
        <is>
          <t>I</t>
        </is>
      </c>
      <c r="C4773" s="12" t="inlineStr">
        <is>
          <t>Modular / portable power</t>
        </is>
      </c>
      <c r="D4773" s="12" t="inlineStr">
        <is>
          <t>Analog instrument to JB JB-SC-1 SCR / CO cata-AI01: 12 x 1 pr (field cables)</t>
        </is>
      </c>
      <c r="E4773" s="12" t="inlineStr"/>
      <c r="F4773" s="12" t="inlineStr">
        <is>
          <t>SC-1 SCR / CO catalyst</t>
        </is>
      </c>
      <c r="G4773" s="12" t="inlineStr">
        <is>
          <t>JB-SC-1 SCR / CO cata-AI01</t>
        </is>
      </c>
      <c r="H4773" s="12" t="inlineStr">
        <is>
          <t>SC-1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I-I-0416</t>
        </is>
      </c>
      <c r="B4774" s="12" t="inlineStr">
        <is>
          <t>I</t>
        </is>
      </c>
      <c r="C4774" s="12" t="inlineStr">
        <is>
          <t>Modular / portable power</t>
        </is>
      </c>
      <c r="D4774" s="12" t="inlineStr">
        <is>
          <t>Home run JB-SC-1 SCR / CO cata-AI01 to the control / marshalling room</t>
        </is>
      </c>
      <c r="E4774" s="12" t="inlineStr"/>
      <c r="F4774" s="12" t="inlineStr">
        <is>
          <t>PCM: power control module</t>
        </is>
      </c>
      <c r="G4774" s="12" t="inlineStr">
        <is>
          <t>JB-SC-1 SCR / CO cata-AI01</t>
        </is>
      </c>
      <c r="H4774" s="12" t="inlineStr">
        <is>
          <t>SC-1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6" t="n">
        <v>40</v>
      </c>
      <c r="U4774" s="16" t="n">
        <v>142</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I-I-0417</t>
        </is>
      </c>
      <c r="B4775" s="12" t="inlineStr">
        <is>
          <t>I</t>
        </is>
      </c>
      <c r="C4775" s="12" t="inlineStr">
        <is>
          <t>Modular / portable power</t>
        </is>
      </c>
      <c r="D4775" s="12" t="inlineStr">
        <is>
          <t>Discrete device to JB JB-SC-1 SCR / CO cata-DI01: 8 x 1 pr (field cables)</t>
        </is>
      </c>
      <c r="E4775" s="12" t="inlineStr"/>
      <c r="F4775" s="12" t="inlineStr">
        <is>
          <t>SC-1 SCR / CO catalyst</t>
        </is>
      </c>
      <c r="G4775" s="12" t="inlineStr">
        <is>
          <t>JB-SC-1 SCR / CO cata-DI01</t>
        </is>
      </c>
      <c r="H4775" s="12" t="inlineStr">
        <is>
          <t>SC-1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I-I-0418</t>
        </is>
      </c>
      <c r="B4776" s="12" t="inlineStr">
        <is>
          <t>I</t>
        </is>
      </c>
      <c r="C4776" s="12" t="inlineStr">
        <is>
          <t>Modular / portable power</t>
        </is>
      </c>
      <c r="D4776" s="12" t="inlineStr">
        <is>
          <t>Home run JB-SC-1 SCR / CO cata-DI01 to the control / marshalling room</t>
        </is>
      </c>
      <c r="E4776" s="12" t="inlineStr"/>
      <c r="F4776" s="12" t="inlineStr">
        <is>
          <t>PCM: power control module</t>
        </is>
      </c>
      <c r="G4776" s="12" t="inlineStr">
        <is>
          <t>JB-SC-1 SCR / CO cata-DI01</t>
        </is>
      </c>
      <c r="H4776" s="12" t="inlineStr">
        <is>
          <t>SC-1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6" t="n">
        <v>40</v>
      </c>
      <c r="U4776" s="16" t="n">
        <v>142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I-I-0419</t>
        </is>
      </c>
      <c r="B4777" s="12" t="inlineStr">
        <is>
          <t>I</t>
        </is>
      </c>
      <c r="C4777" s="12" t="inlineStr">
        <is>
          <t>Modular / portable power</t>
        </is>
      </c>
      <c r="D4777" s="12" t="inlineStr">
        <is>
          <t>Analog instrument to JB JB-SC-1 lube-oil fin--AI01: 4 x 1 pr (field cables)</t>
        </is>
      </c>
      <c r="E4777" s="12" t="inlineStr"/>
      <c r="F4777" s="12" t="inlineStr">
        <is>
          <t>SC-1 lube-oil fin-fan cooler</t>
        </is>
      </c>
      <c r="G4777" s="12" t="inlineStr">
        <is>
          <t>JB-SC-1 lube-oil fin--AI01</t>
        </is>
      </c>
      <c r="H4777" s="12" t="inlineStr">
        <is>
          <t>SC-1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I-I-0420</t>
        </is>
      </c>
      <c r="B4778" s="12" t="inlineStr">
        <is>
          <t>I</t>
        </is>
      </c>
      <c r="C4778" s="12" t="inlineStr">
        <is>
          <t>Modular / portable power</t>
        </is>
      </c>
      <c r="D4778" s="12" t="inlineStr">
        <is>
          <t>Home run JB-SC-1 lube-oil fin--AI01 to the control / marshalling room</t>
        </is>
      </c>
      <c r="E4778" s="12" t="inlineStr"/>
      <c r="F4778" s="12" t="inlineStr">
        <is>
          <t>PCM: power control module</t>
        </is>
      </c>
      <c r="G4778" s="12" t="inlineStr">
        <is>
          <t>JB-SC-1 lube-oil fin--AI01</t>
        </is>
      </c>
      <c r="H4778" s="12" t="inlineStr">
        <is>
          <t>SC-1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6" t="n">
        <v>82</v>
      </c>
      <c r="U4778" s="16" t="n">
        <v>82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I-I-0421</t>
        </is>
      </c>
      <c r="B4779" s="12" t="inlineStr">
        <is>
          <t>I</t>
        </is>
      </c>
      <c r="C4779" s="12" t="inlineStr">
        <is>
          <t>Modular / portable power</t>
        </is>
      </c>
      <c r="D4779" s="12" t="inlineStr">
        <is>
          <t>Discrete device to JB JB-SC-1 lube-oil fin--DI01: 8 x 1 pr (field cables)</t>
        </is>
      </c>
      <c r="E4779" s="12" t="inlineStr"/>
      <c r="F4779" s="12" t="inlineStr">
        <is>
          <t>SC-1 lube-oil fin-fan cooler</t>
        </is>
      </c>
      <c r="G4779" s="12" t="inlineStr">
        <is>
          <t>JB-SC-1 lube-oil fin--DI01</t>
        </is>
      </c>
      <c r="H4779" s="12" t="inlineStr">
        <is>
          <t>SC-1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I-I-0422</t>
        </is>
      </c>
      <c r="B4780" s="12" t="inlineStr">
        <is>
          <t>I</t>
        </is>
      </c>
      <c r="C4780" s="12" t="inlineStr">
        <is>
          <t>Modular / portable power</t>
        </is>
      </c>
      <c r="D4780" s="12" t="inlineStr">
        <is>
          <t>Home run JB-SC-1 lube-oil fin--DI01 to the control / marshalling room</t>
        </is>
      </c>
      <c r="E4780" s="12" t="inlineStr"/>
      <c r="F4780" s="12" t="inlineStr">
        <is>
          <t>PCM: power control module</t>
        </is>
      </c>
      <c r="G4780" s="12" t="inlineStr">
        <is>
          <t>JB-SC-1 lube-oil fin--DI01</t>
        </is>
      </c>
      <c r="H4780" s="12" t="inlineStr">
        <is>
          <t>SC-1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82</v>
      </c>
      <c r="U4780" s="16" t="n">
        <v>82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I-I-0423</t>
        </is>
      </c>
      <c r="B4781" s="12" t="inlineStr">
        <is>
          <t>I</t>
        </is>
      </c>
      <c r="C4781" s="12" t="inlineStr">
        <is>
          <t>Modular / portable power</t>
        </is>
      </c>
      <c r="D4781" s="12" t="inlineStr">
        <is>
          <t>Analog instrument to JB JB-SC-1-AI01: 20 x 1 pr (field cables)</t>
        </is>
      </c>
      <c r="E4781" s="12" t="inlineStr">
        <is>
          <t>SC-1</t>
        </is>
      </c>
      <c r="F4781" s="12" t="inlineStr">
        <is>
          <t>SC-1: aeroderivative simple-cycle unit (LM6000 class)</t>
        </is>
      </c>
      <c r="G4781" s="12" t="inlineStr">
        <is>
          <t>JB-SC-1-AI01</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I-I-0424</t>
        </is>
      </c>
      <c r="B4782" s="12" t="inlineStr">
        <is>
          <t>I</t>
        </is>
      </c>
      <c r="C4782" s="12" t="inlineStr">
        <is>
          <t>Modular / portable power</t>
        </is>
      </c>
      <c r="D4782" s="12" t="inlineStr">
        <is>
          <t>Home run JB-SC-1-AI01 to the control / marshalling room</t>
        </is>
      </c>
      <c r="E4782" s="12" t="inlineStr"/>
      <c r="F4782" s="12" t="inlineStr">
        <is>
          <t>PCM: power control module</t>
        </is>
      </c>
      <c r="G4782" s="12" t="inlineStr">
        <is>
          <t>JB-SC-1-AI01</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40</v>
      </c>
      <c r="U4782" s="16" t="n">
        <v>52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I-I-0425</t>
        </is>
      </c>
      <c r="B4783" s="12" t="inlineStr">
        <is>
          <t>I</t>
        </is>
      </c>
      <c r="C4783" s="12" t="inlineStr">
        <is>
          <t>Modular / portable power</t>
        </is>
      </c>
      <c r="D4783" s="12" t="inlineStr">
        <is>
          <t>Analog instrument to JB JB-SC-1-AI02: 20 x 1 pr (field cables)</t>
        </is>
      </c>
      <c r="E4783" s="12" t="inlineStr">
        <is>
          <t>SC-1</t>
        </is>
      </c>
      <c r="F4783" s="12" t="inlineStr">
        <is>
          <t>SC-1: aeroderivative simple-cycle unit (LM6000 class)</t>
        </is>
      </c>
      <c r="G4783" s="12" t="inlineStr">
        <is>
          <t>JB-SC-1-AI02</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I-I-0426</t>
        </is>
      </c>
      <c r="B4784" s="12" t="inlineStr">
        <is>
          <t>I</t>
        </is>
      </c>
      <c r="C4784" s="12" t="inlineStr">
        <is>
          <t>Modular / portable power</t>
        </is>
      </c>
      <c r="D4784" s="12" t="inlineStr">
        <is>
          <t>Home run JB-SC-1-AI02 to the control / marshalling room</t>
        </is>
      </c>
      <c r="E4784" s="12" t="inlineStr"/>
      <c r="F4784" s="12" t="inlineStr">
        <is>
          <t>PCM: power control module</t>
        </is>
      </c>
      <c r="G4784" s="12" t="inlineStr">
        <is>
          <t>JB-SC-1-AI02</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40</v>
      </c>
      <c r="U4784" s="16" t="n">
        <v>52</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I-I-0427</t>
        </is>
      </c>
      <c r="B4785" s="12" t="inlineStr">
        <is>
          <t>I</t>
        </is>
      </c>
      <c r="C4785" s="12" t="inlineStr">
        <is>
          <t>Modular / portable power</t>
        </is>
      </c>
      <c r="D4785" s="12" t="inlineStr">
        <is>
          <t>Analog instrument to JB JB-SC-1-AI03: 20 x 1 pr (field cables)</t>
        </is>
      </c>
      <c r="E4785" s="12" t="inlineStr">
        <is>
          <t>SC-1</t>
        </is>
      </c>
      <c r="F4785" s="12" t="inlineStr">
        <is>
          <t>SC-1: aeroderivative simple-cycle unit (LM6000 class)</t>
        </is>
      </c>
      <c r="G4785" s="12" t="inlineStr">
        <is>
          <t>JB-SC-1-AI03</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I-I-0428</t>
        </is>
      </c>
      <c r="B4786" s="12" t="inlineStr">
        <is>
          <t>I</t>
        </is>
      </c>
      <c r="C4786" s="12" t="inlineStr">
        <is>
          <t>Modular / portable power</t>
        </is>
      </c>
      <c r="D4786" s="12" t="inlineStr">
        <is>
          <t>Home run JB-SC-1-AI03 to the control / marshalling room</t>
        </is>
      </c>
      <c r="E4786" s="12" t="inlineStr"/>
      <c r="F4786" s="12" t="inlineStr">
        <is>
          <t>PCM: power control module</t>
        </is>
      </c>
      <c r="G4786" s="12" t="inlineStr">
        <is>
          <t>JB-SC-1-AI03</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40</v>
      </c>
      <c r="U4786" s="16" t="n">
        <v>52</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I-I-0429</t>
        </is>
      </c>
      <c r="B4787" s="12" t="inlineStr">
        <is>
          <t>I</t>
        </is>
      </c>
      <c r="C4787" s="12" t="inlineStr">
        <is>
          <t>Modular / portable power</t>
        </is>
      </c>
      <c r="D4787" s="12" t="inlineStr">
        <is>
          <t>Analog instrument to JB JB-SC-1-AI04: 20 x 1 pr (field cables)</t>
        </is>
      </c>
      <c r="E4787" s="12" t="inlineStr">
        <is>
          <t>SC-1</t>
        </is>
      </c>
      <c r="F4787" s="12" t="inlineStr">
        <is>
          <t>SC-1: aeroderivative simple-cycle unit (LM6000 class)</t>
        </is>
      </c>
      <c r="G4787" s="12" t="inlineStr">
        <is>
          <t>JB-SC-1-AI04</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I-I-0430</t>
        </is>
      </c>
      <c r="B4788" s="12" t="inlineStr">
        <is>
          <t>I</t>
        </is>
      </c>
      <c r="C4788" s="12" t="inlineStr">
        <is>
          <t>Modular / portable power</t>
        </is>
      </c>
      <c r="D4788" s="12" t="inlineStr">
        <is>
          <t>Home run JB-SC-1-AI04 to the control / marshalling room</t>
        </is>
      </c>
      <c r="E4788" s="12" t="inlineStr"/>
      <c r="F4788" s="12" t="inlineStr">
        <is>
          <t>PCM: power control module</t>
        </is>
      </c>
      <c r="G4788" s="12" t="inlineStr">
        <is>
          <t>JB-SC-1-AI04</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40</v>
      </c>
      <c r="U4788" s="16" t="n">
        <v>52</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I-I-0431</t>
        </is>
      </c>
      <c r="B4789" s="12" t="inlineStr">
        <is>
          <t>I</t>
        </is>
      </c>
      <c r="C4789" s="12" t="inlineStr">
        <is>
          <t>Modular / portable power</t>
        </is>
      </c>
      <c r="D4789" s="12" t="inlineStr">
        <is>
          <t>Analog instrument to JB JB-SC-1-AI05: 20 x 1 pr (field cables)</t>
        </is>
      </c>
      <c r="E4789" s="12" t="inlineStr">
        <is>
          <t>SC-1</t>
        </is>
      </c>
      <c r="F4789" s="12" t="inlineStr">
        <is>
          <t>SC-1: aeroderivative simple-cycle unit (LM6000 class)</t>
        </is>
      </c>
      <c r="G4789" s="12" t="inlineStr">
        <is>
          <t>JB-SC-1-AI05</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I-I-0432</t>
        </is>
      </c>
      <c r="B4790" s="12" t="inlineStr">
        <is>
          <t>I</t>
        </is>
      </c>
      <c r="C4790" s="12" t="inlineStr">
        <is>
          <t>Modular / portable power</t>
        </is>
      </c>
      <c r="D4790" s="12" t="inlineStr">
        <is>
          <t>Home run JB-SC-1-AI05 to the control / marshalling room</t>
        </is>
      </c>
      <c r="E4790" s="12" t="inlineStr"/>
      <c r="F4790" s="12" t="inlineStr">
        <is>
          <t>PCM: power control module</t>
        </is>
      </c>
      <c r="G4790" s="12" t="inlineStr">
        <is>
          <t>JB-SC-1-AI05</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40</v>
      </c>
      <c r="U4790" s="16" t="n">
        <v>52</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I-I-0433</t>
        </is>
      </c>
      <c r="B4791" s="12" t="inlineStr">
        <is>
          <t>I</t>
        </is>
      </c>
      <c r="C4791" s="12" t="inlineStr">
        <is>
          <t>Modular / portable power</t>
        </is>
      </c>
      <c r="D4791" s="12" t="inlineStr">
        <is>
          <t>Analog instrument to JB JB-SC-1-AI06: 20 x 1 pr (field cables)</t>
        </is>
      </c>
      <c r="E4791" s="12" t="inlineStr">
        <is>
          <t>SC-1</t>
        </is>
      </c>
      <c r="F4791" s="12" t="inlineStr">
        <is>
          <t>SC-1: aeroderivative simple-cycle unit (LM6000 class)</t>
        </is>
      </c>
      <c r="G4791" s="12" t="inlineStr">
        <is>
          <t>JB-SC-1-AI06</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I-I-0434</t>
        </is>
      </c>
      <c r="B4792" s="12" t="inlineStr">
        <is>
          <t>I</t>
        </is>
      </c>
      <c r="C4792" s="12" t="inlineStr">
        <is>
          <t>Modular / portable power</t>
        </is>
      </c>
      <c r="D4792" s="12" t="inlineStr">
        <is>
          <t>Home run JB-SC-1-AI06 to the control / marshalling room</t>
        </is>
      </c>
      <c r="E4792" s="12" t="inlineStr"/>
      <c r="F4792" s="12" t="inlineStr">
        <is>
          <t>PCM: power control module</t>
        </is>
      </c>
      <c r="G4792" s="12" t="inlineStr">
        <is>
          <t>JB-SC-1-AI06</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40</v>
      </c>
      <c r="U4792" s="16" t="n">
        <v>52</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I-I-0435</t>
        </is>
      </c>
      <c r="B4793" s="12" t="inlineStr">
        <is>
          <t>I</t>
        </is>
      </c>
      <c r="C4793" s="12" t="inlineStr">
        <is>
          <t>Modular / portable power</t>
        </is>
      </c>
      <c r="D4793" s="12" t="inlineStr">
        <is>
          <t>Analog instrument to JB JB-SC-1-AI07: 20 x 1 pr (field cables)</t>
        </is>
      </c>
      <c r="E4793" s="12" t="inlineStr">
        <is>
          <t>SC-1</t>
        </is>
      </c>
      <c r="F4793" s="12" t="inlineStr">
        <is>
          <t>SC-1: aeroderivative simple-cycle unit (LM6000 class)</t>
        </is>
      </c>
      <c r="G4793" s="12" t="inlineStr">
        <is>
          <t>JB-SC-1-AI07</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I-I-0436</t>
        </is>
      </c>
      <c r="B4794" s="12" t="inlineStr">
        <is>
          <t>I</t>
        </is>
      </c>
      <c r="C4794" s="12" t="inlineStr">
        <is>
          <t>Modular / portable power</t>
        </is>
      </c>
      <c r="D4794" s="12" t="inlineStr">
        <is>
          <t>Home run JB-SC-1-AI07 to the control / marshalling room</t>
        </is>
      </c>
      <c r="E4794" s="12" t="inlineStr"/>
      <c r="F4794" s="12" t="inlineStr">
        <is>
          <t>PCM: power control module</t>
        </is>
      </c>
      <c r="G4794" s="12" t="inlineStr">
        <is>
          <t>JB-SC-1-AI07</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6" t="n">
        <v>40</v>
      </c>
      <c r="U4794" s="16" t="n">
        <v>52</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I-I-0437</t>
        </is>
      </c>
      <c r="B4795" s="12" t="inlineStr">
        <is>
          <t>I</t>
        </is>
      </c>
      <c r="C4795" s="12" t="inlineStr">
        <is>
          <t>Modular / portable power</t>
        </is>
      </c>
      <c r="D4795" s="12" t="inlineStr">
        <is>
          <t>Analog instrument to JB JB-SC-1-AI08: 10 x 1 pr (field cables)</t>
        </is>
      </c>
      <c r="E4795" s="12" t="inlineStr">
        <is>
          <t>SC-1</t>
        </is>
      </c>
      <c r="F4795" s="12" t="inlineStr">
        <is>
          <t>SC-1: aeroderivative simple-cycle unit (LM6000 class)</t>
        </is>
      </c>
      <c r="G4795" s="12" t="inlineStr">
        <is>
          <t>JB-SC-1-AI08</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I-I-0438</t>
        </is>
      </c>
      <c r="B4796" s="12" t="inlineStr">
        <is>
          <t>I</t>
        </is>
      </c>
      <c r="C4796" s="12" t="inlineStr">
        <is>
          <t>Modular / portable power</t>
        </is>
      </c>
      <c r="D4796" s="12" t="inlineStr">
        <is>
          <t>Home run JB-SC-1-AI08 to the control / marshalling room</t>
        </is>
      </c>
      <c r="E4796" s="12" t="inlineStr"/>
      <c r="F4796" s="12" t="inlineStr">
        <is>
          <t>PCM: power control module</t>
        </is>
      </c>
      <c r="G4796" s="12" t="inlineStr">
        <is>
          <t>JB-SC-1-AI08</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6" t="n">
        <v>40</v>
      </c>
      <c r="U4796" s="16" t="n">
        <v>52</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I-I-0439</t>
        </is>
      </c>
      <c r="B4797" s="12" t="inlineStr">
        <is>
          <t>I</t>
        </is>
      </c>
      <c r="C4797" s="12" t="inlineStr">
        <is>
          <t>Modular / portable power</t>
        </is>
      </c>
      <c r="D4797" s="12" t="inlineStr">
        <is>
          <t>Discrete device to JB JB-SC-1-DI01: 20 x 1 pr (field cables)</t>
        </is>
      </c>
      <c r="E4797" s="12" t="inlineStr">
        <is>
          <t>SC-1</t>
        </is>
      </c>
      <c r="F4797" s="12" t="inlineStr">
        <is>
          <t>SC-1: aeroderivative simple-cycle unit (LM6000 class)</t>
        </is>
      </c>
      <c r="G4797" s="12" t="inlineStr">
        <is>
          <t>JB-SC-1-DI01</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I-I-0440</t>
        </is>
      </c>
      <c r="B4798" s="12" t="inlineStr">
        <is>
          <t>I</t>
        </is>
      </c>
      <c r="C4798" s="12" t="inlineStr">
        <is>
          <t>Modular / portable power</t>
        </is>
      </c>
      <c r="D4798" s="12" t="inlineStr">
        <is>
          <t>Home run JB-SC-1-DI01 to the control / marshalling room</t>
        </is>
      </c>
      <c r="E4798" s="12" t="inlineStr"/>
      <c r="F4798" s="12" t="inlineStr">
        <is>
          <t>PCM: power control module</t>
        </is>
      </c>
      <c r="G4798" s="12" t="inlineStr">
        <is>
          <t>JB-SC-1-DI01</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6" t="n">
        <v>40</v>
      </c>
      <c r="U4798" s="16" t="n">
        <v>52</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I-I-0441</t>
        </is>
      </c>
      <c r="B4799" s="12" t="inlineStr">
        <is>
          <t>I</t>
        </is>
      </c>
      <c r="C4799" s="12" t="inlineStr">
        <is>
          <t>Modular / portable power</t>
        </is>
      </c>
      <c r="D4799" s="12" t="inlineStr">
        <is>
          <t>Discrete device to JB JB-SC-1-DI02: 20 x 1 pr (field cables)</t>
        </is>
      </c>
      <c r="E4799" s="12" t="inlineStr">
        <is>
          <t>SC-1</t>
        </is>
      </c>
      <c r="F4799" s="12" t="inlineStr">
        <is>
          <t>SC-1: aeroderivative simple-cycle unit (LM6000 class)</t>
        </is>
      </c>
      <c r="G4799" s="12" t="inlineStr">
        <is>
          <t>JB-SC-1-DI02</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I-I-0442</t>
        </is>
      </c>
      <c r="B4800" s="12" t="inlineStr">
        <is>
          <t>I</t>
        </is>
      </c>
      <c r="C4800" s="12" t="inlineStr">
        <is>
          <t>Modular / portable power</t>
        </is>
      </c>
      <c r="D4800" s="12" t="inlineStr">
        <is>
          <t>Home run JB-SC-1-DI02 to the control / marshalling room</t>
        </is>
      </c>
      <c r="E4800" s="12" t="inlineStr"/>
      <c r="F4800" s="12" t="inlineStr">
        <is>
          <t>PCM: power control module</t>
        </is>
      </c>
      <c r="G4800" s="12" t="inlineStr">
        <is>
          <t>JB-SC-1-DI02</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6" t="n">
        <v>40</v>
      </c>
      <c r="U4800" s="16" t="n">
        <v>52</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I-I-0443</t>
        </is>
      </c>
      <c r="B4801" s="12" t="inlineStr">
        <is>
          <t>I</t>
        </is>
      </c>
      <c r="C4801" s="12" t="inlineStr">
        <is>
          <t>Modular / portable power</t>
        </is>
      </c>
      <c r="D4801" s="12" t="inlineStr">
        <is>
          <t>Discrete device to JB JB-SC-1-DI03: 20 x 1 pr (field cables)</t>
        </is>
      </c>
      <c r="E4801" s="12" t="inlineStr">
        <is>
          <t>SC-1</t>
        </is>
      </c>
      <c r="F4801" s="12" t="inlineStr">
        <is>
          <t>SC-1: aeroderivative simple-cycle unit (LM6000 class)</t>
        </is>
      </c>
      <c r="G4801" s="12" t="inlineStr">
        <is>
          <t>JB-SC-1-DI03</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I-I-0444</t>
        </is>
      </c>
      <c r="B4802" s="12" t="inlineStr">
        <is>
          <t>I</t>
        </is>
      </c>
      <c r="C4802" s="12" t="inlineStr">
        <is>
          <t>Modular / portable power</t>
        </is>
      </c>
      <c r="D4802" s="12" t="inlineStr">
        <is>
          <t>Home run JB-SC-1-DI03 to the control / marshalling room</t>
        </is>
      </c>
      <c r="E4802" s="12" t="inlineStr"/>
      <c r="F4802" s="12" t="inlineStr">
        <is>
          <t>PCM: power control module</t>
        </is>
      </c>
      <c r="G4802" s="12" t="inlineStr">
        <is>
          <t>JB-SC-1-DI03</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40</v>
      </c>
      <c r="U4802" s="16" t="n">
        <v>52</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I-I-0445</t>
        </is>
      </c>
      <c r="B4803" s="12" t="inlineStr">
        <is>
          <t>I</t>
        </is>
      </c>
      <c r="C4803" s="12" t="inlineStr">
        <is>
          <t>Modular / portable power</t>
        </is>
      </c>
      <c r="D4803" s="12" t="inlineStr">
        <is>
          <t>Discrete device to JB JB-SC-1-DI04: 20 x 1 pr (field cables)</t>
        </is>
      </c>
      <c r="E4803" s="12" t="inlineStr">
        <is>
          <t>SC-1</t>
        </is>
      </c>
      <c r="F4803" s="12" t="inlineStr">
        <is>
          <t>SC-1: aeroderivative simple-cycle unit (LM6000 class)</t>
        </is>
      </c>
      <c r="G4803" s="12" t="inlineStr">
        <is>
          <t>JB-SC-1-DI04</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I-I-0446</t>
        </is>
      </c>
      <c r="B4804" s="12" t="inlineStr">
        <is>
          <t>I</t>
        </is>
      </c>
      <c r="C4804" s="12" t="inlineStr">
        <is>
          <t>Modular / portable power</t>
        </is>
      </c>
      <c r="D4804" s="12" t="inlineStr">
        <is>
          <t>Home run JB-SC-1-DI04 to the control / marshalling room</t>
        </is>
      </c>
      <c r="E4804" s="12" t="inlineStr"/>
      <c r="F4804" s="12" t="inlineStr">
        <is>
          <t>PCM: power control module</t>
        </is>
      </c>
      <c r="G4804" s="12" t="inlineStr">
        <is>
          <t>JB-SC-1-DI04</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40</v>
      </c>
      <c r="U4804" s="16" t="n">
        <v>52</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I-I-0447</t>
        </is>
      </c>
      <c r="B4805" s="12" t="inlineStr">
        <is>
          <t>I</t>
        </is>
      </c>
      <c r="C4805" s="12" t="inlineStr">
        <is>
          <t>Modular / portable power</t>
        </is>
      </c>
      <c r="D4805" s="12" t="inlineStr">
        <is>
          <t>Discrete device to JB JB-SC-1-DI05: 20 x 1 pr (field cables)</t>
        </is>
      </c>
      <c r="E4805" s="12" t="inlineStr">
        <is>
          <t>SC-1</t>
        </is>
      </c>
      <c r="F4805" s="12" t="inlineStr">
        <is>
          <t>SC-1: aeroderivative simple-cycle unit (LM6000 class)</t>
        </is>
      </c>
      <c r="G4805" s="12" t="inlineStr">
        <is>
          <t>JB-SC-1-DI05</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I-I-0448</t>
        </is>
      </c>
      <c r="B4806" s="12" t="inlineStr">
        <is>
          <t>I</t>
        </is>
      </c>
      <c r="C4806" s="12" t="inlineStr">
        <is>
          <t>Modular / portable power</t>
        </is>
      </c>
      <c r="D4806" s="12" t="inlineStr">
        <is>
          <t>Home run JB-SC-1-DI05 to the control / marshalling room</t>
        </is>
      </c>
      <c r="E4806" s="12" t="inlineStr"/>
      <c r="F4806" s="12" t="inlineStr">
        <is>
          <t>PCM: power control module</t>
        </is>
      </c>
      <c r="G4806" s="12" t="inlineStr">
        <is>
          <t>JB-SC-1-DI05</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40</v>
      </c>
      <c r="U4806" s="16" t="n">
        <v>52</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I-I-0449</t>
        </is>
      </c>
      <c r="B4807" s="12" t="inlineStr">
        <is>
          <t>I</t>
        </is>
      </c>
      <c r="C4807" s="12" t="inlineStr">
        <is>
          <t>Modular / portable power</t>
        </is>
      </c>
      <c r="D4807" s="12" t="inlineStr">
        <is>
          <t>Thermocouple to TC JB JB-SC-1-TC01: 20 x 1 pr (field cables)</t>
        </is>
      </c>
      <c r="E4807" s="12" t="inlineStr">
        <is>
          <t>SC-1</t>
        </is>
      </c>
      <c r="F4807" s="12" t="inlineStr">
        <is>
          <t>SC-1: aeroderivative simple-cycle unit (LM6000 class)</t>
        </is>
      </c>
      <c r="G4807" s="12" t="inlineStr">
        <is>
          <t>JB-SC-1-TC01</t>
        </is>
      </c>
      <c r="H4807" s="12" t="inlineStr">
        <is>
          <t>SC-1: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I-I-0450</t>
        </is>
      </c>
      <c r="B4808" s="12" t="inlineStr">
        <is>
          <t>I</t>
        </is>
      </c>
      <c r="C4808" s="12" t="inlineStr">
        <is>
          <t>Modular / portable power</t>
        </is>
      </c>
      <c r="D4808" s="12" t="inlineStr">
        <is>
          <t>Home run JB-SC-1-TC01 to the control / marshalling room</t>
        </is>
      </c>
      <c r="E4808" s="12" t="inlineStr"/>
      <c r="F4808" s="12" t="inlineStr">
        <is>
          <t>PCM: power control module</t>
        </is>
      </c>
      <c r="G4808" s="12" t="inlineStr">
        <is>
          <t>JB-SC-1-TC01</t>
        </is>
      </c>
      <c r="H4808" s="12" t="inlineStr">
        <is>
          <t>SC-1: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Duct bank</t>
        </is>
      </c>
      <c r="T4808" s="16" t="n">
        <v>40</v>
      </c>
      <c r="U4808" s="16" t="n">
        <v>52</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I-I-0451</t>
        </is>
      </c>
      <c r="B4809" s="12" t="inlineStr">
        <is>
          <t>I</t>
        </is>
      </c>
      <c r="C4809" s="12" t="inlineStr">
        <is>
          <t>Modular / portable power</t>
        </is>
      </c>
      <c r="D4809" s="12" t="inlineStr">
        <is>
          <t>Thermocouple to TC JB JB-SC-1-TC02: 20 x 1 pr (field cables)</t>
        </is>
      </c>
      <c r="E4809" s="12" t="inlineStr">
        <is>
          <t>SC-1</t>
        </is>
      </c>
      <c r="F4809" s="12" t="inlineStr">
        <is>
          <t>SC-1: aeroderivative simple-cycle unit (LM6000 class)</t>
        </is>
      </c>
      <c r="G4809" s="12" t="inlineStr">
        <is>
          <t>JB-SC-1-TC02</t>
        </is>
      </c>
      <c r="H4809" s="12" t="inlineStr">
        <is>
          <t>SC-1: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I-I-0452</t>
        </is>
      </c>
      <c r="B4810" s="12" t="inlineStr">
        <is>
          <t>I</t>
        </is>
      </c>
      <c r="C4810" s="12" t="inlineStr">
        <is>
          <t>Modular / portable power</t>
        </is>
      </c>
      <c r="D4810" s="12" t="inlineStr">
        <is>
          <t>Home run JB-SC-1-TC02 to the control / marshalling room</t>
        </is>
      </c>
      <c r="E4810" s="12" t="inlineStr"/>
      <c r="F4810" s="12" t="inlineStr">
        <is>
          <t>PCM: power control module</t>
        </is>
      </c>
      <c r="G4810" s="12" t="inlineStr">
        <is>
          <t>JB-SC-1-TC02</t>
        </is>
      </c>
      <c r="H4810" s="12" t="inlineStr">
        <is>
          <t>SC-1: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Duct bank</t>
        </is>
      </c>
      <c r="T4810" s="16" t="n">
        <v>40</v>
      </c>
      <c r="U4810" s="16" t="n">
        <v>52</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I-I-0453</t>
        </is>
      </c>
      <c r="B4811" s="12" t="inlineStr">
        <is>
          <t>I</t>
        </is>
      </c>
      <c r="C4811" s="12" t="inlineStr">
        <is>
          <t>Modular / portable power</t>
        </is>
      </c>
      <c r="D4811" s="12" t="inlineStr">
        <is>
          <t>Analog instrument to JB JB-SC-2 SCR / CO cata-AI01: 12 x 1 pr (field cables)</t>
        </is>
      </c>
      <c r="E4811" s="12" t="inlineStr"/>
      <c r="F4811" s="12" t="inlineStr">
        <is>
          <t>SC-2 SCR / CO catalyst</t>
        </is>
      </c>
      <c r="G4811" s="12" t="inlineStr">
        <is>
          <t>JB-SC-2 SCR / CO cata-AI01</t>
        </is>
      </c>
      <c r="H4811" s="12" t="inlineStr">
        <is>
          <t>SC-2 SCR / CO catalyst</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12</v>
      </c>
      <c r="O4811" s="12" t="n">
        <v>1</v>
      </c>
      <c r="P4811" s="12" t="n"/>
      <c r="Q4811" s="12" t="n"/>
      <c r="R4811" s="12" t="n"/>
      <c r="S4811" s="12" t="inlineStr">
        <is>
          <t>Tray / conduit</t>
        </is>
      </c>
      <c r="T4811" s="16" t="n">
        <v>74</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I-I-0454</t>
        </is>
      </c>
      <c r="B4812" s="12" t="inlineStr">
        <is>
          <t>I</t>
        </is>
      </c>
      <c r="C4812" s="12" t="inlineStr">
        <is>
          <t>Modular / portable power</t>
        </is>
      </c>
      <c r="D4812" s="12" t="inlineStr">
        <is>
          <t>Home run JB-SC-2 SCR / CO cata-AI01 to the control / marshalling room</t>
        </is>
      </c>
      <c r="E4812" s="12" t="inlineStr"/>
      <c r="F4812" s="12" t="inlineStr">
        <is>
          <t>PCM: power control module</t>
        </is>
      </c>
      <c r="G4812" s="12" t="inlineStr">
        <is>
          <t>JB-SC-2 SCR / CO cata-AI01</t>
        </is>
      </c>
      <c r="H4812" s="12" t="inlineStr">
        <is>
          <t>SC-2 SCR / CO catalyst</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4378</v>
      </c>
      <c r="U4812" s="16" t="n">
        <v>58</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I-I-0455</t>
        </is>
      </c>
      <c r="B4813" s="12" t="inlineStr">
        <is>
          <t>I</t>
        </is>
      </c>
      <c r="C4813" s="12" t="inlineStr">
        <is>
          <t>Modular / portable power</t>
        </is>
      </c>
      <c r="D4813" s="12" t="inlineStr">
        <is>
          <t>Discrete device to JB JB-SC-2 SCR / CO cata-DI01: 8 x 1 pr (field cables)</t>
        </is>
      </c>
      <c r="E4813" s="12" t="inlineStr"/>
      <c r="F4813" s="12" t="inlineStr">
        <is>
          <t>SC-2 SCR / CO catalyst</t>
        </is>
      </c>
      <c r="G4813" s="12" t="inlineStr">
        <is>
          <t>JB-SC-2 SCR / CO cata-DI01</t>
        </is>
      </c>
      <c r="H4813" s="12" t="inlineStr">
        <is>
          <t>SC-2 SCR / CO catalyst</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8</v>
      </c>
      <c r="O4813" s="12" t="n">
        <v>1</v>
      </c>
      <c r="P4813" s="12" t="n"/>
      <c r="Q4813" s="12" t="n"/>
      <c r="R4813" s="12" t="n"/>
      <c r="S4813" s="12" t="inlineStr">
        <is>
          <t>Tray / conduit</t>
        </is>
      </c>
      <c r="T4813" s="16" t="n">
        <v>74</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I-I-0456</t>
        </is>
      </c>
      <c r="B4814" s="12" t="inlineStr">
        <is>
          <t>I</t>
        </is>
      </c>
      <c r="C4814" s="12" t="inlineStr">
        <is>
          <t>Modular / portable power</t>
        </is>
      </c>
      <c r="D4814" s="12" t="inlineStr">
        <is>
          <t>Home run JB-SC-2 SCR / CO cata-DI01 to the control / marshalling room</t>
        </is>
      </c>
      <c r="E4814" s="12" t="inlineStr"/>
      <c r="F4814" s="12" t="inlineStr">
        <is>
          <t>PCM: power control module</t>
        </is>
      </c>
      <c r="G4814" s="12" t="inlineStr">
        <is>
          <t>JB-SC-2 SCR / CO cata-DI01</t>
        </is>
      </c>
      <c r="H4814" s="12" t="inlineStr">
        <is>
          <t>SC-2 SCR / CO catalyst</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4378</v>
      </c>
      <c r="U4814" s="16" t="n">
        <v>58</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I-I-0457</t>
        </is>
      </c>
      <c r="B4815" s="12" t="inlineStr">
        <is>
          <t>I</t>
        </is>
      </c>
      <c r="C4815" s="12" t="inlineStr">
        <is>
          <t>Modular / portable power</t>
        </is>
      </c>
      <c r="D4815" s="12" t="inlineStr">
        <is>
          <t>Analog instrument to JB JB-SC-2 lube-oil fin--AI01: 4 x 1 pr (field cables)</t>
        </is>
      </c>
      <c r="E4815" s="12" t="inlineStr"/>
      <c r="F4815" s="12" t="inlineStr">
        <is>
          <t>SC-2 lube-oil fin-fan cooler</t>
        </is>
      </c>
      <c r="G4815" s="12" t="inlineStr">
        <is>
          <t>JB-SC-2 lube-oil fin--AI01</t>
        </is>
      </c>
      <c r="H4815" s="12" t="inlineStr">
        <is>
          <t>SC-2 lube-oil fin-fan cooler</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4</v>
      </c>
      <c r="O4815" s="12" t="n">
        <v>1</v>
      </c>
      <c r="P4815" s="12" t="n"/>
      <c r="Q4815" s="12" t="n"/>
      <c r="R4815" s="12" t="n"/>
      <c r="S4815" s="12" t="inlineStr">
        <is>
          <t>Tray / conduit</t>
        </is>
      </c>
      <c r="T4815" s="16" t="n">
        <v>46</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I-I-0458</t>
        </is>
      </c>
      <c r="B4816" s="12" t="inlineStr">
        <is>
          <t>I</t>
        </is>
      </c>
      <c r="C4816" s="12" t="inlineStr">
        <is>
          <t>Modular / portable power</t>
        </is>
      </c>
      <c r="D4816" s="12" t="inlineStr">
        <is>
          <t>Home run JB-SC-2 lube-oil fin--AI01 to the control / marshalling room</t>
        </is>
      </c>
      <c r="E4816" s="12" t="inlineStr"/>
      <c r="F4816" s="12" t="inlineStr">
        <is>
          <t>PCM: power control module</t>
        </is>
      </c>
      <c r="G4816" s="12" t="inlineStr">
        <is>
          <t>JB-SC-2 lube-oil fin--AI01</t>
        </is>
      </c>
      <c r="H4816" s="12" t="inlineStr">
        <is>
          <t>SC-2 lube-oil fin-fan cooler</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6" t="n">
        <v>4366</v>
      </c>
      <c r="U4816" s="16" t="n">
        <v>93</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I-I-0459</t>
        </is>
      </c>
      <c r="B4817" s="12" t="inlineStr">
        <is>
          <t>I</t>
        </is>
      </c>
      <c r="C4817" s="12" t="inlineStr">
        <is>
          <t>Modular / portable power</t>
        </is>
      </c>
      <c r="D4817" s="12" t="inlineStr">
        <is>
          <t>Discrete device to JB JB-SC-2 lube-oil fin--DI01: 8 x 1 pr (field cables)</t>
        </is>
      </c>
      <c r="E4817" s="12" t="inlineStr"/>
      <c r="F4817" s="12" t="inlineStr">
        <is>
          <t>SC-2 lube-oil fin-fan cooler</t>
        </is>
      </c>
      <c r="G4817" s="12" t="inlineStr">
        <is>
          <t>JB-SC-2 lube-oil fin--DI01</t>
        </is>
      </c>
      <c r="H4817" s="12" t="inlineStr">
        <is>
          <t>SC-2 lube-oil fin-fan cooler</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6" t="n">
        <v>46</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I-I-0460</t>
        </is>
      </c>
      <c r="B4818" s="12" t="inlineStr">
        <is>
          <t>I</t>
        </is>
      </c>
      <c r="C4818" s="12" t="inlineStr">
        <is>
          <t>Modular / portable power</t>
        </is>
      </c>
      <c r="D4818" s="12" t="inlineStr">
        <is>
          <t>Home run JB-SC-2 lube-oil fin--DI01 to the control / marshalling room</t>
        </is>
      </c>
      <c r="E4818" s="12" t="inlineStr"/>
      <c r="F4818" s="12" t="inlineStr">
        <is>
          <t>PCM: power control module</t>
        </is>
      </c>
      <c r="G4818" s="12" t="inlineStr">
        <is>
          <t>JB-SC-2 lube-oil fin--DI01</t>
        </is>
      </c>
      <c r="H4818" s="12" t="inlineStr">
        <is>
          <t>SC-2 lube-oil fin-fan cooler</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6" t="n">
        <v>4366</v>
      </c>
      <c r="U4818" s="16" t="n">
        <v>93</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I-I-0461</t>
        </is>
      </c>
      <c r="B4819" s="12" t="inlineStr">
        <is>
          <t>I</t>
        </is>
      </c>
      <c r="C4819" s="12" t="inlineStr">
        <is>
          <t>Modular / portable power</t>
        </is>
      </c>
      <c r="D4819" s="12" t="inlineStr">
        <is>
          <t>Analog instrument to JB JB-SC-2-AI01: 20 x 1 pr (field cables)</t>
        </is>
      </c>
      <c r="E4819" s="12" t="inlineStr">
        <is>
          <t>SC-2</t>
        </is>
      </c>
      <c r="F4819" s="12" t="inlineStr">
        <is>
          <t>SC-2: aeroderivative simple-cycle unit (LM6000 class)</t>
        </is>
      </c>
      <c r="G4819" s="12" t="inlineStr">
        <is>
          <t>JB-SC-2-AI01</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6" t="n">
        <v>99</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I-I-0462</t>
        </is>
      </c>
      <c r="B4820" s="12" t="inlineStr">
        <is>
          <t>I</t>
        </is>
      </c>
      <c r="C4820" s="12" t="inlineStr">
        <is>
          <t>Modular / portable power</t>
        </is>
      </c>
      <c r="D4820" s="12" t="inlineStr">
        <is>
          <t>Home run JB-SC-2-AI01 to the control / marshalling room</t>
        </is>
      </c>
      <c r="E4820" s="12" t="inlineStr"/>
      <c r="F4820" s="12" t="inlineStr">
        <is>
          <t>PCM: power control module</t>
        </is>
      </c>
      <c r="G4820" s="12" t="inlineStr">
        <is>
          <t>JB-SC-2-AI01</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6" t="n">
        <v>4478</v>
      </c>
      <c r="U4820" s="16" t="n">
        <v>38</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I-I-0463</t>
        </is>
      </c>
      <c r="B4821" s="12" t="inlineStr">
        <is>
          <t>I</t>
        </is>
      </c>
      <c r="C4821" s="12" t="inlineStr">
        <is>
          <t>Modular / portable power</t>
        </is>
      </c>
      <c r="D4821" s="12" t="inlineStr">
        <is>
          <t>Analog instrument to JB JB-SC-2-AI02: 20 x 1 pr (field cables)</t>
        </is>
      </c>
      <c r="E4821" s="12" t="inlineStr">
        <is>
          <t>SC-2</t>
        </is>
      </c>
      <c r="F4821" s="12" t="inlineStr">
        <is>
          <t>SC-2: aeroderivative simple-cycle unit (LM6000 class)</t>
        </is>
      </c>
      <c r="G4821" s="12" t="inlineStr">
        <is>
          <t>JB-SC-2-AI02</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6" t="n">
        <v>99</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I-I-0464</t>
        </is>
      </c>
      <c r="B4822" s="12" t="inlineStr">
        <is>
          <t>I</t>
        </is>
      </c>
      <c r="C4822" s="12" t="inlineStr">
        <is>
          <t>Modular / portable power</t>
        </is>
      </c>
      <c r="D4822" s="12" t="inlineStr">
        <is>
          <t>Home run JB-SC-2-AI02 to the control / marshalling room</t>
        </is>
      </c>
      <c r="E4822" s="12" t="inlineStr"/>
      <c r="F4822" s="12" t="inlineStr">
        <is>
          <t>PCM: power control module</t>
        </is>
      </c>
      <c r="G4822" s="12" t="inlineStr">
        <is>
          <t>JB-SC-2-AI02</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6" t="n">
        <v>4478</v>
      </c>
      <c r="U4822" s="16" t="n">
        <v>38</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I-I-0465</t>
        </is>
      </c>
      <c r="B4823" s="12" t="inlineStr">
        <is>
          <t>I</t>
        </is>
      </c>
      <c r="C4823" s="12" t="inlineStr">
        <is>
          <t>Modular / portable power</t>
        </is>
      </c>
      <c r="D4823" s="12" t="inlineStr">
        <is>
          <t>Analog instrument to JB JB-SC-2-AI03: 20 x 1 pr (field cables)</t>
        </is>
      </c>
      <c r="E4823" s="12" t="inlineStr">
        <is>
          <t>SC-2</t>
        </is>
      </c>
      <c r="F4823" s="12" t="inlineStr">
        <is>
          <t>SC-2: aeroderivative simple-cycle unit (LM6000 class)</t>
        </is>
      </c>
      <c r="G4823" s="12" t="inlineStr">
        <is>
          <t>JB-SC-2-AI03</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99</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I-I-0466</t>
        </is>
      </c>
      <c r="B4824" s="12" t="inlineStr">
        <is>
          <t>I</t>
        </is>
      </c>
      <c r="C4824" s="12" t="inlineStr">
        <is>
          <t>Modular / portable power</t>
        </is>
      </c>
      <c r="D4824" s="12" t="inlineStr">
        <is>
          <t>Home run JB-SC-2-AI03 to the control / marshalling room</t>
        </is>
      </c>
      <c r="E4824" s="12" t="inlineStr"/>
      <c r="F4824" s="12" t="inlineStr">
        <is>
          <t>PCM: power control module</t>
        </is>
      </c>
      <c r="G4824" s="12" t="inlineStr">
        <is>
          <t>JB-SC-2-AI03</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HV duct bank</t>
        </is>
      </c>
      <c r="T4824" s="16" t="n">
        <v>4478</v>
      </c>
      <c r="U4824" s="16" t="n">
        <v>38</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I-I-0467</t>
        </is>
      </c>
      <c r="B4825" s="12" t="inlineStr">
        <is>
          <t>I</t>
        </is>
      </c>
      <c r="C4825" s="12" t="inlineStr">
        <is>
          <t>Modular / portable power</t>
        </is>
      </c>
      <c r="D4825" s="12" t="inlineStr">
        <is>
          <t>Analog instrument to JB JB-SC-2-AI04: 20 x 1 pr (field cables)</t>
        </is>
      </c>
      <c r="E4825" s="12" t="inlineStr">
        <is>
          <t>SC-2</t>
        </is>
      </c>
      <c r="F4825" s="12" t="inlineStr">
        <is>
          <t>SC-2: aeroderivative simple-cycle unit (LM6000 class)</t>
        </is>
      </c>
      <c r="G4825" s="12" t="inlineStr">
        <is>
          <t>JB-SC-2-AI04</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99</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I-I-0468</t>
        </is>
      </c>
      <c r="B4826" s="12" t="inlineStr">
        <is>
          <t>I</t>
        </is>
      </c>
      <c r="C4826" s="12" t="inlineStr">
        <is>
          <t>Modular / portable power</t>
        </is>
      </c>
      <c r="D4826" s="12" t="inlineStr">
        <is>
          <t>Home run JB-SC-2-AI04 to the control / marshalling room</t>
        </is>
      </c>
      <c r="E4826" s="12" t="inlineStr"/>
      <c r="F4826" s="12" t="inlineStr">
        <is>
          <t>PCM: power control module</t>
        </is>
      </c>
      <c r="G4826" s="12" t="inlineStr">
        <is>
          <t>JB-SC-2-AI04</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HV duct bank</t>
        </is>
      </c>
      <c r="T4826" s="16" t="n">
        <v>4478</v>
      </c>
      <c r="U4826" s="16" t="n">
        <v>38</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I-I-0469</t>
        </is>
      </c>
      <c r="B4827" s="12" t="inlineStr">
        <is>
          <t>I</t>
        </is>
      </c>
      <c r="C4827" s="12" t="inlineStr">
        <is>
          <t>Modular / portable power</t>
        </is>
      </c>
      <c r="D4827" s="12" t="inlineStr">
        <is>
          <t>Analog instrument to JB JB-SC-2-AI05: 20 x 1 pr (field cables)</t>
        </is>
      </c>
      <c r="E4827" s="12" t="inlineStr">
        <is>
          <t>SC-2</t>
        </is>
      </c>
      <c r="F4827" s="12" t="inlineStr">
        <is>
          <t>SC-2: aeroderivative simple-cycle unit (LM6000 class)</t>
        </is>
      </c>
      <c r="G4827" s="12" t="inlineStr">
        <is>
          <t>JB-SC-2-AI05</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99</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I-I-0470</t>
        </is>
      </c>
      <c r="B4828" s="12" t="inlineStr">
        <is>
          <t>I</t>
        </is>
      </c>
      <c r="C4828" s="12" t="inlineStr">
        <is>
          <t>Modular / portable power</t>
        </is>
      </c>
      <c r="D4828" s="12" t="inlineStr">
        <is>
          <t>Home run JB-SC-2-AI05 to the control / marshalling room</t>
        </is>
      </c>
      <c r="E4828" s="12" t="inlineStr"/>
      <c r="F4828" s="12" t="inlineStr">
        <is>
          <t>PCM: power control module</t>
        </is>
      </c>
      <c r="G4828" s="12" t="inlineStr">
        <is>
          <t>JB-SC-2-AI05</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6" t="n">
        <v>4478</v>
      </c>
      <c r="U4828" s="16" t="n">
        <v>38</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I-I-0471</t>
        </is>
      </c>
      <c r="B4829" s="12" t="inlineStr">
        <is>
          <t>I</t>
        </is>
      </c>
      <c r="C4829" s="12" t="inlineStr">
        <is>
          <t>Modular / portable power</t>
        </is>
      </c>
      <c r="D4829" s="12" t="inlineStr">
        <is>
          <t>Analog instrument to JB JB-SC-2-AI06: 20 x 1 pr (field cables)</t>
        </is>
      </c>
      <c r="E4829" s="12" t="inlineStr">
        <is>
          <t>SC-2</t>
        </is>
      </c>
      <c r="F4829" s="12" t="inlineStr">
        <is>
          <t>SC-2: aeroderivative simple-cycle unit (LM6000 class)</t>
        </is>
      </c>
      <c r="G4829" s="12" t="inlineStr">
        <is>
          <t>JB-SC-2-AI06</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99</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I-I-0472</t>
        </is>
      </c>
      <c r="B4830" s="12" t="inlineStr">
        <is>
          <t>I</t>
        </is>
      </c>
      <c r="C4830" s="12" t="inlineStr">
        <is>
          <t>Modular / portable power</t>
        </is>
      </c>
      <c r="D4830" s="12" t="inlineStr">
        <is>
          <t>Home run JB-SC-2-AI06 to the control / marshalling room</t>
        </is>
      </c>
      <c r="E4830" s="12" t="inlineStr"/>
      <c r="F4830" s="12" t="inlineStr">
        <is>
          <t>PCM: power control module</t>
        </is>
      </c>
      <c r="G4830" s="12" t="inlineStr">
        <is>
          <t>JB-SC-2-AI06</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6" t="n">
        <v>4478</v>
      </c>
      <c r="U4830" s="16" t="n">
        <v>38</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I-I-0473</t>
        </is>
      </c>
      <c r="B4831" s="12" t="inlineStr">
        <is>
          <t>I</t>
        </is>
      </c>
      <c r="C4831" s="12" t="inlineStr">
        <is>
          <t>Modular / portable power</t>
        </is>
      </c>
      <c r="D4831" s="12" t="inlineStr">
        <is>
          <t>Analog instrument to JB JB-SC-2-AI07: 20 x 1 pr (field cables)</t>
        </is>
      </c>
      <c r="E4831" s="12" t="inlineStr">
        <is>
          <t>SC-2</t>
        </is>
      </c>
      <c r="F4831" s="12" t="inlineStr">
        <is>
          <t>SC-2: aeroderivative simple-cycle unit (LM6000 class)</t>
        </is>
      </c>
      <c r="G4831" s="12" t="inlineStr">
        <is>
          <t>JB-SC-2-AI07</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99</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I-I-0474</t>
        </is>
      </c>
      <c r="B4832" s="12" t="inlineStr">
        <is>
          <t>I</t>
        </is>
      </c>
      <c r="C4832" s="12" t="inlineStr">
        <is>
          <t>Modular / portable power</t>
        </is>
      </c>
      <c r="D4832" s="12" t="inlineStr">
        <is>
          <t>Home run JB-SC-2-AI07 to the control / marshalling room</t>
        </is>
      </c>
      <c r="E4832" s="12" t="inlineStr"/>
      <c r="F4832" s="12" t="inlineStr">
        <is>
          <t>PCM: power control module</t>
        </is>
      </c>
      <c r="G4832" s="12" t="inlineStr">
        <is>
          <t>JB-SC-2-AI07</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HV duct bank</t>
        </is>
      </c>
      <c r="T4832" s="16" t="n">
        <v>4478</v>
      </c>
      <c r="U4832" s="16" t="n">
        <v>38</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I-I-0475</t>
        </is>
      </c>
      <c r="B4833" s="12" t="inlineStr">
        <is>
          <t>I</t>
        </is>
      </c>
      <c r="C4833" s="12" t="inlineStr">
        <is>
          <t>Modular / portable power</t>
        </is>
      </c>
      <c r="D4833" s="12" t="inlineStr">
        <is>
          <t>Analog instrument to JB JB-SC-2-AI08: 10 x 1 pr (field cables)</t>
        </is>
      </c>
      <c r="E4833" s="12" t="inlineStr">
        <is>
          <t>SC-2</t>
        </is>
      </c>
      <c r="F4833" s="12" t="inlineStr">
        <is>
          <t>SC-2: aeroderivative simple-cycle unit (LM6000 class)</t>
        </is>
      </c>
      <c r="G4833" s="12" t="inlineStr">
        <is>
          <t>JB-SC-2-AI08</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10</v>
      </c>
      <c r="O4833" s="12" t="n">
        <v>1</v>
      </c>
      <c r="P4833" s="12" t="n"/>
      <c r="Q4833" s="12" t="n"/>
      <c r="R4833" s="12" t="n"/>
      <c r="S4833" s="12" t="inlineStr">
        <is>
          <t>Tray / conduit</t>
        </is>
      </c>
      <c r="T4833" s="16" t="n">
        <v>99</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I-I-0476</t>
        </is>
      </c>
      <c r="B4834" s="12" t="inlineStr">
        <is>
          <t>I</t>
        </is>
      </c>
      <c r="C4834" s="12" t="inlineStr">
        <is>
          <t>Modular / portable power</t>
        </is>
      </c>
      <c r="D4834" s="12" t="inlineStr">
        <is>
          <t>Home run JB-SC-2-AI08 to the control / marshalling room</t>
        </is>
      </c>
      <c r="E4834" s="12" t="inlineStr"/>
      <c r="F4834" s="12" t="inlineStr">
        <is>
          <t>PCM: power control module</t>
        </is>
      </c>
      <c r="G4834" s="12" t="inlineStr">
        <is>
          <t>JB-SC-2-AI08</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HV duct bank</t>
        </is>
      </c>
      <c r="T4834" s="16" t="n">
        <v>4478</v>
      </c>
      <c r="U4834" s="16" t="n">
        <v>38</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I-I-0477</t>
        </is>
      </c>
      <c r="B4835" s="12" t="inlineStr">
        <is>
          <t>I</t>
        </is>
      </c>
      <c r="C4835" s="12" t="inlineStr">
        <is>
          <t>Modular / portable power</t>
        </is>
      </c>
      <c r="D4835" s="12" t="inlineStr">
        <is>
          <t>Discrete device to JB JB-SC-2-DI01: 20 x 1 pr (field cables)</t>
        </is>
      </c>
      <c r="E4835" s="12" t="inlineStr">
        <is>
          <t>SC-2</t>
        </is>
      </c>
      <c r="F4835" s="12" t="inlineStr">
        <is>
          <t>SC-2: aeroderivative simple-cycle unit (LM6000 class)</t>
        </is>
      </c>
      <c r="G4835" s="12" t="inlineStr">
        <is>
          <t>JB-SC-2-DI01</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99</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I-I-0478</t>
        </is>
      </c>
      <c r="B4836" s="12" t="inlineStr">
        <is>
          <t>I</t>
        </is>
      </c>
      <c r="C4836" s="12" t="inlineStr">
        <is>
          <t>Modular / portable power</t>
        </is>
      </c>
      <c r="D4836" s="12" t="inlineStr">
        <is>
          <t>Home run JB-SC-2-DI01 to the control / marshalling room</t>
        </is>
      </c>
      <c r="E4836" s="12" t="inlineStr"/>
      <c r="F4836" s="12" t="inlineStr">
        <is>
          <t>PCM: power control module</t>
        </is>
      </c>
      <c r="G4836" s="12" t="inlineStr">
        <is>
          <t>JB-SC-2-DI01</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HV duct bank</t>
        </is>
      </c>
      <c r="T4836" s="16" t="n">
        <v>4478</v>
      </c>
      <c r="U4836" s="16" t="n">
        <v>38</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I-I-0479</t>
        </is>
      </c>
      <c r="B4837" s="12" t="inlineStr">
        <is>
          <t>I</t>
        </is>
      </c>
      <c r="C4837" s="12" t="inlineStr">
        <is>
          <t>Modular / portable power</t>
        </is>
      </c>
      <c r="D4837" s="12" t="inlineStr">
        <is>
          <t>Discrete device to JB JB-SC-2-DI02: 20 x 1 pr (field cables)</t>
        </is>
      </c>
      <c r="E4837" s="12" t="inlineStr">
        <is>
          <t>SC-2</t>
        </is>
      </c>
      <c r="F4837" s="12" t="inlineStr">
        <is>
          <t>SC-2: aeroderivative simple-cycle unit (LM6000 class)</t>
        </is>
      </c>
      <c r="G4837" s="12" t="inlineStr">
        <is>
          <t>JB-SC-2-DI02</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99</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I-I-0480</t>
        </is>
      </c>
      <c r="B4838" s="12" t="inlineStr">
        <is>
          <t>I</t>
        </is>
      </c>
      <c r="C4838" s="12" t="inlineStr">
        <is>
          <t>Modular / portable power</t>
        </is>
      </c>
      <c r="D4838" s="12" t="inlineStr">
        <is>
          <t>Home run JB-SC-2-DI02 to the control / marshalling room</t>
        </is>
      </c>
      <c r="E4838" s="12" t="inlineStr"/>
      <c r="F4838" s="12" t="inlineStr">
        <is>
          <t>PCM: power control module</t>
        </is>
      </c>
      <c r="G4838" s="12" t="inlineStr">
        <is>
          <t>JB-SC-2-DI02</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HV duct bank</t>
        </is>
      </c>
      <c r="T4838" s="16" t="n">
        <v>4478</v>
      </c>
      <c r="U4838" s="16" t="n">
        <v>38</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I-I-0481</t>
        </is>
      </c>
      <c r="B4839" s="12" t="inlineStr">
        <is>
          <t>I</t>
        </is>
      </c>
      <c r="C4839" s="12" t="inlineStr">
        <is>
          <t>Modular / portable power</t>
        </is>
      </c>
      <c r="D4839" s="12" t="inlineStr">
        <is>
          <t>Discrete device to JB JB-SC-2-DI03: 20 x 1 pr (field cables)</t>
        </is>
      </c>
      <c r="E4839" s="12" t="inlineStr">
        <is>
          <t>SC-2</t>
        </is>
      </c>
      <c r="F4839" s="12" t="inlineStr">
        <is>
          <t>SC-2: aeroderivative simple-cycle unit (LM6000 class)</t>
        </is>
      </c>
      <c r="G4839" s="12" t="inlineStr">
        <is>
          <t>JB-SC-2-DI03</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99</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I-I-0482</t>
        </is>
      </c>
      <c r="B4840" s="12" t="inlineStr">
        <is>
          <t>I</t>
        </is>
      </c>
      <c r="C4840" s="12" t="inlineStr">
        <is>
          <t>Modular / portable power</t>
        </is>
      </c>
      <c r="D4840" s="12" t="inlineStr">
        <is>
          <t>Home run JB-SC-2-DI03 to the control / marshalling room</t>
        </is>
      </c>
      <c r="E4840" s="12" t="inlineStr"/>
      <c r="F4840" s="12" t="inlineStr">
        <is>
          <t>PCM: power control module</t>
        </is>
      </c>
      <c r="G4840" s="12" t="inlineStr">
        <is>
          <t>JB-SC-2-DI03</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HV duct bank</t>
        </is>
      </c>
      <c r="T4840" s="16" t="n">
        <v>4478</v>
      </c>
      <c r="U4840" s="16" t="n">
        <v>38</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I-I-0483</t>
        </is>
      </c>
      <c r="B4841" s="12" t="inlineStr">
        <is>
          <t>I</t>
        </is>
      </c>
      <c r="C4841" s="12" t="inlineStr">
        <is>
          <t>Modular / portable power</t>
        </is>
      </c>
      <c r="D4841" s="12" t="inlineStr">
        <is>
          <t>Discrete device to JB JB-SC-2-DI04: 20 x 1 pr (field cables)</t>
        </is>
      </c>
      <c r="E4841" s="12" t="inlineStr">
        <is>
          <t>SC-2</t>
        </is>
      </c>
      <c r="F4841" s="12" t="inlineStr">
        <is>
          <t>SC-2: aeroderivative simple-cycle unit (LM6000 class)</t>
        </is>
      </c>
      <c r="G4841" s="12" t="inlineStr">
        <is>
          <t>JB-SC-2-DI04</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99</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I-I-0484</t>
        </is>
      </c>
      <c r="B4842" s="12" t="inlineStr">
        <is>
          <t>I</t>
        </is>
      </c>
      <c r="C4842" s="12" t="inlineStr">
        <is>
          <t>Modular / portable power</t>
        </is>
      </c>
      <c r="D4842" s="12" t="inlineStr">
        <is>
          <t>Home run JB-SC-2-DI04 to the control / marshalling room</t>
        </is>
      </c>
      <c r="E4842" s="12" t="inlineStr"/>
      <c r="F4842" s="12" t="inlineStr">
        <is>
          <t>PCM: power control module</t>
        </is>
      </c>
      <c r="G4842" s="12" t="inlineStr">
        <is>
          <t>JB-SC-2-DI04</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HV duct bank</t>
        </is>
      </c>
      <c r="T4842" s="16" t="n">
        <v>4478</v>
      </c>
      <c r="U4842" s="16" t="n">
        <v>38</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I-I-0485</t>
        </is>
      </c>
      <c r="B4843" s="12" t="inlineStr">
        <is>
          <t>I</t>
        </is>
      </c>
      <c r="C4843" s="12" t="inlineStr">
        <is>
          <t>Modular / portable power</t>
        </is>
      </c>
      <c r="D4843" s="12" t="inlineStr">
        <is>
          <t>Discrete device to JB JB-SC-2-DI05: 20 x 1 pr (field cables)</t>
        </is>
      </c>
      <c r="E4843" s="12" t="inlineStr">
        <is>
          <t>SC-2</t>
        </is>
      </c>
      <c r="F4843" s="12" t="inlineStr">
        <is>
          <t>SC-2: aeroderivative simple-cycle unit (LM6000 class)</t>
        </is>
      </c>
      <c r="G4843" s="12" t="inlineStr">
        <is>
          <t>JB-SC-2-DI05</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6" t="n">
        <v>99</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I-I-0486</t>
        </is>
      </c>
      <c r="B4844" s="12" t="inlineStr">
        <is>
          <t>I</t>
        </is>
      </c>
      <c r="C4844" s="12" t="inlineStr">
        <is>
          <t>Modular / portable power</t>
        </is>
      </c>
      <c r="D4844" s="12" t="inlineStr">
        <is>
          <t>Home run JB-SC-2-DI05 to the control / marshalling room</t>
        </is>
      </c>
      <c r="E4844" s="12" t="inlineStr"/>
      <c r="F4844" s="12" t="inlineStr">
        <is>
          <t>PCM: power control module</t>
        </is>
      </c>
      <c r="G4844" s="12" t="inlineStr">
        <is>
          <t>JB-SC-2-DI05</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HV duct bank</t>
        </is>
      </c>
      <c r="T4844" s="16" t="n">
        <v>4478</v>
      </c>
      <c r="U4844" s="16" t="n">
        <v>38</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I-I-0487</t>
        </is>
      </c>
      <c r="B4845" s="12" t="inlineStr">
        <is>
          <t>I</t>
        </is>
      </c>
      <c r="C4845" s="12" t="inlineStr">
        <is>
          <t>Modular / portable power</t>
        </is>
      </c>
      <c r="D4845" s="12" t="inlineStr">
        <is>
          <t>Thermocouple to TC JB JB-SC-2-TC01: 20 x 1 pr (field cables)</t>
        </is>
      </c>
      <c r="E4845" s="12" t="inlineStr">
        <is>
          <t>SC-2</t>
        </is>
      </c>
      <c r="F4845" s="12" t="inlineStr">
        <is>
          <t>SC-2: aeroderivative simple-cycle unit (LM6000 class)</t>
        </is>
      </c>
      <c r="G4845" s="12" t="inlineStr">
        <is>
          <t>JB-SC-2-TC01</t>
        </is>
      </c>
      <c r="H4845" s="12" t="inlineStr">
        <is>
          <t>SC-2: aeroderivative simple-cycle unit (LM6000 class)</t>
        </is>
      </c>
      <c r="I4845" s="12" t="inlineStr">
        <is>
          <t>Instrumentation</t>
        </is>
      </c>
      <c r="J4845" s="12" t="inlineStr">
        <is>
          <t>Thermocouple extension KX, #16 shielded pairs, PLTC</t>
        </is>
      </c>
      <c r="K4845" s="12" t="inlineStr">
        <is>
          <t>TCX|1 pr|16</t>
        </is>
      </c>
      <c r="L4845" s="12" t="inlineStr">
        <is>
          <t>1 pr</t>
        </is>
      </c>
      <c r="M4845" s="12" t="inlineStr">
        <is>
          <t>16</t>
        </is>
      </c>
      <c r="N4845" s="12" t="n">
        <v>20</v>
      </c>
      <c r="O4845" s="12" t="n">
        <v>1</v>
      </c>
      <c r="P4845" s="12" t="n"/>
      <c r="Q4845" s="12" t="n"/>
      <c r="R4845" s="12" t="n"/>
      <c r="S4845" s="12" t="inlineStr">
        <is>
          <t>Tray / conduit</t>
        </is>
      </c>
      <c r="T4845" s="16" t="n">
        <v>99</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I-I-0488</t>
        </is>
      </c>
      <c r="B4846" s="12" t="inlineStr">
        <is>
          <t>I</t>
        </is>
      </c>
      <c r="C4846" s="12" t="inlineStr">
        <is>
          <t>Modular / portable power</t>
        </is>
      </c>
      <c r="D4846" s="12" t="inlineStr">
        <is>
          <t>Home run JB-SC-2-TC01 to the control / marshalling room</t>
        </is>
      </c>
      <c r="E4846" s="12" t="inlineStr"/>
      <c r="F4846" s="12" t="inlineStr">
        <is>
          <t>PCM: power control module</t>
        </is>
      </c>
      <c r="G4846" s="12" t="inlineStr">
        <is>
          <t>JB-SC-2-TC01</t>
        </is>
      </c>
      <c r="H4846" s="12" t="inlineStr">
        <is>
          <t>SC-2: aeroderivative simple-cycle unit (LM6000 class)</t>
        </is>
      </c>
      <c r="I4846" s="12" t="inlineStr">
        <is>
          <t>Instrumentation</t>
        </is>
      </c>
      <c r="J4846" s="12" t="inlineStr">
        <is>
          <t>Thermocouple extension KX, #16 shielded pairs, PLTC</t>
        </is>
      </c>
      <c r="K4846" s="12" t="inlineStr">
        <is>
          <t>TCX|24 pr|16</t>
        </is>
      </c>
      <c r="L4846" s="12" t="inlineStr">
        <is>
          <t>24 pr</t>
        </is>
      </c>
      <c r="M4846" s="12" t="inlineStr">
        <is>
          <t>16</t>
        </is>
      </c>
      <c r="N4846" s="12" t="n">
        <v>1</v>
      </c>
      <c r="O4846" s="12" t="n">
        <v>1</v>
      </c>
      <c r="P4846" s="12" t="n"/>
      <c r="Q4846" s="12" t="n"/>
      <c r="R4846" s="12" t="n"/>
      <c r="S4846" s="12" t="inlineStr">
        <is>
          <t>HV duct bank</t>
        </is>
      </c>
      <c r="T4846" s="16" t="n">
        <v>4478</v>
      </c>
      <c r="U4846" s="16" t="n">
        <v>38</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I-I-0489</t>
        </is>
      </c>
      <c r="B4847" s="12" t="inlineStr">
        <is>
          <t>I</t>
        </is>
      </c>
      <c r="C4847" s="12" t="inlineStr">
        <is>
          <t>Modular / portable power</t>
        </is>
      </c>
      <c r="D4847" s="12" t="inlineStr">
        <is>
          <t>Thermocouple to TC JB JB-SC-2-TC02: 20 x 1 pr (field cables)</t>
        </is>
      </c>
      <c r="E4847" s="12" t="inlineStr">
        <is>
          <t>SC-2</t>
        </is>
      </c>
      <c r="F4847" s="12" t="inlineStr">
        <is>
          <t>SC-2: aeroderivative simple-cycle unit (LM6000 class)</t>
        </is>
      </c>
      <c r="G4847" s="12" t="inlineStr">
        <is>
          <t>JB-SC-2-TC02</t>
        </is>
      </c>
      <c r="H4847" s="12" t="inlineStr">
        <is>
          <t>SC-2: aeroderivative simple-cycle unit (LM6000 class)</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6" t="n">
        <v>99</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I-I-0490</t>
        </is>
      </c>
      <c r="B4848" s="12" t="inlineStr">
        <is>
          <t>I</t>
        </is>
      </c>
      <c r="C4848" s="12" t="inlineStr">
        <is>
          <t>Modular / portable power</t>
        </is>
      </c>
      <c r="D4848" s="12" t="inlineStr">
        <is>
          <t>Home run JB-SC-2-TC02 to the control / marshalling room</t>
        </is>
      </c>
      <c r="E4848" s="12" t="inlineStr"/>
      <c r="F4848" s="12" t="inlineStr">
        <is>
          <t>PCM: power control module</t>
        </is>
      </c>
      <c r="G4848" s="12" t="inlineStr">
        <is>
          <t>JB-SC-2-TC02</t>
        </is>
      </c>
      <c r="H4848" s="12" t="inlineStr">
        <is>
          <t>SC-2: aeroderivative simple-cycle unit (LM6000 class)</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HV duct bank</t>
        </is>
      </c>
      <c r="T4848" s="16" t="n">
        <v>4478</v>
      </c>
      <c r="U4848" s="16" t="n">
        <v>38</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I-I-0491</t>
        </is>
      </c>
      <c r="B4849" s="12" t="inlineStr">
        <is>
          <t>I</t>
        </is>
      </c>
      <c r="C4849" s="12" t="inlineStr">
        <is>
          <t>Modular / portable power</t>
        </is>
      </c>
      <c r="D4849" s="12" t="inlineStr">
        <is>
          <t>Analog instrument to JB JB-T-MOD 230 kV take--AI01: 8 x 1 pr (field cables)</t>
        </is>
      </c>
      <c r="E4849" s="12" t="inlineStr"/>
      <c r="F4849" s="12" t="inlineStr">
        <is>
          <t>T-MOD 230 kV take-off gantry with arresters</t>
        </is>
      </c>
      <c r="G4849" s="12" t="inlineStr">
        <is>
          <t>JB-T-MOD 230 kV take--AI01</t>
        </is>
      </c>
      <c r="H4849" s="12" t="inlineStr">
        <is>
          <t>T-MOD 230 kV take-off gantry with arresters</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6" t="n">
        <v>88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I-I-0492</t>
        </is>
      </c>
      <c r="B4850" s="12" t="inlineStr">
        <is>
          <t>I</t>
        </is>
      </c>
      <c r="C4850" s="12" t="inlineStr">
        <is>
          <t>Modular / portable power</t>
        </is>
      </c>
      <c r="D4850" s="12" t="inlineStr">
        <is>
          <t>Home run JB-T-MOD 230 kV take--AI01 to the control / marshalling room</t>
        </is>
      </c>
      <c r="E4850" s="12" t="inlineStr">
        <is>
          <t>PAD-EH</t>
        </is>
      </c>
      <c r="F4850" s="12" t="inlineStr">
        <is>
          <t>PAD-EH 13.8 kV switchgear e-house</t>
        </is>
      </c>
      <c r="G4850" s="12" t="inlineStr">
        <is>
          <t>JB-T-MOD 230 kV take--AI01</t>
        </is>
      </c>
      <c r="H4850" s="12" t="inlineStr">
        <is>
          <t>T-MOD 230 kV take-off gantry with arresters</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HV duct bank</t>
        </is>
      </c>
      <c r="T4850" s="16" t="n">
        <v>2426</v>
      </c>
      <c r="U4850" s="16" t="n">
        <v>141</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I-I-0493</t>
        </is>
      </c>
      <c r="B4851" s="12" t="inlineStr">
        <is>
          <t>I</t>
        </is>
      </c>
      <c r="C4851" s="12" t="inlineStr">
        <is>
          <t>Modular / portable power</t>
        </is>
      </c>
      <c r="D4851" s="12" t="inlineStr">
        <is>
          <t>Discrete device to JB JB-T-MOD 230 kV take--DI01: 16 x 1 pr (field cables)</t>
        </is>
      </c>
      <c r="E4851" s="12" t="inlineStr"/>
      <c r="F4851" s="12" t="inlineStr">
        <is>
          <t>T-MOD 230 kV take-off gantry with arresters</t>
        </is>
      </c>
      <c r="G4851" s="12" t="inlineStr">
        <is>
          <t>JB-T-MOD 230 kV take--DI01</t>
        </is>
      </c>
      <c r="H4851" s="12" t="inlineStr">
        <is>
          <t>T-MOD 230 kV take-off gantry with arresters</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16</v>
      </c>
      <c r="O4851" s="12" t="n">
        <v>1</v>
      </c>
      <c r="P4851" s="12" t="n"/>
      <c r="Q4851" s="12" t="n"/>
      <c r="R4851" s="12" t="n"/>
      <c r="S4851" s="12" t="inlineStr">
        <is>
          <t>Tray / conduit</t>
        </is>
      </c>
      <c r="T4851" s="16" t="n">
        <v>88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I-I-0494</t>
        </is>
      </c>
      <c r="B4852" s="12" t="inlineStr">
        <is>
          <t>I</t>
        </is>
      </c>
      <c r="C4852" s="12" t="inlineStr">
        <is>
          <t>Modular / portable power</t>
        </is>
      </c>
      <c r="D4852" s="12" t="inlineStr">
        <is>
          <t>Home run JB-T-MOD 230 kV take--DI01 to the control / marshalling room</t>
        </is>
      </c>
      <c r="E4852" s="12" t="inlineStr">
        <is>
          <t>PAD-EH</t>
        </is>
      </c>
      <c r="F4852" s="12" t="inlineStr">
        <is>
          <t>PAD-EH 13.8 kV switchgear e-house</t>
        </is>
      </c>
      <c r="G4852" s="12" t="inlineStr">
        <is>
          <t>JB-T-MOD 230 kV take--DI01</t>
        </is>
      </c>
      <c r="H4852" s="12" t="inlineStr">
        <is>
          <t>T-MOD 230 kV take-off gantry with arresters</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HV duct bank</t>
        </is>
      </c>
      <c r="T4852" s="16" t="n">
        <v>2426</v>
      </c>
      <c r="U4852" s="16" t="n">
        <v>141</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I-I-0495</t>
        </is>
      </c>
      <c r="B4853" s="12" t="inlineStr">
        <is>
          <t>I</t>
        </is>
      </c>
      <c r="C4853" s="12" t="inlineStr">
        <is>
          <t>Modular / portable power</t>
        </is>
      </c>
      <c r="D4853" s="12" t="inlineStr">
        <is>
          <t>Analog instrument to JB JB-T-MOD-1 / T-MOD-2 -AI01: 8 x 1 pr (field cables)</t>
        </is>
      </c>
      <c r="E4853" s="12" t="inlineStr"/>
      <c r="F4853" s="12" t="inlineStr">
        <is>
          <t>T-MOD-1 / T-MOD-2 firewall</t>
        </is>
      </c>
      <c r="G4853" s="12" t="inlineStr">
        <is>
          <t>JB-T-MOD-1 / T-MOD-2 -AI01</t>
        </is>
      </c>
      <c r="H4853" s="12" t="inlineStr">
        <is>
          <t>T-MOD-1 / T-MOD-2 firewall</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6" t="n">
        <v>64</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I-I-0496</t>
        </is>
      </c>
      <c r="B4854" s="12" t="inlineStr">
        <is>
          <t>I</t>
        </is>
      </c>
      <c r="C4854" s="12" t="inlineStr">
        <is>
          <t>Modular / portable power</t>
        </is>
      </c>
      <c r="D4854" s="12" t="inlineStr">
        <is>
          <t>Home run JB-T-MOD-1 / T-MOD-2 -AI01 to the control / marshalling room</t>
        </is>
      </c>
      <c r="E4854" s="12" t="inlineStr"/>
      <c r="F4854" s="12" t="inlineStr">
        <is>
          <t>PCM: power control module</t>
        </is>
      </c>
      <c r="G4854" s="12" t="inlineStr">
        <is>
          <t>JB-T-MOD-1 / T-MOD-2 -AI01</t>
        </is>
      </c>
      <c r="H4854" s="12" t="inlineStr">
        <is>
          <t>T-MOD-1 / T-MOD-2 firewall</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415</v>
      </c>
      <c r="U4854" s="16" t="n">
        <v>130</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I-I-0497</t>
        </is>
      </c>
      <c r="B4855" s="12" t="inlineStr">
        <is>
          <t>I</t>
        </is>
      </c>
      <c r="C4855" s="12" t="inlineStr">
        <is>
          <t>Modular / portable power</t>
        </is>
      </c>
      <c r="D4855" s="12" t="inlineStr">
        <is>
          <t>Discrete device to JB JB-T-MOD-1 / T-MOD-2 -DI01: 16 x 1 pr (field cables)</t>
        </is>
      </c>
      <c r="E4855" s="12" t="inlineStr"/>
      <c r="F4855" s="12" t="inlineStr">
        <is>
          <t>T-MOD-1 / T-MOD-2 firewall</t>
        </is>
      </c>
      <c r="G4855" s="12" t="inlineStr">
        <is>
          <t>JB-T-MOD-1 / T-MOD-2 -DI01</t>
        </is>
      </c>
      <c r="H4855" s="12" t="inlineStr">
        <is>
          <t>T-MOD-1 / T-MOD-2 firewall</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6" t="n">
        <v>64</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I-I-0498</t>
        </is>
      </c>
      <c r="B4856" s="12" t="inlineStr">
        <is>
          <t>I</t>
        </is>
      </c>
      <c r="C4856" s="12" t="inlineStr">
        <is>
          <t>Modular / portable power</t>
        </is>
      </c>
      <c r="D4856" s="12" t="inlineStr">
        <is>
          <t>Home run JB-T-MOD-1 / T-MOD-2 -DI01 to the control / marshalling room</t>
        </is>
      </c>
      <c r="E4856" s="12" t="inlineStr"/>
      <c r="F4856" s="12" t="inlineStr">
        <is>
          <t>PCM: power control module</t>
        </is>
      </c>
      <c r="G4856" s="12" t="inlineStr">
        <is>
          <t>JB-T-MOD-1 / T-MOD-2 -DI01</t>
        </is>
      </c>
      <c r="H4856" s="12" t="inlineStr">
        <is>
          <t>T-MOD-1 / T-MOD-2 firewall</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415</v>
      </c>
      <c r="U4856" s="16" t="n">
        <v>130</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I-I-0499</t>
        </is>
      </c>
      <c r="B4857" s="12" t="inlineStr">
        <is>
          <t>I</t>
        </is>
      </c>
      <c r="C4857" s="12" t="inlineStr">
        <is>
          <t>Modular / portable power</t>
        </is>
      </c>
      <c r="D4857" s="12" t="inlineStr">
        <is>
          <t>Analog instrument to JB JB-T-MOD-1-AI01: 8 x 1 pr (field cables)</t>
        </is>
      </c>
      <c r="E4857" s="12" t="inlineStr">
        <is>
          <t>T-MOD-1</t>
        </is>
      </c>
      <c r="F4857" s="12" t="inlineStr">
        <is>
          <t>T-MOD-1: 13.8/230 kV</t>
        </is>
      </c>
      <c r="G4857" s="12" t="inlineStr">
        <is>
          <t>JB-T-MOD-1-AI01</t>
        </is>
      </c>
      <c r="H4857" s="12" t="inlineStr">
        <is>
          <t>T-MOD-1: 13.8/230 kV</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77</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I-I-0500</t>
        </is>
      </c>
      <c r="B4858" s="12" t="inlineStr">
        <is>
          <t>I</t>
        </is>
      </c>
      <c r="C4858" s="12" t="inlineStr">
        <is>
          <t>Modular / portable power</t>
        </is>
      </c>
      <c r="D4858" s="12" t="inlineStr">
        <is>
          <t>Home run JB-T-MOD-1-AI01 to the control / marshalling room</t>
        </is>
      </c>
      <c r="E4858" s="12" t="inlineStr"/>
      <c r="F4858" s="12" t="inlineStr">
        <is>
          <t>PCM: power control module</t>
        </is>
      </c>
      <c r="G4858" s="12" t="inlineStr">
        <is>
          <t>JB-T-MOD-1-AI01</t>
        </is>
      </c>
      <c r="H4858" s="12" t="inlineStr">
        <is>
          <t>T-MOD-1: 13.8/230 kV</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415</v>
      </c>
      <c r="U4858" s="16" t="n">
        <v>82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I-I-0501</t>
        </is>
      </c>
      <c r="B4859" s="12" t="inlineStr">
        <is>
          <t>I</t>
        </is>
      </c>
      <c r="C4859" s="12" t="inlineStr">
        <is>
          <t>Modular / portable power</t>
        </is>
      </c>
      <c r="D4859" s="12" t="inlineStr">
        <is>
          <t>Discrete device to JB JB-T-MOD-1-DI01: 16 x 1 pr (field cables)</t>
        </is>
      </c>
      <c r="E4859" s="12" t="inlineStr">
        <is>
          <t>T-MOD-1</t>
        </is>
      </c>
      <c r="F4859" s="12" t="inlineStr">
        <is>
          <t>T-MOD-1: 13.8/230 kV</t>
        </is>
      </c>
      <c r="G4859" s="12" t="inlineStr">
        <is>
          <t>JB-T-MOD-1-DI01</t>
        </is>
      </c>
      <c r="H4859" s="12" t="inlineStr">
        <is>
          <t>T-MOD-1: 13.8/230 kV</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6" t="n">
        <v>77</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I-I-0502</t>
        </is>
      </c>
      <c r="B4860" s="12" t="inlineStr">
        <is>
          <t>I</t>
        </is>
      </c>
      <c r="C4860" s="12" t="inlineStr">
        <is>
          <t>Modular / portable power</t>
        </is>
      </c>
      <c r="D4860" s="12" t="inlineStr">
        <is>
          <t>Home run JB-T-MOD-1-DI01 to the control / marshalling room</t>
        </is>
      </c>
      <c r="E4860" s="12" t="inlineStr"/>
      <c r="F4860" s="12" t="inlineStr">
        <is>
          <t>PCM: power control module</t>
        </is>
      </c>
      <c r="G4860" s="12" t="inlineStr">
        <is>
          <t>JB-T-MOD-1-DI01</t>
        </is>
      </c>
      <c r="H4860" s="12" t="inlineStr">
        <is>
          <t>T-MOD-1: 13.8/230 kV</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415</v>
      </c>
      <c r="U4860" s="16" t="n">
        <v>82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I-I-0503</t>
        </is>
      </c>
      <c r="B4861" s="12" t="inlineStr">
        <is>
          <t>I</t>
        </is>
      </c>
      <c r="C4861" s="12" t="inlineStr">
        <is>
          <t>Modular / portable power</t>
        </is>
      </c>
      <c r="D4861" s="12" t="inlineStr">
        <is>
          <t>Analog instrument to JB JB-T-MOD-2-AI01: 8 x 1 pr (field cables)</t>
        </is>
      </c>
      <c r="E4861" s="12" t="inlineStr">
        <is>
          <t>T-MOD-2</t>
        </is>
      </c>
      <c r="F4861" s="12" t="inlineStr">
        <is>
          <t>T-MOD-2: 13.8/230 kV</t>
        </is>
      </c>
      <c r="G4861" s="12" t="inlineStr">
        <is>
          <t>JB-T-MOD-2-AI01</t>
        </is>
      </c>
      <c r="H4861" s="12" t="inlineStr">
        <is>
          <t>T-MOD-2: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6" t="n">
        <v>77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I-I-0504</t>
        </is>
      </c>
      <c r="B4862" s="12" t="inlineStr">
        <is>
          <t>I</t>
        </is>
      </c>
      <c r="C4862" s="12" t="inlineStr">
        <is>
          <t>Modular / portable power</t>
        </is>
      </c>
      <c r="D4862" s="12" t="inlineStr">
        <is>
          <t>Home run JB-T-MOD-2-AI01 to the control / marshalling room</t>
        </is>
      </c>
      <c r="E4862" s="12" t="inlineStr"/>
      <c r="F4862" s="12" t="inlineStr">
        <is>
          <t>PCM: power control module</t>
        </is>
      </c>
      <c r="G4862" s="12" t="inlineStr">
        <is>
          <t>JB-T-MOD-2-AI01</t>
        </is>
      </c>
      <c r="H4862" s="12" t="inlineStr">
        <is>
          <t>T-MOD-2: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6" t="n">
        <v>799</v>
      </c>
      <c r="U4862" s="16" t="n">
        <v>191</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I-I-0505</t>
        </is>
      </c>
      <c r="B4863" s="12" t="inlineStr">
        <is>
          <t>I</t>
        </is>
      </c>
      <c r="C4863" s="12" t="inlineStr">
        <is>
          <t>Modular / portable power</t>
        </is>
      </c>
      <c r="D4863" s="12" t="inlineStr">
        <is>
          <t>Discrete device to JB JB-T-MOD-2-DI01: 16 x 1 pr (field cables)</t>
        </is>
      </c>
      <c r="E4863" s="12" t="inlineStr">
        <is>
          <t>T-MOD-2</t>
        </is>
      </c>
      <c r="F4863" s="12" t="inlineStr">
        <is>
          <t>T-MOD-2: 13.8/230 kV</t>
        </is>
      </c>
      <c r="G4863" s="12" t="inlineStr">
        <is>
          <t>JB-T-MOD-2-DI01</t>
        </is>
      </c>
      <c r="H4863" s="12" t="inlineStr">
        <is>
          <t>T-MOD-2: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6" t="n">
        <v>77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I-I-0506</t>
        </is>
      </c>
      <c r="B4864" s="12" t="inlineStr">
        <is>
          <t>I</t>
        </is>
      </c>
      <c r="C4864" s="12" t="inlineStr">
        <is>
          <t>Modular / portable power</t>
        </is>
      </c>
      <c r="D4864" s="12" t="inlineStr">
        <is>
          <t>Home run JB-T-MOD-2-DI01 to the control / marshalling room</t>
        </is>
      </c>
      <c r="E4864" s="12" t="inlineStr"/>
      <c r="F4864" s="12" t="inlineStr">
        <is>
          <t>PCM: power control module</t>
        </is>
      </c>
      <c r="G4864" s="12" t="inlineStr">
        <is>
          <t>JB-T-MOD-2-DI01</t>
        </is>
      </c>
      <c r="H4864" s="12" t="inlineStr">
        <is>
          <t>T-MOD-2: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6" t="n">
        <v>799</v>
      </c>
      <c r="U4864" s="16" t="n">
        <v>191</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I-I-0507</t>
        </is>
      </c>
      <c r="B4865" s="12" t="inlineStr">
        <is>
          <t>I</t>
        </is>
      </c>
      <c r="C4865" s="12" t="inlineStr">
        <is>
          <t>Modular / portable power</t>
        </is>
      </c>
      <c r="D4865" s="12" t="inlineStr">
        <is>
          <t>Analog instrument to JB JB-TM-1-AI01: 20 x 1 pr (field cables)</t>
        </is>
      </c>
      <c r="E4865" s="12" t="inlineStr">
        <is>
          <t>TM-1</t>
        </is>
      </c>
      <c r="F4865" s="12" t="inlineStr">
        <is>
          <t>TM-1: trailer-mounted aeroderivative GT (TM2500 class, ~35 MW)</t>
        </is>
      </c>
      <c r="G4865" s="12" t="inlineStr">
        <is>
          <t>JB-TM-1-AI01</t>
        </is>
      </c>
      <c r="H4865" s="12" t="inlineStr">
        <is>
          <t>TM-1: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6" t="n">
        <v>108</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I-I-0508</t>
        </is>
      </c>
      <c r="B4866" s="12" t="inlineStr">
        <is>
          <t>I</t>
        </is>
      </c>
      <c r="C4866" s="12" t="inlineStr">
        <is>
          <t>Modular / portable power</t>
        </is>
      </c>
      <c r="D4866" s="12" t="inlineStr">
        <is>
          <t>Home run JB-TM-1-AI01 to the control / marshalling room</t>
        </is>
      </c>
      <c r="E4866" s="12" t="inlineStr">
        <is>
          <t>PAD-EH</t>
        </is>
      </c>
      <c r="F4866" s="12" t="inlineStr">
        <is>
          <t>PAD-EH 13.8 kV switchgear e-house</t>
        </is>
      </c>
      <c r="G4866" s="12" t="inlineStr">
        <is>
          <t>JB-TM-1-AI01</t>
        </is>
      </c>
      <c r="H4866" s="12" t="inlineStr">
        <is>
          <t>TM-1: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6" t="n">
        <v>382</v>
      </c>
      <c r="U4866" s="16" t="n">
        <v>50</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I-I-0509</t>
        </is>
      </c>
      <c r="B4867" s="12" t="inlineStr">
        <is>
          <t>I</t>
        </is>
      </c>
      <c r="C4867" s="12" t="inlineStr">
        <is>
          <t>Modular / portable power</t>
        </is>
      </c>
      <c r="D4867" s="12" t="inlineStr">
        <is>
          <t>Analog instrument to JB JB-TM-1-AI02: 20 x 1 pr (field cables)</t>
        </is>
      </c>
      <c r="E4867" s="12" t="inlineStr">
        <is>
          <t>TM-1</t>
        </is>
      </c>
      <c r="F4867" s="12" t="inlineStr">
        <is>
          <t>TM-1: trailer-mounted aeroderivative GT (TM2500 class, ~35 MW)</t>
        </is>
      </c>
      <c r="G4867" s="12" t="inlineStr">
        <is>
          <t>JB-TM-1-AI02</t>
        </is>
      </c>
      <c r="H4867" s="12" t="inlineStr">
        <is>
          <t>TM-1: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108</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I-I-0510</t>
        </is>
      </c>
      <c r="B4868" s="12" t="inlineStr">
        <is>
          <t>I</t>
        </is>
      </c>
      <c r="C4868" s="12" t="inlineStr">
        <is>
          <t>Modular / portable power</t>
        </is>
      </c>
      <c r="D4868" s="12" t="inlineStr">
        <is>
          <t>Home run JB-TM-1-AI02 to the control / marshalling room</t>
        </is>
      </c>
      <c r="E4868" s="12" t="inlineStr">
        <is>
          <t>PAD-EH</t>
        </is>
      </c>
      <c r="F4868" s="12" t="inlineStr">
        <is>
          <t>PAD-EH 13.8 kV switchgear e-house</t>
        </is>
      </c>
      <c r="G4868" s="12" t="inlineStr">
        <is>
          <t>JB-TM-1-AI02</t>
        </is>
      </c>
      <c r="H4868" s="12" t="inlineStr">
        <is>
          <t>TM-1: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6" t="n">
        <v>382</v>
      </c>
      <c r="U4868" s="16" t="n">
        <v>50</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I-I-0511</t>
        </is>
      </c>
      <c r="B4869" s="12" t="inlineStr">
        <is>
          <t>I</t>
        </is>
      </c>
      <c r="C4869" s="12" t="inlineStr">
        <is>
          <t>Modular / portable power</t>
        </is>
      </c>
      <c r="D4869" s="12" t="inlineStr">
        <is>
          <t>Analog instrument to JB JB-TM-1-AI03: 20 x 1 pr (field cables)</t>
        </is>
      </c>
      <c r="E4869" s="12" t="inlineStr">
        <is>
          <t>TM-1</t>
        </is>
      </c>
      <c r="F4869" s="12" t="inlineStr">
        <is>
          <t>TM-1: trailer-mounted aeroderivative GT (TM2500 class, ~35 MW)</t>
        </is>
      </c>
      <c r="G4869" s="12" t="inlineStr">
        <is>
          <t>JB-TM-1-AI03</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108</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I-I-0512</t>
        </is>
      </c>
      <c r="B4870" s="12" t="inlineStr">
        <is>
          <t>I</t>
        </is>
      </c>
      <c r="C4870" s="12" t="inlineStr">
        <is>
          <t>Modular / portable power</t>
        </is>
      </c>
      <c r="D4870" s="12" t="inlineStr">
        <is>
          <t>Home run JB-TM-1-AI03 to the control / marshalling room</t>
        </is>
      </c>
      <c r="E4870" s="12" t="inlineStr">
        <is>
          <t>PAD-EH</t>
        </is>
      </c>
      <c r="F4870" s="12" t="inlineStr">
        <is>
          <t>PAD-EH 13.8 kV switchgear e-house</t>
        </is>
      </c>
      <c r="G4870" s="12" t="inlineStr">
        <is>
          <t>JB-TM-1-AI03</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6" t="n">
        <v>382</v>
      </c>
      <c r="U4870" s="16" t="n">
        <v>50</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I-I-0513</t>
        </is>
      </c>
      <c r="B4871" s="12" t="inlineStr">
        <is>
          <t>I</t>
        </is>
      </c>
      <c r="C4871" s="12" t="inlineStr">
        <is>
          <t>Modular / portable power</t>
        </is>
      </c>
      <c r="D4871" s="12" t="inlineStr">
        <is>
          <t>Analog instrument to JB JB-TM-1-AI04: 20 x 1 pr (field cables)</t>
        </is>
      </c>
      <c r="E4871" s="12" t="inlineStr">
        <is>
          <t>TM-1</t>
        </is>
      </c>
      <c r="F4871" s="12" t="inlineStr">
        <is>
          <t>TM-1: trailer-mounted aeroderivative GT (TM2500 class, ~35 MW)</t>
        </is>
      </c>
      <c r="G4871" s="12" t="inlineStr">
        <is>
          <t>JB-TM-1-AI04</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108</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I-I-0514</t>
        </is>
      </c>
      <c r="B4872" s="12" t="inlineStr">
        <is>
          <t>I</t>
        </is>
      </c>
      <c r="C4872" s="12" t="inlineStr">
        <is>
          <t>Modular / portable power</t>
        </is>
      </c>
      <c r="D4872" s="12" t="inlineStr">
        <is>
          <t>Home run JB-TM-1-AI04 to the control / marshalling room</t>
        </is>
      </c>
      <c r="E4872" s="12" t="inlineStr">
        <is>
          <t>PAD-EH</t>
        </is>
      </c>
      <c r="F4872" s="12" t="inlineStr">
        <is>
          <t>PAD-EH 13.8 kV switchgear e-house</t>
        </is>
      </c>
      <c r="G4872" s="12" t="inlineStr">
        <is>
          <t>JB-TM-1-AI04</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6" t="n">
        <v>382</v>
      </c>
      <c r="U4872" s="16" t="n">
        <v>50</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I-I-0515</t>
        </is>
      </c>
      <c r="B4873" s="12" t="inlineStr">
        <is>
          <t>I</t>
        </is>
      </c>
      <c r="C4873" s="12" t="inlineStr">
        <is>
          <t>Modular / portable power</t>
        </is>
      </c>
      <c r="D4873" s="12" t="inlineStr">
        <is>
          <t>Analog instrument to JB JB-TM-1-AI05: 20 x 1 pr (field cables)</t>
        </is>
      </c>
      <c r="E4873" s="12" t="inlineStr">
        <is>
          <t>TM-1</t>
        </is>
      </c>
      <c r="F4873" s="12" t="inlineStr">
        <is>
          <t>TM-1: trailer-mounted aeroderivative GT (TM2500 class, ~35 MW)</t>
        </is>
      </c>
      <c r="G4873" s="12" t="inlineStr">
        <is>
          <t>JB-TM-1-AI05</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108</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I-I-0516</t>
        </is>
      </c>
      <c r="B4874" s="12" t="inlineStr">
        <is>
          <t>I</t>
        </is>
      </c>
      <c r="C4874" s="12" t="inlineStr">
        <is>
          <t>Modular / portable power</t>
        </is>
      </c>
      <c r="D4874" s="12" t="inlineStr">
        <is>
          <t>Home run JB-TM-1-AI05 to the control / marshalling room</t>
        </is>
      </c>
      <c r="E4874" s="12" t="inlineStr">
        <is>
          <t>PAD-EH</t>
        </is>
      </c>
      <c r="F4874" s="12" t="inlineStr">
        <is>
          <t>PAD-EH 13.8 kV switchgear e-house</t>
        </is>
      </c>
      <c r="G4874" s="12" t="inlineStr">
        <is>
          <t>JB-TM-1-AI05</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6" t="n">
        <v>382</v>
      </c>
      <c r="U4874" s="16" t="n">
        <v>50</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I-I-0517</t>
        </is>
      </c>
      <c r="B4875" s="12" t="inlineStr">
        <is>
          <t>I</t>
        </is>
      </c>
      <c r="C4875" s="12" t="inlineStr">
        <is>
          <t>Modular / portable power</t>
        </is>
      </c>
      <c r="D4875" s="12" t="inlineStr">
        <is>
          <t>Discrete device to JB JB-TM-1-DI01: 20 x 1 pr (field cables)</t>
        </is>
      </c>
      <c r="E4875" s="12" t="inlineStr">
        <is>
          <t>TM-1</t>
        </is>
      </c>
      <c r="F4875" s="12" t="inlineStr">
        <is>
          <t>TM-1: trailer-mounted aeroderivative GT (TM2500 class, ~35 MW)</t>
        </is>
      </c>
      <c r="G4875" s="12" t="inlineStr">
        <is>
          <t>JB-TM-1-DI01</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108</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I-I-0518</t>
        </is>
      </c>
      <c r="B4876" s="12" t="inlineStr">
        <is>
          <t>I</t>
        </is>
      </c>
      <c r="C4876" s="12" t="inlineStr">
        <is>
          <t>Modular / portable power</t>
        </is>
      </c>
      <c r="D4876" s="12" t="inlineStr">
        <is>
          <t>Home run JB-TM-1-DI01 to the control / marshalling room</t>
        </is>
      </c>
      <c r="E4876" s="12" t="inlineStr">
        <is>
          <t>PAD-EH</t>
        </is>
      </c>
      <c r="F4876" s="12" t="inlineStr">
        <is>
          <t>PAD-EH 13.8 kV switchgear e-house</t>
        </is>
      </c>
      <c r="G4876" s="12" t="inlineStr">
        <is>
          <t>JB-TM-1-DI01</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6" t="n">
        <v>382</v>
      </c>
      <c r="U4876" s="16" t="n">
        <v>50</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I-I-0519</t>
        </is>
      </c>
      <c r="B4877" s="12" t="inlineStr">
        <is>
          <t>I</t>
        </is>
      </c>
      <c r="C4877" s="12" t="inlineStr">
        <is>
          <t>Modular / portable power</t>
        </is>
      </c>
      <c r="D4877" s="12" t="inlineStr">
        <is>
          <t>Discrete device to JB JB-TM-1-DI02: 20 x 1 pr (field cables)</t>
        </is>
      </c>
      <c r="E4877" s="12" t="inlineStr">
        <is>
          <t>TM-1</t>
        </is>
      </c>
      <c r="F4877" s="12" t="inlineStr">
        <is>
          <t>TM-1: trailer-mounted aeroderivative GT (TM2500 class, ~35 MW)</t>
        </is>
      </c>
      <c r="G4877" s="12" t="inlineStr">
        <is>
          <t>JB-TM-1-DI02</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108</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I-I-0520</t>
        </is>
      </c>
      <c r="B4878" s="12" t="inlineStr">
        <is>
          <t>I</t>
        </is>
      </c>
      <c r="C4878" s="12" t="inlineStr">
        <is>
          <t>Modular / portable power</t>
        </is>
      </c>
      <c r="D4878" s="12" t="inlineStr">
        <is>
          <t>Home run JB-TM-1-DI02 to the control / marshalling room</t>
        </is>
      </c>
      <c r="E4878" s="12" t="inlineStr">
        <is>
          <t>PAD-EH</t>
        </is>
      </c>
      <c r="F4878" s="12" t="inlineStr">
        <is>
          <t>PAD-EH 13.8 kV switchgear e-house</t>
        </is>
      </c>
      <c r="G4878" s="12" t="inlineStr">
        <is>
          <t>JB-TM-1-DI02</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6" t="n">
        <v>382</v>
      </c>
      <c r="U4878" s="16" t="n">
        <v>50</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I-I-0521</t>
        </is>
      </c>
      <c r="B4879" s="12" t="inlineStr">
        <is>
          <t>I</t>
        </is>
      </c>
      <c r="C4879" s="12" t="inlineStr">
        <is>
          <t>Modular / portable power</t>
        </is>
      </c>
      <c r="D4879" s="12" t="inlineStr">
        <is>
          <t>Discrete device to JB JB-TM-1-DI03: 20 x 1 pr (field cables)</t>
        </is>
      </c>
      <c r="E4879" s="12" t="inlineStr">
        <is>
          <t>TM-1</t>
        </is>
      </c>
      <c r="F4879" s="12" t="inlineStr">
        <is>
          <t>TM-1: trailer-mounted aeroderivative GT (TM2500 class, ~35 MW)</t>
        </is>
      </c>
      <c r="G4879" s="12" t="inlineStr">
        <is>
          <t>JB-TM-1-DI03</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108</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I-I-0522</t>
        </is>
      </c>
      <c r="B4880" s="12" t="inlineStr">
        <is>
          <t>I</t>
        </is>
      </c>
      <c r="C4880" s="12" t="inlineStr">
        <is>
          <t>Modular / portable power</t>
        </is>
      </c>
      <c r="D4880" s="12" t="inlineStr">
        <is>
          <t>Home run JB-TM-1-DI03 to the control / marshalling room</t>
        </is>
      </c>
      <c r="E4880" s="12" t="inlineStr">
        <is>
          <t>PAD-EH</t>
        </is>
      </c>
      <c r="F4880" s="12" t="inlineStr">
        <is>
          <t>PAD-EH 13.8 kV switchgear e-house</t>
        </is>
      </c>
      <c r="G4880" s="12" t="inlineStr">
        <is>
          <t>JB-TM-1-DI03</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6" t="n">
        <v>382</v>
      </c>
      <c r="U4880" s="16" t="n">
        <v>50</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I-I-0523</t>
        </is>
      </c>
      <c r="B4881" s="12" t="inlineStr">
        <is>
          <t>I</t>
        </is>
      </c>
      <c r="C4881" s="12" t="inlineStr">
        <is>
          <t>Modular / portable power</t>
        </is>
      </c>
      <c r="D4881" s="12" t="inlineStr">
        <is>
          <t>Thermocouple to TC JB JB-TM-1-TC01: 20 x 1 pr (field cables)</t>
        </is>
      </c>
      <c r="E4881" s="12" t="inlineStr">
        <is>
          <t>TM-1</t>
        </is>
      </c>
      <c r="F4881" s="12" t="inlineStr">
        <is>
          <t>TM-1: trailer-mounted aeroderivative GT (TM2500 class, ~35 MW)</t>
        </is>
      </c>
      <c r="G4881" s="12" t="inlineStr">
        <is>
          <t>JB-TM-1-TC01</t>
        </is>
      </c>
      <c r="H4881" s="12" t="inlineStr">
        <is>
          <t>TM-1: trailer-mounted aeroderivative GT (TM2500 class, ~35 MW)</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6" t="n">
        <v>108</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I-I-0524</t>
        </is>
      </c>
      <c r="B4882" s="12" t="inlineStr">
        <is>
          <t>I</t>
        </is>
      </c>
      <c r="C4882" s="12" t="inlineStr">
        <is>
          <t>Modular / portable power</t>
        </is>
      </c>
      <c r="D4882" s="12" t="inlineStr">
        <is>
          <t>Home run JB-TM-1-TC01 to the control / marshalling room</t>
        </is>
      </c>
      <c r="E4882" s="12" t="inlineStr">
        <is>
          <t>PAD-EH</t>
        </is>
      </c>
      <c r="F4882" s="12" t="inlineStr">
        <is>
          <t>PAD-EH 13.8 kV switchgear e-house</t>
        </is>
      </c>
      <c r="G4882" s="12" t="inlineStr">
        <is>
          <t>JB-TM-1-TC01</t>
        </is>
      </c>
      <c r="H4882" s="12" t="inlineStr">
        <is>
          <t>TM-1: trailer-mounted aeroderivative GT (TM2500 class, ~35 MW)</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Surface</t>
        </is>
      </c>
      <c r="T4882" s="16" t="n">
        <v>382</v>
      </c>
      <c r="U4882" s="16" t="n">
        <v>50</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I-I-0525</t>
        </is>
      </c>
      <c r="B4883" s="12" t="inlineStr">
        <is>
          <t>I</t>
        </is>
      </c>
      <c r="C4883" s="12" t="inlineStr">
        <is>
          <t>Modular / portable power</t>
        </is>
      </c>
      <c r="D4883" s="12" t="inlineStr">
        <is>
          <t>Analog instrument to JB JB-TM-2-AI01: 20 x 1 pr (field cables)</t>
        </is>
      </c>
      <c r="E4883" s="12" t="inlineStr">
        <is>
          <t>TM-2</t>
        </is>
      </c>
      <c r="F4883" s="12" t="inlineStr">
        <is>
          <t>TM-2: trailer-mounted aeroderivative GT (TM2500 class, ~35 MW)</t>
        </is>
      </c>
      <c r="G4883" s="12" t="inlineStr">
        <is>
          <t>JB-TM-2-AI01</t>
        </is>
      </c>
      <c r="H4883" s="12" t="inlineStr">
        <is>
          <t>TM-2: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108</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I-I-0526</t>
        </is>
      </c>
      <c r="B4884" s="12" t="inlineStr">
        <is>
          <t>I</t>
        </is>
      </c>
      <c r="C4884" s="12" t="inlineStr">
        <is>
          <t>Modular / portable power</t>
        </is>
      </c>
      <c r="D4884" s="12" t="inlineStr">
        <is>
          <t>Home run JB-TM-2-AI01 to the control / marshalling room</t>
        </is>
      </c>
      <c r="E4884" s="12" t="inlineStr">
        <is>
          <t>PAD-EH</t>
        </is>
      </c>
      <c r="F4884" s="12" t="inlineStr">
        <is>
          <t>PAD-EH 13.8 kV switchgear e-house</t>
        </is>
      </c>
      <c r="G4884" s="12" t="inlineStr">
        <is>
          <t>JB-TM-2-AI01</t>
        </is>
      </c>
      <c r="H4884" s="12" t="inlineStr">
        <is>
          <t>TM-2: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6" t="n">
        <v>386</v>
      </c>
      <c r="U4884" s="16" t="n">
        <v>52</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I-I-0527</t>
        </is>
      </c>
      <c r="B4885" s="12" t="inlineStr">
        <is>
          <t>I</t>
        </is>
      </c>
      <c r="C4885" s="12" t="inlineStr">
        <is>
          <t>Modular / portable power</t>
        </is>
      </c>
      <c r="D4885" s="12" t="inlineStr">
        <is>
          <t>Analog instrument to JB JB-TM-2-AI02: 20 x 1 pr (field cables)</t>
        </is>
      </c>
      <c r="E4885" s="12" t="inlineStr">
        <is>
          <t>TM-2</t>
        </is>
      </c>
      <c r="F4885" s="12" t="inlineStr">
        <is>
          <t>TM-2: trailer-mounted aeroderivative GT (TM2500 class, ~35 MW)</t>
        </is>
      </c>
      <c r="G4885" s="12" t="inlineStr">
        <is>
          <t>JB-TM-2-AI02</t>
        </is>
      </c>
      <c r="H4885" s="12" t="inlineStr">
        <is>
          <t>TM-2: trailer-mounted aeroderivative GT (TM2500 class, ~35 MW)</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108</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I-I-0528</t>
        </is>
      </c>
      <c r="B4886" s="12" t="inlineStr">
        <is>
          <t>I</t>
        </is>
      </c>
      <c r="C4886" s="12" t="inlineStr">
        <is>
          <t>Modular / portable power</t>
        </is>
      </c>
      <c r="D4886" s="12" t="inlineStr">
        <is>
          <t>Home run JB-TM-2-AI02 to the control / marshalling room</t>
        </is>
      </c>
      <c r="E4886" s="12" t="inlineStr">
        <is>
          <t>PAD-EH</t>
        </is>
      </c>
      <c r="F4886" s="12" t="inlineStr">
        <is>
          <t>PAD-EH 13.8 kV switchgear e-house</t>
        </is>
      </c>
      <c r="G4886" s="12" t="inlineStr">
        <is>
          <t>JB-TM-2-AI02</t>
        </is>
      </c>
      <c r="H4886" s="12" t="inlineStr">
        <is>
          <t>TM-2: trailer-mounted aeroderivative GT (TM2500 class, ~35 MW)</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Surface</t>
        </is>
      </c>
      <c r="T4886" s="16" t="n">
        <v>386</v>
      </c>
      <c r="U4886" s="16" t="n">
        <v>52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I-I-0529</t>
        </is>
      </c>
      <c r="B4887" s="12" t="inlineStr">
        <is>
          <t>I</t>
        </is>
      </c>
      <c r="C4887" s="12" t="inlineStr">
        <is>
          <t>Modular / portable power</t>
        </is>
      </c>
      <c r="D4887" s="12" t="inlineStr">
        <is>
          <t>Analog instrument to JB JB-TM-2-AI03: 20 x 1 pr (field cables)</t>
        </is>
      </c>
      <c r="E4887" s="12" t="inlineStr">
        <is>
          <t>TM-2</t>
        </is>
      </c>
      <c r="F4887" s="12" t="inlineStr">
        <is>
          <t>TM-2: trailer-mounted aeroderivative GT (TM2500 class, ~35 MW)</t>
        </is>
      </c>
      <c r="G4887" s="12" t="inlineStr">
        <is>
          <t>JB-TM-2-AI03</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108</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I-I-0530</t>
        </is>
      </c>
      <c r="B4888" s="12" t="inlineStr">
        <is>
          <t>I</t>
        </is>
      </c>
      <c r="C4888" s="12" t="inlineStr">
        <is>
          <t>Modular / portable power</t>
        </is>
      </c>
      <c r="D4888" s="12" t="inlineStr">
        <is>
          <t>Home run JB-TM-2-AI03 to the control / marshalling room</t>
        </is>
      </c>
      <c r="E4888" s="12" t="inlineStr">
        <is>
          <t>PAD-EH</t>
        </is>
      </c>
      <c r="F4888" s="12" t="inlineStr">
        <is>
          <t>PAD-EH 13.8 kV switchgear e-house</t>
        </is>
      </c>
      <c r="G4888" s="12" t="inlineStr">
        <is>
          <t>JB-TM-2-AI03</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6" t="n">
        <v>386</v>
      </c>
      <c r="U4888" s="16" t="n">
        <v>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I-I-0531</t>
        </is>
      </c>
      <c r="B4889" s="12" t="inlineStr">
        <is>
          <t>I</t>
        </is>
      </c>
      <c r="C4889" s="12" t="inlineStr">
        <is>
          <t>Modular / portable power</t>
        </is>
      </c>
      <c r="D4889" s="12" t="inlineStr">
        <is>
          <t>Analog instrument to JB JB-TM-2-AI04: 20 x 1 pr (field cables)</t>
        </is>
      </c>
      <c r="E4889" s="12" t="inlineStr">
        <is>
          <t>TM-2</t>
        </is>
      </c>
      <c r="F4889" s="12" t="inlineStr">
        <is>
          <t>TM-2: trailer-mounted aeroderivative GT (TM2500 class, ~35 MW)</t>
        </is>
      </c>
      <c r="G4889" s="12" t="inlineStr">
        <is>
          <t>JB-TM-2-AI04</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108</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I-I-0532</t>
        </is>
      </c>
      <c r="B4890" s="12" t="inlineStr">
        <is>
          <t>I</t>
        </is>
      </c>
      <c r="C4890" s="12" t="inlineStr">
        <is>
          <t>Modular / portable power</t>
        </is>
      </c>
      <c r="D4890" s="12" t="inlineStr">
        <is>
          <t>Home run JB-TM-2-AI04 to the control / marshalling room</t>
        </is>
      </c>
      <c r="E4890" s="12" t="inlineStr">
        <is>
          <t>PAD-EH</t>
        </is>
      </c>
      <c r="F4890" s="12" t="inlineStr">
        <is>
          <t>PAD-EH 13.8 kV switchgear e-house</t>
        </is>
      </c>
      <c r="G4890" s="12" t="inlineStr">
        <is>
          <t>JB-TM-2-AI04</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6" t="n">
        <v>386</v>
      </c>
      <c r="U4890" s="16" t="n">
        <v>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I-I-0533</t>
        </is>
      </c>
      <c r="B4891" s="12" t="inlineStr">
        <is>
          <t>I</t>
        </is>
      </c>
      <c r="C4891" s="12" t="inlineStr">
        <is>
          <t>Modular / portable power</t>
        </is>
      </c>
      <c r="D4891" s="12" t="inlineStr">
        <is>
          <t>Analog instrument to JB JB-TM-2-AI05: 20 x 1 pr (field cables)</t>
        </is>
      </c>
      <c r="E4891" s="12" t="inlineStr">
        <is>
          <t>TM-2</t>
        </is>
      </c>
      <c r="F4891" s="12" t="inlineStr">
        <is>
          <t>TM-2: trailer-mounted aeroderivative GT (TM2500 class, ~35 MW)</t>
        </is>
      </c>
      <c r="G4891" s="12" t="inlineStr">
        <is>
          <t>JB-TM-2-AI05</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108</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I-I-0534</t>
        </is>
      </c>
      <c r="B4892" s="12" t="inlineStr">
        <is>
          <t>I</t>
        </is>
      </c>
      <c r="C4892" s="12" t="inlineStr">
        <is>
          <t>Modular / portable power</t>
        </is>
      </c>
      <c r="D4892" s="12" t="inlineStr">
        <is>
          <t>Home run JB-TM-2-AI05 to the control / marshalling room</t>
        </is>
      </c>
      <c r="E4892" s="12" t="inlineStr">
        <is>
          <t>PAD-EH</t>
        </is>
      </c>
      <c r="F4892" s="12" t="inlineStr">
        <is>
          <t>PAD-EH 13.8 kV switchgear e-house</t>
        </is>
      </c>
      <c r="G4892" s="12" t="inlineStr">
        <is>
          <t>JB-TM-2-AI05</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6" t="n">
        <v>386</v>
      </c>
      <c r="U4892" s="16" t="n">
        <v>52</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I-I-0535</t>
        </is>
      </c>
      <c r="B4893" s="12" t="inlineStr">
        <is>
          <t>I</t>
        </is>
      </c>
      <c r="C4893" s="12" t="inlineStr">
        <is>
          <t>Modular / portable power</t>
        </is>
      </c>
      <c r="D4893" s="12" t="inlineStr">
        <is>
          <t>Discrete device to JB JB-TM-2-DI01: 20 x 1 pr (field cables)</t>
        </is>
      </c>
      <c r="E4893" s="12" t="inlineStr">
        <is>
          <t>TM-2</t>
        </is>
      </c>
      <c r="F4893" s="12" t="inlineStr">
        <is>
          <t>TM-2: trailer-mounted aeroderivative GT (TM2500 class, ~35 MW)</t>
        </is>
      </c>
      <c r="G4893" s="12" t="inlineStr">
        <is>
          <t>JB-TM-2-DI01</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108</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I-I-0536</t>
        </is>
      </c>
      <c r="B4894" s="12" t="inlineStr">
        <is>
          <t>I</t>
        </is>
      </c>
      <c r="C4894" s="12" t="inlineStr">
        <is>
          <t>Modular / portable power</t>
        </is>
      </c>
      <c r="D4894" s="12" t="inlineStr">
        <is>
          <t>Home run JB-TM-2-DI01 to the control / marshalling room</t>
        </is>
      </c>
      <c r="E4894" s="12" t="inlineStr">
        <is>
          <t>PAD-EH</t>
        </is>
      </c>
      <c r="F4894" s="12" t="inlineStr">
        <is>
          <t>PAD-EH 13.8 kV switchgear e-house</t>
        </is>
      </c>
      <c r="G4894" s="12" t="inlineStr">
        <is>
          <t>JB-TM-2-DI01</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6" t="n">
        <v>386</v>
      </c>
      <c r="U4894" s="16" t="n">
        <v>52</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I-I-0537</t>
        </is>
      </c>
      <c r="B4895" s="12" t="inlineStr">
        <is>
          <t>I</t>
        </is>
      </c>
      <c r="C4895" s="12" t="inlineStr">
        <is>
          <t>Modular / portable power</t>
        </is>
      </c>
      <c r="D4895" s="12" t="inlineStr">
        <is>
          <t>Discrete device to JB JB-TM-2-DI02: 20 x 1 pr (field cables)</t>
        </is>
      </c>
      <c r="E4895" s="12" t="inlineStr">
        <is>
          <t>TM-2</t>
        </is>
      </c>
      <c r="F4895" s="12" t="inlineStr">
        <is>
          <t>TM-2: trailer-mounted aeroderivative GT (TM2500 class, ~35 MW)</t>
        </is>
      </c>
      <c r="G4895" s="12" t="inlineStr">
        <is>
          <t>JB-TM-2-DI02</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108</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I-I-0538</t>
        </is>
      </c>
      <c r="B4896" s="12" t="inlineStr">
        <is>
          <t>I</t>
        </is>
      </c>
      <c r="C4896" s="12" t="inlineStr">
        <is>
          <t>Modular / portable power</t>
        </is>
      </c>
      <c r="D4896" s="12" t="inlineStr">
        <is>
          <t>Home run JB-TM-2-DI02 to the control / marshalling room</t>
        </is>
      </c>
      <c r="E4896" s="12" t="inlineStr">
        <is>
          <t>PAD-EH</t>
        </is>
      </c>
      <c r="F4896" s="12" t="inlineStr">
        <is>
          <t>PAD-EH 13.8 kV switchgear e-house</t>
        </is>
      </c>
      <c r="G4896" s="12" t="inlineStr">
        <is>
          <t>JB-TM-2-DI02</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6" t="n">
        <v>386</v>
      </c>
      <c r="U4896" s="16" t="n">
        <v>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I-I-0539</t>
        </is>
      </c>
      <c r="B4897" s="12" t="inlineStr">
        <is>
          <t>I</t>
        </is>
      </c>
      <c r="C4897" s="12" t="inlineStr">
        <is>
          <t>Modular / portable power</t>
        </is>
      </c>
      <c r="D4897" s="12" t="inlineStr">
        <is>
          <t>Discrete device to JB JB-TM-2-DI03: 20 x 1 pr (field cables)</t>
        </is>
      </c>
      <c r="E4897" s="12" t="inlineStr">
        <is>
          <t>TM-2</t>
        </is>
      </c>
      <c r="F4897" s="12" t="inlineStr">
        <is>
          <t>TM-2: trailer-mounted aeroderivative GT (TM2500 class, ~35 MW)</t>
        </is>
      </c>
      <c r="G4897" s="12" t="inlineStr">
        <is>
          <t>JB-TM-2-DI03</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108</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I-I-0540</t>
        </is>
      </c>
      <c r="B4898" s="12" t="inlineStr">
        <is>
          <t>I</t>
        </is>
      </c>
      <c r="C4898" s="12" t="inlineStr">
        <is>
          <t>Modular / portable power</t>
        </is>
      </c>
      <c r="D4898" s="12" t="inlineStr">
        <is>
          <t>Home run JB-TM-2-DI03 to the control / marshalling room</t>
        </is>
      </c>
      <c r="E4898" s="12" t="inlineStr">
        <is>
          <t>PAD-EH</t>
        </is>
      </c>
      <c r="F4898" s="12" t="inlineStr">
        <is>
          <t>PAD-EH 13.8 kV switchgear e-house</t>
        </is>
      </c>
      <c r="G4898" s="12" t="inlineStr">
        <is>
          <t>JB-TM-2-DI03</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6" t="n">
        <v>386</v>
      </c>
      <c r="U4898" s="16" t="n">
        <v>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I-I-0541</t>
        </is>
      </c>
      <c r="B4899" s="12" t="inlineStr">
        <is>
          <t>I</t>
        </is>
      </c>
      <c r="C4899" s="12" t="inlineStr">
        <is>
          <t>Modular / portable power</t>
        </is>
      </c>
      <c r="D4899" s="12" t="inlineStr">
        <is>
          <t>Thermocouple to TC JB JB-TM-2-TC01: 20 x 1 pr (field cables)</t>
        </is>
      </c>
      <c r="E4899" s="12" t="inlineStr">
        <is>
          <t>TM-2</t>
        </is>
      </c>
      <c r="F4899" s="12" t="inlineStr">
        <is>
          <t>TM-2: trailer-mounted aeroderivative GT (TM2500 class, ~35 MW)</t>
        </is>
      </c>
      <c r="G4899" s="12" t="inlineStr">
        <is>
          <t>JB-TM-2-TC01</t>
        </is>
      </c>
      <c r="H4899" s="12" t="inlineStr">
        <is>
          <t>TM-2: trailer-mounted aeroderivative GT (TM2500 class, ~35 MW)</t>
        </is>
      </c>
      <c r="I4899" s="12" t="inlineStr">
        <is>
          <t>Instrumentation</t>
        </is>
      </c>
      <c r="J4899" s="12" t="inlineStr">
        <is>
          <t>Thermocouple extension KX, #16 shielded pairs, PLTC</t>
        </is>
      </c>
      <c r="K4899" s="12" t="inlineStr">
        <is>
          <t>TCX|1 pr|16</t>
        </is>
      </c>
      <c r="L4899" s="12" t="inlineStr">
        <is>
          <t>1 pr</t>
        </is>
      </c>
      <c r="M4899" s="12" t="inlineStr">
        <is>
          <t>16</t>
        </is>
      </c>
      <c r="N4899" s="12" t="n">
        <v>20</v>
      </c>
      <c r="O4899" s="12" t="n">
        <v>1</v>
      </c>
      <c r="P4899" s="12" t="n"/>
      <c r="Q4899" s="12" t="n"/>
      <c r="R4899" s="12" t="n"/>
      <c r="S4899" s="12" t="inlineStr">
        <is>
          <t>Tray / conduit</t>
        </is>
      </c>
      <c r="T4899" s="16" t="n">
        <v>108</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I-I-0542</t>
        </is>
      </c>
      <c r="B4900" s="12" t="inlineStr">
        <is>
          <t>I</t>
        </is>
      </c>
      <c r="C4900" s="12" t="inlineStr">
        <is>
          <t>Modular / portable power</t>
        </is>
      </c>
      <c r="D4900" s="12" t="inlineStr">
        <is>
          <t>Home run JB-TM-2-TC01 to the control / marshalling room</t>
        </is>
      </c>
      <c r="E4900" s="12" t="inlineStr">
        <is>
          <t>PAD-EH</t>
        </is>
      </c>
      <c r="F4900" s="12" t="inlineStr">
        <is>
          <t>PAD-EH 13.8 kV switchgear e-house</t>
        </is>
      </c>
      <c r="G4900" s="12" t="inlineStr">
        <is>
          <t>JB-TM-2-TC01</t>
        </is>
      </c>
      <c r="H4900" s="12" t="inlineStr">
        <is>
          <t>TM-2: trailer-mounted aeroderivative GT (TM2500 class, ~35 MW)</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Surface</t>
        </is>
      </c>
      <c r="T4900" s="16" t="n">
        <v>386</v>
      </c>
      <c r="U4900" s="16" t="n">
        <v>52</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I-I-0543</t>
        </is>
      </c>
      <c r="B4901" s="12" t="inlineStr">
        <is>
          <t>I</t>
        </is>
      </c>
      <c r="C4901" s="12" t="inlineStr">
        <is>
          <t>Modular / portable power</t>
        </is>
      </c>
      <c r="D4901" s="12" t="inlineStr">
        <is>
          <t>Instrumentation</t>
        </is>
      </c>
      <c r="E4901" s="12" t="inlineStr"/>
      <c r="F4901" s="12" t="inlineStr">
        <is>
          <t>PCM: power control module</t>
        </is>
      </c>
      <c r="G4901" s="12" t="inlineStr"/>
      <c r="H4901" s="12" t="inlineStr">
        <is>
          <t>Water-injection skid</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HV duct bank</t>
        </is>
      </c>
      <c r="T4901" s="16" t="n">
        <v>4299</v>
      </c>
      <c r="U4901" s="16" t="n">
        <v>87</v>
      </c>
      <c r="V4901" s="16">
        <f>ROUNDUP((T4901+U4901+2*'Read Me'!$B$13)*(1+'Read Me'!$B$12),-1)</f>
        <v/>
      </c>
      <c r="W4901" s="16">
        <f>V4901*N4901*O4901</f>
        <v/>
      </c>
      <c r="X4901" s="12">
        <f>IF(LEFT(I4901,2)="MV",2*N4901*IF(L4901="1/C",O4901,1),0)</f>
        <v/>
      </c>
      <c r="Y4901" s="12">
        <f>IF(OR(LEFT(K4901,4)="LVAX",LEFT(K4901,6)="MV15AX",LEFT(K4901,4)="CTAX",LEFT(K4901,2)="W|"),2*N4901*O4901,0)</f>
        <v/>
      </c>
      <c r="Z4901" s="12" t="inlineStr"/>
      <c r="AA4901" s="12">
        <f>N4901*O4901</f>
        <v/>
      </c>
    </row>
    <row r="4902">
      <c r="A4902" s="12" t="inlineStr">
        <is>
          <t>I-I-0544</t>
        </is>
      </c>
      <c r="B4902" s="12" t="inlineStr">
        <is>
          <t>I</t>
        </is>
      </c>
      <c r="C4902" s="12" t="inlineStr">
        <is>
          <t>Modular / portable power</t>
        </is>
      </c>
      <c r="D4902" s="12" t="inlineStr">
        <is>
          <t>Instrumentation</t>
        </is>
      </c>
      <c r="E4902" s="12" t="inlineStr"/>
      <c r="F4902" s="12" t="inlineStr">
        <is>
          <t>PCM: power control module</t>
        </is>
      </c>
      <c r="G4902" s="12" t="inlineStr"/>
      <c r="H4902" s="12" t="inlineStr">
        <is>
          <t>Water-injection skid</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HV duct bank</t>
        </is>
      </c>
      <c r="T4902" s="16" t="n">
        <v>4299</v>
      </c>
      <c r="U4902" s="16" t="n">
        <v>87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I-P-0001</t>
        </is>
      </c>
      <c r="B4903" s="12" t="inlineStr">
        <is>
          <t>I</t>
        </is>
      </c>
      <c r="C4903" s="12" t="inlineStr">
        <is>
          <t>Modular / portable power</t>
        </is>
      </c>
      <c r="D4903" s="12" t="inlineStr">
        <is>
          <t>LV power feeder</t>
        </is>
      </c>
      <c r="E4903" s="12" t="inlineStr"/>
      <c r="F4903" s="12" t="inlineStr">
        <is>
          <t>MOD-LV 480 V board + 480 V : 13.8 kV step-up</t>
        </is>
      </c>
      <c r="G4903" s="12" t="inlineStr"/>
      <c r="H4903" s="12" t="inlineStr">
        <is>
          <t>Aqueous ammonia (SC units)</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10</v>
      </c>
      <c r="R4903" s="12" t="n">
        <v>14.2</v>
      </c>
      <c r="S4903" s="12" t="inlineStr">
        <is>
          <t>HV duct bank</t>
        </is>
      </c>
      <c r="T4903" s="16" t="n">
        <v>4262</v>
      </c>
      <c r="U4903" s="16" t="n">
        <v>40</v>
      </c>
      <c r="V4903" s="16">
        <f>ROUNDUP((T4903+U4903+2*'Read Me'!$B$13)*(1+'Read Me'!$B$12),-1)</f>
        <v/>
      </c>
      <c r="W4903" s="16">
        <f>V4903*N4903*O4903</f>
        <v/>
      </c>
      <c r="X4903" s="12">
        <f>IF(LEFT(I4903,2)="MV",2*N4903*IF(L4903="1/C",O4903,1),0)</f>
        <v/>
      </c>
      <c r="Y4903" s="12">
        <f>IF(OR(LEFT(K4903,4)="LVAX",LEFT(K4903,6)="MV15AX",LEFT(K4903,4)="CTAX",LEFT(K4903,2)="W|"),2*N4903*O4903,0)</f>
        <v/>
      </c>
      <c r="Z4903" s="12" t="inlineStr">
        <is>
          <t>VD 2.9 %</t>
        </is>
      </c>
      <c r="AA4903" s="12">
        <f>N4903*O4903</f>
        <v/>
      </c>
    </row>
    <row r="4904">
      <c r="A4904" s="12" t="inlineStr">
        <is>
          <t>I-P-0002</t>
        </is>
      </c>
      <c r="B4904" s="12" t="inlineStr">
        <is>
          <t>I</t>
        </is>
      </c>
      <c r="C4904" s="12" t="inlineStr">
        <is>
          <t>Modular / portable power</t>
        </is>
      </c>
      <c r="D4904" s="12" t="inlineStr">
        <is>
          <t>Black-start genset output</t>
        </is>
      </c>
      <c r="E4904" s="12" t="inlineStr"/>
      <c r="F4904" s="12" t="inlineStr">
        <is>
          <t>Black-start genset (proposed; requires study)</t>
        </is>
      </c>
      <c r="G4904" s="12" t="inlineStr"/>
      <c r="H4904" s="12" t="inlineStr">
        <is>
          <t>BS black-start switchgear</t>
        </is>
      </c>
      <c r="I4904" s="12" t="inlineStr">
        <is>
          <t>LV 600 V</t>
        </is>
      </c>
      <c r="J4904" s="12" t="inlineStr">
        <is>
          <t>Type TC-ER 600 V 3/C Cu XHHW-2 + ground, PVC jacket</t>
        </is>
      </c>
      <c r="K4904" s="12" t="inlineStr">
        <is>
          <t>LV|3/C+G|500</t>
        </is>
      </c>
      <c r="L4904" s="12" t="inlineStr">
        <is>
          <t>3/C+G</t>
        </is>
      </c>
      <c r="M4904" s="12" t="inlineStr">
        <is>
          <t>500 kcmil</t>
        </is>
      </c>
      <c r="N4904" s="12" t="n">
        <v>10</v>
      </c>
      <c r="O4904" s="12" t="n">
        <v>1</v>
      </c>
      <c r="P4904" s="12" t="n">
        <v>480</v>
      </c>
      <c r="Q4904" s="12" t="n">
        <v>2000</v>
      </c>
      <c r="R4904" s="12" t="n">
        <v>2532.3</v>
      </c>
      <c r="S4904" s="12" t="inlineStr">
        <is>
          <t>Tray</t>
        </is>
      </c>
      <c r="T4904" s="16" t="n">
        <v>0</v>
      </c>
      <c r="U4904" s="16" t="n">
        <v>41</v>
      </c>
      <c r="V4904" s="16">
        <f>ROUNDUP((T4904+U4904+2*'Read Me'!$B$13)*(1+'Read Me'!$B$12),-1)</f>
        <v/>
      </c>
      <c r="W4904" s="16">
        <f>V4904*N4904*O4904</f>
        <v/>
      </c>
      <c r="X4904" s="12">
        <f>IF(LEFT(I4904,2)="MV",2*N4904*IF(L4904="1/C",O4904,1),0)</f>
        <v/>
      </c>
      <c r="Y4904" s="12">
        <f>IF(OR(LEFT(K4904,4)="LVAX",LEFT(K4904,6)="MV15AX",LEFT(K4904,4)="CTAX",LEFT(K4904,2)="W|"),2*N4904*O4904,0)</f>
        <v/>
      </c>
      <c r="Z4904" s="12" t="inlineStr">
        <is>
          <t>VD 0.1 %</t>
        </is>
      </c>
      <c r="AA4904" s="12">
        <f>N4904*O4904</f>
        <v/>
      </c>
    </row>
    <row r="4905">
      <c r="A4905" s="12" t="inlineStr">
        <is>
          <t>I-P-0003</t>
        </is>
      </c>
      <c r="B4905" s="12" t="inlineStr">
        <is>
          <t>I</t>
        </is>
      </c>
      <c r="C4905" s="12" t="inlineStr">
        <is>
          <t>Modular / portable power</t>
        </is>
      </c>
      <c r="D4905" s="12" t="inlineStr">
        <is>
          <t>Black-start genset output</t>
        </is>
      </c>
      <c r="E4905" s="12" t="inlineStr"/>
      <c r="F4905" s="12" t="inlineStr">
        <is>
          <t>Black-start genset (proposed; requires study)</t>
        </is>
      </c>
      <c r="G4905" s="12" t="inlineStr"/>
      <c r="H4905" s="12" t="inlineStr">
        <is>
          <t>BS black-start switchgear</t>
        </is>
      </c>
      <c r="I4905" s="12" t="inlineStr">
        <is>
          <t>LV 600 V</t>
        </is>
      </c>
      <c r="J4905" s="12" t="inlineStr">
        <is>
          <t>Type TC-ER 600 V 3/C Cu XHHW-2 + ground, PVC jacket</t>
        </is>
      </c>
      <c r="K4905" s="12" t="inlineStr">
        <is>
          <t>LV|3/C+G|500</t>
        </is>
      </c>
      <c r="L4905" s="12" t="inlineStr">
        <is>
          <t>3/C+G</t>
        </is>
      </c>
      <c r="M4905" s="12" t="inlineStr">
        <is>
          <t>500 kcmil</t>
        </is>
      </c>
      <c r="N4905" s="12" t="n">
        <v>10</v>
      </c>
      <c r="O4905" s="12" t="n">
        <v>1</v>
      </c>
      <c r="P4905" s="12" t="n">
        <v>480</v>
      </c>
      <c r="Q4905" s="12" t="n">
        <v>2000</v>
      </c>
      <c r="R4905" s="12" t="n">
        <v>2532.3</v>
      </c>
      <c r="S4905" s="12" t="inlineStr">
        <is>
          <t>Tray</t>
        </is>
      </c>
      <c r="T4905" s="16" t="n">
        <v>0</v>
      </c>
      <c r="U4905" s="16" t="n">
        <v>49</v>
      </c>
      <c r="V4905" s="16">
        <f>ROUNDUP((T4905+U4905+2*'Read Me'!$B$13)*(1+'Read Me'!$B$12),-1)</f>
        <v/>
      </c>
      <c r="W4905" s="16">
        <f>V4905*N4905*O4905</f>
        <v/>
      </c>
      <c r="X4905" s="12">
        <f>IF(LEFT(I4905,2)="MV",2*N4905*IF(L4905="1/C",O4905,1),0)</f>
        <v/>
      </c>
      <c r="Y4905" s="12">
        <f>IF(OR(LEFT(K4905,4)="LVAX",LEFT(K4905,6)="MV15AX",LEFT(K4905,4)="CTAX",LEFT(K4905,2)="W|"),2*N4905*O4905,0)</f>
        <v/>
      </c>
      <c r="Z4905" s="12" t="inlineStr">
        <is>
          <t>VD 0.1 %</t>
        </is>
      </c>
      <c r="AA4905" s="12">
        <f>N4905*O4905</f>
        <v/>
      </c>
    </row>
    <row r="4906">
      <c r="A4906" s="12" t="inlineStr">
        <is>
          <t>I-P-0004</t>
        </is>
      </c>
      <c r="B4906" s="12" t="inlineStr">
        <is>
          <t>I</t>
        </is>
      </c>
      <c r="C4906" s="12" t="inlineStr">
        <is>
          <t>Modular / portable power</t>
        </is>
      </c>
      <c r="D4906" s="12" t="inlineStr">
        <is>
          <t>LV power feeder</t>
        </is>
      </c>
      <c r="E4906" s="12" t="inlineStr"/>
      <c r="F4906" s="12" t="inlineStr">
        <is>
          <t>PCM: power control module</t>
        </is>
      </c>
      <c r="G4906" s="12" t="inlineStr"/>
      <c r="H4906" s="12" t="inlineStr">
        <is>
          <t>BS black-start switchgear</t>
        </is>
      </c>
      <c r="I4906" s="12" t="inlineStr">
        <is>
          <t>LV 600 V</t>
        </is>
      </c>
      <c r="J4906" s="12" t="inlineStr">
        <is>
          <t>Type TC-ER 600 V 3/C Cu XHHW-2 + ground, PVC jacket</t>
        </is>
      </c>
      <c r="K4906" s="12" t="inlineStr">
        <is>
          <t>LV|3/C+G|6</t>
        </is>
      </c>
      <c r="L4906" s="12" t="inlineStr">
        <is>
          <t>3/C+G</t>
        </is>
      </c>
      <c r="M4906" s="12" t="inlineStr">
        <is>
          <t>6</t>
        </is>
      </c>
      <c r="N4906" s="12" t="n">
        <v>1</v>
      </c>
      <c r="O4906" s="12" t="n">
        <v>1</v>
      </c>
      <c r="P4906" s="12" t="n">
        <v>480</v>
      </c>
      <c r="Q4906" s="12" t="n">
        <v>15</v>
      </c>
      <c r="R4906" s="12" t="n">
        <v>21.2</v>
      </c>
      <c r="S4906" s="12" t="inlineStr">
        <is>
          <t>Duct bank</t>
        </is>
      </c>
      <c r="T4906" s="16" t="n">
        <v>562</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is>
          <t>VD 2.6 %</t>
        </is>
      </c>
      <c r="AA4906" s="12">
        <f>N4906*O4906</f>
        <v/>
      </c>
    </row>
    <row r="4907">
      <c r="A4907" s="12" t="inlineStr">
        <is>
          <t>I-P-0005</t>
        </is>
      </c>
      <c r="B4907" s="12" t="inlineStr">
        <is>
          <t>I</t>
        </is>
      </c>
      <c r="C4907" s="12" t="inlineStr">
        <is>
          <t>Modular / portable power</t>
        </is>
      </c>
      <c r="D4907" s="12" t="inlineStr">
        <is>
          <t>LV power feeder</t>
        </is>
      </c>
      <c r="E4907" s="12" t="inlineStr"/>
      <c r="F4907" s="12" t="inlineStr">
        <is>
          <t>PCM: power control module</t>
        </is>
      </c>
      <c r="G4907" s="12" t="inlineStr"/>
      <c r="H4907" s="12" t="inlineStr">
        <is>
          <t>CONDITIONAL: BESS black-start alternative</t>
        </is>
      </c>
      <c r="I4907" s="12" t="inlineStr">
        <is>
          <t>LV 600 V</t>
        </is>
      </c>
      <c r="J4907" s="12" t="inlineStr">
        <is>
          <t>Type TC-ER 600 V 3/C Cu XHHW-2 + ground, PVC jacket</t>
        </is>
      </c>
      <c r="K4907" s="12" t="inlineStr">
        <is>
          <t>LV|3/C+G|6</t>
        </is>
      </c>
      <c r="L4907" s="12" t="inlineStr">
        <is>
          <t>3/C+G</t>
        </is>
      </c>
      <c r="M4907" s="12" t="inlineStr">
        <is>
          <t>6</t>
        </is>
      </c>
      <c r="N4907" s="12" t="n">
        <v>1</v>
      </c>
      <c r="O4907" s="12" t="n">
        <v>1</v>
      </c>
      <c r="P4907" s="12" t="n">
        <v>480</v>
      </c>
      <c r="Q4907" s="12" t="n">
        <v>15</v>
      </c>
      <c r="R4907" s="12" t="n">
        <v>21.2</v>
      </c>
      <c r="S4907" s="12" t="inlineStr">
        <is>
          <t>Duct bank</t>
        </is>
      </c>
      <c r="T4907" s="16" t="n">
        <v>550</v>
      </c>
      <c r="U4907" s="16" t="n">
        <v>32</v>
      </c>
      <c r="V4907" s="16">
        <f>ROUNDUP((T4907+U4907+2*'Read Me'!$B$13)*(1+'Read Me'!$B$12),-1)</f>
        <v/>
      </c>
      <c r="W4907" s="16">
        <f>V4907*N4907*O4907</f>
        <v/>
      </c>
      <c r="X4907" s="12">
        <f>IF(LEFT(I4907,2)="MV",2*N4907*IF(L4907="1/C",O4907,1),0)</f>
        <v/>
      </c>
      <c r="Y4907" s="12">
        <f>IF(OR(LEFT(K4907,4)="LVAX",LEFT(K4907,6)="MV15AX",LEFT(K4907,4)="CTAX",LEFT(K4907,2)="W|"),2*N4907*O4907,0)</f>
        <v/>
      </c>
      <c r="Z4907" s="12" t="inlineStr">
        <is>
          <t>VD 2.4 %</t>
        </is>
      </c>
      <c r="AA4907" s="12">
        <f>N4907*O4907</f>
        <v/>
      </c>
    </row>
    <row r="4908">
      <c r="A4908" s="12" t="inlineStr">
        <is>
          <t>I-P-0006</t>
        </is>
      </c>
      <c r="B4908" s="12" t="inlineStr">
        <is>
          <t>I</t>
        </is>
      </c>
      <c r="C4908" s="12" t="inlineStr">
        <is>
          <t>Modular / portable power</t>
        </is>
      </c>
      <c r="D4908" s="12" t="inlineStr">
        <is>
          <t>LV power feeder</t>
        </is>
      </c>
      <c r="E4908" s="12" t="inlineStr"/>
      <c r="F4908" s="12" t="inlineStr">
        <is>
          <t>PCM: power control module</t>
        </is>
      </c>
      <c r="G4908" s="12" t="inlineStr"/>
      <c r="H4908" s="12" t="inlineStr">
        <is>
          <t>CONDITIONAL: SC-1 inlet chiller / evaporative cooler</t>
        </is>
      </c>
      <c r="I4908" s="12" t="inlineStr">
        <is>
          <t>LV 600 V</t>
        </is>
      </c>
      <c r="J4908" s="12" t="inlineStr">
        <is>
          <t>Type TC-ER 600 V 3/C Cu XHHW-2 + ground, PVC jacket</t>
        </is>
      </c>
      <c r="K4908" s="12" t="inlineStr">
        <is>
          <t>LV|3/C+G|350</t>
        </is>
      </c>
      <c r="L4908" s="12" t="inlineStr">
        <is>
          <t>3/C+G</t>
        </is>
      </c>
      <c r="M4908" s="12" t="inlineStr">
        <is>
          <t>350 kcmil</t>
        </is>
      </c>
      <c r="N4908" s="12" t="n">
        <v>3</v>
      </c>
      <c r="O4908" s="12" t="n">
        <v>1</v>
      </c>
      <c r="P4908" s="12" t="n">
        <v>480</v>
      </c>
      <c r="Q4908" s="12" t="n">
        <v>500</v>
      </c>
      <c r="R4908" s="12" t="n">
        <v>707.6</v>
      </c>
      <c r="S4908" s="12" t="inlineStr">
        <is>
          <t>Duct bank</t>
        </is>
      </c>
      <c r="T4908" s="16" t="n">
        <v>40</v>
      </c>
      <c r="U4908" s="16" t="n">
        <v>52</v>
      </c>
      <c r="V4908" s="16">
        <f>ROUNDUP((T4908+U4908+2*'Read Me'!$B$13)*(1+'Read Me'!$B$12),-1)</f>
        <v/>
      </c>
      <c r="W4908" s="16">
        <f>V4908*N4908*O4908</f>
        <v/>
      </c>
      <c r="X4908" s="12">
        <f>IF(LEFT(I4908,2)="MV",2*N4908*IF(L4908="1/C",O4908,1),0)</f>
        <v/>
      </c>
      <c r="Y4908" s="12">
        <f>IF(OR(LEFT(K4908,4)="LVAX",LEFT(K4908,6)="MV15AX",LEFT(K4908,4)="CTAX",LEFT(K4908,2)="W|"),2*N4908*O4908,0)</f>
        <v/>
      </c>
      <c r="Z4908" s="12" t="inlineStr">
        <is>
          <t>VD 0.3 %</t>
        </is>
      </c>
      <c r="AA4908" s="12">
        <f>N4908*O4908</f>
        <v/>
      </c>
    </row>
    <row r="4909">
      <c r="A4909" s="12" t="inlineStr">
        <is>
          <t>I-P-0007</t>
        </is>
      </c>
      <c r="B4909" s="12" t="inlineStr">
        <is>
          <t>I</t>
        </is>
      </c>
      <c r="C4909" s="12" t="inlineStr">
        <is>
          <t>Modular / portable power</t>
        </is>
      </c>
      <c r="D4909" s="12" t="inlineStr">
        <is>
          <t>LV power feeder</t>
        </is>
      </c>
      <c r="E4909" s="12" t="inlineStr"/>
      <c r="F4909" s="12" t="inlineStr">
        <is>
          <t>MOD-LV 480 V board + 480 V : 13.8 kV step-up</t>
        </is>
      </c>
      <c r="G4909" s="12" t="inlineStr"/>
      <c r="H4909" s="12" t="inlineStr">
        <is>
          <t>CONDITIONAL: SC-2 inlet chiller / evaporative cooler</t>
        </is>
      </c>
      <c r="I4909" s="12" t="inlineStr">
        <is>
          <t>LV 600 V</t>
        </is>
      </c>
      <c r="J4909" s="12" t="inlineStr">
        <is>
          <t>Type TC-ER 600 V 3/C Cu XHHW-2 + ground, PVC jacket</t>
        </is>
      </c>
      <c r="K4909" s="12" t="inlineStr">
        <is>
          <t>LV|3/C+G|500</t>
        </is>
      </c>
      <c r="L4909" s="12" t="inlineStr">
        <is>
          <t>3/C+G</t>
        </is>
      </c>
      <c r="M4909" s="12" t="inlineStr">
        <is>
          <t>500 kcmil</t>
        </is>
      </c>
      <c r="N4909" s="12" t="n">
        <v>12</v>
      </c>
      <c r="O4909" s="12" t="n">
        <v>1</v>
      </c>
      <c r="P4909" s="12" t="n">
        <v>480</v>
      </c>
      <c r="Q4909" s="12" t="n">
        <v>500</v>
      </c>
      <c r="R4909" s="12" t="n">
        <v>707.6</v>
      </c>
      <c r="S4909" s="12" t="inlineStr">
        <is>
          <t>HV duct bank</t>
        </is>
      </c>
      <c r="T4909" s="16" t="n">
        <v>4491</v>
      </c>
      <c r="U4909" s="16" t="n">
        <v>40</v>
      </c>
      <c r="V4909" s="16">
        <f>ROUNDUP((T4909+U4909+2*'Read Me'!$B$13)*(1+'Read Me'!$B$12),-1)</f>
        <v/>
      </c>
      <c r="W4909" s="16">
        <f>V4909*N4909*O4909</f>
        <v/>
      </c>
      <c r="X4909" s="12">
        <f>IF(LEFT(I4909,2)="MV",2*N4909*IF(L4909="1/C",O4909,1),0)</f>
        <v/>
      </c>
      <c r="Y4909" s="12">
        <f>IF(OR(LEFT(K4909,4)="LVAX",LEFT(K4909,6)="MV15AX",LEFT(K4909,4)="CTAX",LEFT(K4909,2)="W|"),2*N4909*O4909,0)</f>
        <v/>
      </c>
      <c r="Z4909" s="12" t="inlineStr">
        <is>
          <t>VD 2.7 %</t>
        </is>
      </c>
      <c r="AA4909" s="12">
        <f>N4909*O4909</f>
        <v/>
      </c>
    </row>
    <row r="4910">
      <c r="A4910" s="12" t="inlineStr">
        <is>
          <t>I-P-0008</t>
        </is>
      </c>
      <c r="B4910" s="12" t="inlineStr">
        <is>
          <t>I</t>
        </is>
      </c>
      <c r="C4910" s="12" t="inlineStr">
        <is>
          <t>Modular / portable power</t>
        </is>
      </c>
      <c r="D4910" s="12" t="inlineStr">
        <is>
          <t>FC-5 SOFC output to inverter / AC cabinet</t>
        </is>
      </c>
      <c r="E4910" s="12" t="inlineStr">
        <is>
          <t>FC-5</t>
        </is>
      </c>
      <c r="F4910" s="12" t="inlineStr">
        <is>
          <t>FC-5: SOFC module (Bloom ES5 class, 200-300 kW)</t>
        </is>
      </c>
      <c r="G4910" s="12" t="inlineStr"/>
      <c r="H4910" s="12" t="inlineStr">
        <is>
          <t>FC-5..12 inverter / AC cabinet / desulfurizer</t>
        </is>
      </c>
      <c r="I4910" s="12" t="inlineStr">
        <is>
          <t>LV 600 V</t>
        </is>
      </c>
      <c r="J4910" s="12" t="inlineStr">
        <is>
          <t>Type TC-ER 600 V 3/C Cu XHHW-2 + ground, PVC jacket</t>
        </is>
      </c>
      <c r="K4910" s="12" t="inlineStr">
        <is>
          <t>LV|3/C+G|3/0</t>
        </is>
      </c>
      <c r="L4910" s="12" t="inlineStr">
        <is>
          <t>3/C+G</t>
        </is>
      </c>
      <c r="M4910" s="12" t="inlineStr">
        <is>
          <t>3/0</t>
        </is>
      </c>
      <c r="N4910" s="12" t="n">
        <v>2</v>
      </c>
      <c r="O4910" s="12" t="n">
        <v>1</v>
      </c>
      <c r="P4910" s="12" t="n">
        <v>480</v>
      </c>
      <c r="Q4910" s="12" t="n">
        <v>250</v>
      </c>
      <c r="R4910" s="12" t="n">
        <v>316.5</v>
      </c>
      <c r="S4910" s="12" t="inlineStr">
        <is>
          <t>Duct bank</t>
        </is>
      </c>
      <c r="T4910" s="16" t="n">
        <v>139</v>
      </c>
      <c r="U4910" s="16" t="n">
        <v>32</v>
      </c>
      <c r="V4910" s="16">
        <f>ROUNDUP((T4910+U4910+2*'Read Me'!$B$13)*(1+'Read Me'!$B$12),-1)</f>
        <v/>
      </c>
      <c r="W4910" s="16">
        <f>V4910*N4910*O4910</f>
        <v/>
      </c>
      <c r="X4910" s="12">
        <f>IF(LEFT(I4910,2)="MV",2*N4910*IF(L4910="1/C",O4910,1),0)</f>
        <v/>
      </c>
      <c r="Y4910" s="12">
        <f>IF(OR(LEFT(K4910,4)="LVAX",LEFT(K4910,6)="MV15AX",LEFT(K4910,4)="CTAX",LEFT(K4910,2)="W|"),2*N4910*O4910,0)</f>
        <v/>
      </c>
      <c r="Z4910" s="12" t="inlineStr">
        <is>
          <t>VD 0.8 %</t>
        </is>
      </c>
      <c r="AA4910" s="12">
        <f>N4910*O4910</f>
        <v/>
      </c>
    </row>
    <row r="4911">
      <c r="A4911" s="12" t="inlineStr">
        <is>
          <t>I-P-0009</t>
        </is>
      </c>
      <c r="B4911" s="12" t="inlineStr">
        <is>
          <t>I</t>
        </is>
      </c>
      <c r="C4911" s="12" t="inlineStr">
        <is>
          <t>Modular / portable power</t>
        </is>
      </c>
      <c r="D4911" s="12" t="inlineStr">
        <is>
          <t>FC-6 SOFC output to inverter / AC cabinet</t>
        </is>
      </c>
      <c r="E4911" s="12" t="inlineStr">
        <is>
          <t>FC-6</t>
        </is>
      </c>
      <c r="F4911" s="12" t="inlineStr">
        <is>
          <t>FC-6: SOFC module (Bloom ES5 class, 200-300 kW)</t>
        </is>
      </c>
      <c r="G4911" s="12" t="inlineStr"/>
      <c r="H4911" s="12" t="inlineStr">
        <is>
          <t>FC-5..12 inverter / AC cabinet / desulfurizer</t>
        </is>
      </c>
      <c r="I4911" s="12" t="inlineStr">
        <is>
          <t>LV 600 V</t>
        </is>
      </c>
      <c r="J4911" s="12" t="inlineStr">
        <is>
          <t>Type TC-ER 600 V 3/C Cu XHHW-2 + ground, PVC jacket</t>
        </is>
      </c>
      <c r="K4911" s="12" t="inlineStr">
        <is>
          <t>LV|3/C+G|3/0</t>
        </is>
      </c>
      <c r="L4911" s="12" t="inlineStr">
        <is>
          <t>3/C+G</t>
        </is>
      </c>
      <c r="M4911" s="12" t="inlineStr">
        <is>
          <t>3/0</t>
        </is>
      </c>
      <c r="N4911" s="12" t="n">
        <v>2</v>
      </c>
      <c r="O4911" s="12" t="n">
        <v>1</v>
      </c>
      <c r="P4911" s="12" t="n">
        <v>480</v>
      </c>
      <c r="Q4911" s="12" t="n">
        <v>250</v>
      </c>
      <c r="R4911" s="12" t="n">
        <v>316.5</v>
      </c>
      <c r="S4911" s="12" t="inlineStr">
        <is>
          <t>Duct bank</t>
        </is>
      </c>
      <c r="T4911" s="16" t="n">
        <v>125</v>
      </c>
      <c r="U4911" s="16" t="n">
        <v>32</v>
      </c>
      <c r="V4911" s="16">
        <f>ROUNDUP((T4911+U4911+2*'Read Me'!$B$13)*(1+'Read Me'!$B$12),-1)</f>
        <v/>
      </c>
      <c r="W4911" s="16">
        <f>V4911*N4911*O4911</f>
        <v/>
      </c>
      <c r="X4911" s="12">
        <f>IF(LEFT(I4911,2)="MV",2*N4911*IF(L4911="1/C",O4911,1),0)</f>
        <v/>
      </c>
      <c r="Y4911" s="12">
        <f>IF(OR(LEFT(K4911,4)="LVAX",LEFT(K4911,6)="MV15AX",LEFT(K4911,4)="CTAX",LEFT(K4911,2)="W|"),2*N4911*O4911,0)</f>
        <v/>
      </c>
      <c r="Z4911" s="12" t="inlineStr">
        <is>
          <t>VD 0.8 %</t>
        </is>
      </c>
      <c r="AA4911" s="12">
        <f>N4911*O4911</f>
        <v/>
      </c>
    </row>
    <row r="4912">
      <c r="A4912" s="12" t="inlineStr">
        <is>
          <t>I-P-0010</t>
        </is>
      </c>
      <c r="B4912" s="12" t="inlineStr">
        <is>
          <t>I</t>
        </is>
      </c>
      <c r="C4912" s="12" t="inlineStr">
        <is>
          <t>Modular / portable power</t>
        </is>
      </c>
      <c r="D4912" s="12" t="inlineStr">
        <is>
          <t>FC-7 SOFC output to inverter / AC cabinet</t>
        </is>
      </c>
      <c r="E4912" s="12" t="inlineStr">
        <is>
          <t>FC-7</t>
        </is>
      </c>
      <c r="F4912" s="12" t="inlineStr">
        <is>
          <t>FC-7: SOFC module (Bloom ES5 class, 200-300 kW)</t>
        </is>
      </c>
      <c r="G4912" s="12" t="inlineStr"/>
      <c r="H4912" s="12" t="inlineStr">
        <is>
          <t>FC-5..12 inverter / AC cabinet / desulfurizer</t>
        </is>
      </c>
      <c r="I4912" s="12" t="inlineStr">
        <is>
          <t>LV 600 V</t>
        </is>
      </c>
      <c r="J4912" s="12" t="inlineStr">
        <is>
          <t>Type TC-ER 600 V 3/C Cu XHHW-2 + ground, PVC jacket</t>
        </is>
      </c>
      <c r="K4912" s="12" t="inlineStr">
        <is>
          <t>LV|3/C+G|3/0</t>
        </is>
      </c>
      <c r="L4912" s="12" t="inlineStr">
        <is>
          <t>3/C+G</t>
        </is>
      </c>
      <c r="M4912" s="12" t="inlineStr">
        <is>
          <t>3/0</t>
        </is>
      </c>
      <c r="N4912" s="12" t="n">
        <v>2</v>
      </c>
      <c r="O4912" s="12" t="n">
        <v>1</v>
      </c>
      <c r="P4912" s="12" t="n">
        <v>480</v>
      </c>
      <c r="Q4912" s="12" t="n">
        <v>250</v>
      </c>
      <c r="R4912" s="12" t="n">
        <v>316.5</v>
      </c>
      <c r="S4912" s="12" t="inlineStr">
        <is>
          <t>Duct bank</t>
        </is>
      </c>
      <c r="T4912" s="16" t="n">
        <v>111</v>
      </c>
      <c r="U4912" s="16" t="n">
        <v>32</v>
      </c>
      <c r="V4912" s="16">
        <f>ROUNDUP((T4912+U4912+2*'Read Me'!$B$13)*(1+'Read Me'!$B$12),-1)</f>
        <v/>
      </c>
      <c r="W4912" s="16">
        <f>V4912*N4912*O4912</f>
        <v/>
      </c>
      <c r="X4912" s="12">
        <f>IF(LEFT(I4912,2)="MV",2*N4912*IF(L4912="1/C",O4912,1),0)</f>
        <v/>
      </c>
      <c r="Y4912" s="12">
        <f>IF(OR(LEFT(K4912,4)="LVAX",LEFT(K4912,6)="MV15AX",LEFT(K4912,4)="CTAX",LEFT(K4912,2)="W|"),2*N4912*O4912,0)</f>
        <v/>
      </c>
      <c r="Z4912" s="12" t="inlineStr">
        <is>
          <t>VD 0.7 %</t>
        </is>
      </c>
      <c r="AA4912" s="12">
        <f>N4912*O4912</f>
        <v/>
      </c>
    </row>
    <row r="4913">
      <c r="A4913" s="12" t="inlineStr">
        <is>
          <t>I-P-0011</t>
        </is>
      </c>
      <c r="B4913" s="12" t="inlineStr">
        <is>
          <t>I</t>
        </is>
      </c>
      <c r="C4913" s="12" t="inlineStr">
        <is>
          <t>Modular / portable power</t>
        </is>
      </c>
      <c r="D4913" s="12" t="inlineStr">
        <is>
          <t>FC-8 SOFC output to inverter / AC cabinet</t>
        </is>
      </c>
      <c r="E4913" s="12" t="inlineStr">
        <is>
          <t>FC-8</t>
        </is>
      </c>
      <c r="F4913" s="12" t="inlineStr">
        <is>
          <t>FC-8: SOFC module (Bloom ES5 class, 200-300 kW)</t>
        </is>
      </c>
      <c r="G4913" s="12" t="inlineStr"/>
      <c r="H4913" s="12" t="inlineStr">
        <is>
          <t>FC-5..12 inverter / AC cabinet / desulfurizer</t>
        </is>
      </c>
      <c r="I4913" s="12" t="inlineStr">
        <is>
          <t>LV 600 V</t>
        </is>
      </c>
      <c r="J4913" s="12" t="inlineStr">
        <is>
          <t>Type TC-ER 600 V 3/C Cu XHHW-2 + ground, PVC jacket</t>
        </is>
      </c>
      <c r="K4913" s="12" t="inlineStr">
        <is>
          <t>LV|3/C+G|3/0</t>
        </is>
      </c>
      <c r="L4913" s="12" t="inlineStr">
        <is>
          <t>3/C+G</t>
        </is>
      </c>
      <c r="M4913" s="12" t="inlineStr">
        <is>
          <t>3/0</t>
        </is>
      </c>
      <c r="N4913" s="12" t="n">
        <v>2</v>
      </c>
      <c r="O4913" s="12" t="n">
        <v>1</v>
      </c>
      <c r="P4913" s="12" t="n">
        <v>480</v>
      </c>
      <c r="Q4913" s="12" t="n">
        <v>250</v>
      </c>
      <c r="R4913" s="12" t="n">
        <v>316.5</v>
      </c>
      <c r="S4913" s="12" t="inlineStr">
        <is>
          <t>Duct bank</t>
        </is>
      </c>
      <c r="T4913" s="16" t="n">
        <v>97</v>
      </c>
      <c r="U4913" s="16" t="n">
        <v>32</v>
      </c>
      <c r="V4913" s="16">
        <f>ROUNDUP((T4913+U4913+2*'Read Me'!$B$13)*(1+'Read Me'!$B$12),-1)</f>
        <v/>
      </c>
      <c r="W4913" s="16">
        <f>V4913*N4913*O4913</f>
        <v/>
      </c>
      <c r="X4913" s="12">
        <f>IF(LEFT(I4913,2)="MV",2*N4913*IF(L4913="1/C",O4913,1),0)</f>
        <v/>
      </c>
      <c r="Y4913" s="12">
        <f>IF(OR(LEFT(K4913,4)="LVAX",LEFT(K4913,6)="MV15AX",LEFT(K4913,4)="CTAX",LEFT(K4913,2)="W|"),2*N4913*O4913,0)</f>
        <v/>
      </c>
      <c r="Z4913" s="12" t="inlineStr">
        <is>
          <t>VD 0.6 %</t>
        </is>
      </c>
      <c r="AA4913" s="12">
        <f>N4913*O4913</f>
        <v/>
      </c>
    </row>
    <row r="4914">
      <c r="A4914" s="12" t="inlineStr">
        <is>
          <t>I-P-0012</t>
        </is>
      </c>
      <c r="B4914" s="12" t="inlineStr">
        <is>
          <t>I</t>
        </is>
      </c>
      <c r="C4914" s="12" t="inlineStr">
        <is>
          <t>Modular / portable power</t>
        </is>
      </c>
      <c r="D4914" s="12" t="inlineStr">
        <is>
          <t>FC-9 SOFC output to inverter / AC cabinet</t>
        </is>
      </c>
      <c r="E4914" s="12" t="inlineStr">
        <is>
          <t>FC-9</t>
        </is>
      </c>
      <c r="F4914" s="12" t="inlineStr">
        <is>
          <t>FC-9: SOFC module (Bloom ES5 class, 200-300 kW)</t>
        </is>
      </c>
      <c r="G4914" s="12" t="inlineStr"/>
      <c r="H4914" s="12" t="inlineStr">
        <is>
          <t>FC-5..12 inverter / AC cabinet / desulfurizer</t>
        </is>
      </c>
      <c r="I4914" s="12" t="inlineStr">
        <is>
          <t>LV 600 V</t>
        </is>
      </c>
      <c r="J4914" s="12" t="inlineStr">
        <is>
          <t>Type TC-ER 600 V 3/C Cu XHHW-2 + ground, PVC jacket</t>
        </is>
      </c>
      <c r="K4914" s="12" t="inlineStr">
        <is>
          <t>LV|3/C+G|3/0</t>
        </is>
      </c>
      <c r="L4914" s="12" t="inlineStr">
        <is>
          <t>3/C+G</t>
        </is>
      </c>
      <c r="M4914" s="12" t="inlineStr">
        <is>
          <t>3/0</t>
        </is>
      </c>
      <c r="N4914" s="12" t="n">
        <v>2</v>
      </c>
      <c r="O4914" s="12" t="n">
        <v>1</v>
      </c>
      <c r="P4914" s="12" t="n">
        <v>480</v>
      </c>
      <c r="Q4914" s="12" t="n">
        <v>250</v>
      </c>
      <c r="R4914" s="12" t="n">
        <v>316.5</v>
      </c>
      <c r="S4914" s="12" t="inlineStr">
        <is>
          <t>Duct bank</t>
        </is>
      </c>
      <c r="T4914" s="16" t="n">
        <v>83</v>
      </c>
      <c r="U4914" s="16" t="n">
        <v>32</v>
      </c>
      <c r="V4914" s="16">
        <f>ROUNDUP((T4914+U4914+2*'Read Me'!$B$13)*(1+'Read Me'!$B$12),-1)</f>
        <v/>
      </c>
      <c r="W4914" s="16">
        <f>V4914*N4914*O4914</f>
        <v/>
      </c>
      <c r="X4914" s="12">
        <f>IF(LEFT(I4914,2)="MV",2*N4914*IF(L4914="1/C",O4914,1),0)</f>
        <v/>
      </c>
      <c r="Y4914" s="12">
        <f>IF(OR(LEFT(K4914,4)="LVAX",LEFT(K4914,6)="MV15AX",LEFT(K4914,4)="CTAX",LEFT(K4914,2)="W|"),2*N4914*O4914,0)</f>
        <v/>
      </c>
      <c r="Z4914" s="12" t="inlineStr">
        <is>
          <t>VD 0.6 %</t>
        </is>
      </c>
      <c r="AA4914" s="12">
        <f>N4914*O4914</f>
        <v/>
      </c>
    </row>
    <row r="4915">
      <c r="A4915" s="12" t="inlineStr">
        <is>
          <t>I-P-0013</t>
        </is>
      </c>
      <c r="B4915" s="12" t="inlineStr">
        <is>
          <t>I</t>
        </is>
      </c>
      <c r="C4915" s="12" t="inlineStr">
        <is>
          <t>Modular / portable power</t>
        </is>
      </c>
      <c r="D4915" s="12" t="inlineStr">
        <is>
          <t>FC-10 SOFC output to inverter / AC cabinet</t>
        </is>
      </c>
      <c r="E4915" s="12" t="inlineStr">
        <is>
          <t>FC-10</t>
        </is>
      </c>
      <c r="F4915" s="12" t="inlineStr">
        <is>
          <t>FC-10: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6" t="n">
        <v>69</v>
      </c>
      <c r="U4915" s="16" t="n">
        <v>32</v>
      </c>
      <c r="V4915" s="16">
        <f>ROUNDUP((T4915+U4915+2*'Read Me'!$B$13)*(1+'Read Me'!$B$12),-1)</f>
        <v/>
      </c>
      <c r="W4915" s="16">
        <f>V4915*N4915*O4915</f>
        <v/>
      </c>
      <c r="X4915" s="12">
        <f>IF(LEFT(I4915,2)="MV",2*N4915*IF(L4915="1/C",O4915,1),0)</f>
        <v/>
      </c>
      <c r="Y4915" s="12">
        <f>IF(OR(LEFT(K4915,4)="LVAX",LEFT(K4915,6)="MV15AX",LEFT(K4915,4)="CTAX",LEFT(K4915,2)="W|"),2*N4915*O4915,0)</f>
        <v/>
      </c>
      <c r="Z4915" s="12" t="inlineStr">
        <is>
          <t>VD 0.5 %</t>
        </is>
      </c>
      <c r="AA4915" s="12">
        <f>N4915*O4915</f>
        <v/>
      </c>
    </row>
    <row r="4916">
      <c r="A4916" s="12" t="inlineStr">
        <is>
          <t>I-P-0014</t>
        </is>
      </c>
      <c r="B4916" s="12" t="inlineStr">
        <is>
          <t>I</t>
        </is>
      </c>
      <c r="C4916" s="12" t="inlineStr">
        <is>
          <t>Modular / portable power</t>
        </is>
      </c>
      <c r="D4916" s="12" t="inlineStr">
        <is>
          <t>FC-11 SOFC output to inverter / AC cabinet</t>
        </is>
      </c>
      <c r="E4916" s="12" t="inlineStr">
        <is>
          <t>FC-11</t>
        </is>
      </c>
      <c r="F4916" s="12" t="inlineStr">
        <is>
          <t>FC-11: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Duct bank</t>
        </is>
      </c>
      <c r="T4916" s="16" t="n">
        <v>55</v>
      </c>
      <c r="U4916" s="16" t="n">
        <v>32</v>
      </c>
      <c r="V4916" s="16">
        <f>ROUNDUP((T4916+U4916+2*'Read Me'!$B$13)*(1+'Read Me'!$B$12),-1)</f>
        <v/>
      </c>
      <c r="W4916" s="16">
        <f>V4916*N4916*O4916</f>
        <v/>
      </c>
      <c r="X4916" s="12">
        <f>IF(LEFT(I4916,2)="MV",2*N4916*IF(L4916="1/C",O4916,1),0)</f>
        <v/>
      </c>
      <c r="Y4916" s="12">
        <f>IF(OR(LEFT(K4916,4)="LVAX",LEFT(K4916,6)="MV15AX",LEFT(K4916,4)="CTAX",LEFT(K4916,2)="W|"),2*N4916*O4916,0)</f>
        <v/>
      </c>
      <c r="Z4916" s="12" t="inlineStr">
        <is>
          <t>VD 0.4 %</t>
        </is>
      </c>
      <c r="AA4916" s="12">
        <f>N4916*O4916</f>
        <v/>
      </c>
    </row>
    <row r="4917">
      <c r="A4917" s="12" t="inlineStr">
        <is>
          <t>I-P-0015</t>
        </is>
      </c>
      <c r="B4917" s="12" t="inlineStr">
        <is>
          <t>I</t>
        </is>
      </c>
      <c r="C4917" s="12" t="inlineStr">
        <is>
          <t>Modular / portable power</t>
        </is>
      </c>
      <c r="D4917" s="12" t="inlineStr">
        <is>
          <t>FC-12 SOFC output to inverter / AC cabinet</t>
        </is>
      </c>
      <c r="E4917" s="12" t="inlineStr">
        <is>
          <t>FC-12</t>
        </is>
      </c>
      <c r="F4917" s="12" t="inlineStr">
        <is>
          <t>FC-12: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Duct bank</t>
        </is>
      </c>
      <c r="T4917" s="16" t="n">
        <v>46</v>
      </c>
      <c r="U4917" s="16" t="n">
        <v>32</v>
      </c>
      <c r="V4917" s="16">
        <f>ROUNDUP((T4917+U4917+2*'Read Me'!$B$13)*(1+'Read Me'!$B$12),-1)</f>
        <v/>
      </c>
      <c r="W4917" s="16">
        <f>V4917*N4917*O4917</f>
        <v/>
      </c>
      <c r="X4917" s="12">
        <f>IF(LEFT(I4917,2)="MV",2*N4917*IF(L4917="1/C",O4917,1),0)</f>
        <v/>
      </c>
      <c r="Y4917" s="12">
        <f>IF(OR(LEFT(K4917,4)="LVAX",LEFT(K4917,6)="MV15AX",LEFT(K4917,4)="CTAX",LEFT(K4917,2)="W|"),2*N4917*O4917,0)</f>
        <v/>
      </c>
      <c r="Z4917" s="12" t="inlineStr">
        <is>
          <t>VD 0.4 %</t>
        </is>
      </c>
      <c r="AA4917" s="12">
        <f>N4917*O4917</f>
        <v/>
      </c>
    </row>
    <row r="4918">
      <c r="A4918" s="12" t="inlineStr">
        <is>
          <t>I-P-0016</t>
        </is>
      </c>
      <c r="B4918" s="12" t="inlineStr">
        <is>
          <t>I</t>
        </is>
      </c>
      <c r="C4918" s="12" t="inlineStr">
        <is>
          <t>Modular / portable power</t>
        </is>
      </c>
      <c r="D4918" s="12" t="inlineStr">
        <is>
          <t>FC-1 SOFC output to inverter / AC cabinet</t>
        </is>
      </c>
      <c r="E4918" s="12" t="inlineStr"/>
      <c r="F4918" s="12" t="inlineStr">
        <is>
          <t>FC-1: SOFC module (Bloom ES5 class, 200-300 kW)</t>
        </is>
      </c>
      <c r="G4918" s="12" t="inlineStr"/>
      <c r="H4918" s="12" t="inlineStr">
        <is>
          <t>Fuel-cell inverter / AC cabinet / desulfurizer</t>
        </is>
      </c>
      <c r="I4918" s="12" t="inlineStr">
        <is>
          <t>LV 600 V</t>
        </is>
      </c>
      <c r="J4918" s="12" t="inlineStr">
        <is>
          <t>ARMOR-X MC-HL 600 V 3/C Cu XHHW-2 + ground, CWA, black PVC (Class I Div 2)</t>
        </is>
      </c>
      <c r="K4918" s="12" t="inlineStr">
        <is>
          <t>LVAX|3/C+G|3/0</t>
        </is>
      </c>
      <c r="L4918" s="12" t="inlineStr">
        <is>
          <t>3/C+G</t>
        </is>
      </c>
      <c r="M4918" s="12" t="inlineStr">
        <is>
          <t>3/0</t>
        </is>
      </c>
      <c r="N4918" s="12" t="n">
        <v>2</v>
      </c>
      <c r="O4918" s="12" t="n">
        <v>1</v>
      </c>
      <c r="P4918" s="12" t="n">
        <v>480</v>
      </c>
      <c r="Q4918" s="12" t="n">
        <v>250</v>
      </c>
      <c r="R4918" s="12" t="n">
        <v>316.5</v>
      </c>
      <c r="S4918" s="12" t="inlineStr">
        <is>
          <t>Tray</t>
        </is>
      </c>
      <c r="T4918" s="16" t="n">
        <v>62</v>
      </c>
      <c r="U4918" s="16" t="n">
        <v>32</v>
      </c>
      <c r="V4918" s="16">
        <f>ROUNDUP((T4918+U4918+2*'Read Me'!$B$13)*(1+'Read Me'!$B$12),-1)</f>
        <v/>
      </c>
      <c r="W4918" s="16">
        <f>V4918*N4918*O4918</f>
        <v/>
      </c>
      <c r="X4918" s="12">
        <f>IF(LEFT(I4918,2)="MV",2*N4918*IF(L4918="1/C",O4918,1),0)</f>
        <v/>
      </c>
      <c r="Y4918" s="12">
        <f>IF(OR(LEFT(K4918,4)="LVAX",LEFT(K4918,6)="MV15AX",LEFT(K4918,4)="CTAX",LEFT(K4918,2)="W|"),2*N4918*O4918,0)</f>
        <v/>
      </c>
      <c r="Z4918" s="12" t="inlineStr">
        <is>
          <t>VD 0.5 %</t>
        </is>
      </c>
      <c r="AA4918" s="12">
        <f>N4918*O4918</f>
        <v/>
      </c>
    </row>
    <row r="4919">
      <c r="A4919" s="12" t="inlineStr">
        <is>
          <t>I-P-0017</t>
        </is>
      </c>
      <c r="B4919" s="12" t="inlineStr">
        <is>
          <t>I</t>
        </is>
      </c>
      <c r="C4919" s="12" t="inlineStr">
        <is>
          <t>Modular / portable power</t>
        </is>
      </c>
      <c r="D4919" s="12" t="inlineStr">
        <is>
          <t>FC-2 SOFC output to inverter / AC cabinet</t>
        </is>
      </c>
      <c r="E4919" s="12" t="inlineStr"/>
      <c r="F4919" s="12" t="inlineStr">
        <is>
          <t>FC-2: SOFC module (Bloom ES5 class, 200-300 kW)</t>
        </is>
      </c>
      <c r="G4919" s="12" t="inlineStr"/>
      <c r="H4919" s="12" t="inlineStr">
        <is>
          <t>Fuel-cell inverter / AC cabinet / desulfurizer</t>
        </is>
      </c>
      <c r="I4919" s="12" t="inlineStr">
        <is>
          <t>LV 600 V</t>
        </is>
      </c>
      <c r="J4919" s="12" t="inlineStr">
        <is>
          <t>ARMOR-X MC-HL 600 V 3/C Cu XHHW-2 + ground, CWA, black PVC (Class I Div 2)</t>
        </is>
      </c>
      <c r="K4919" s="12" t="inlineStr">
        <is>
          <t>LVAX|3/C+G|3/0</t>
        </is>
      </c>
      <c r="L4919" s="12" t="inlineStr">
        <is>
          <t>3/C+G</t>
        </is>
      </c>
      <c r="M4919" s="12" t="inlineStr">
        <is>
          <t>3/0</t>
        </is>
      </c>
      <c r="N4919" s="12" t="n">
        <v>2</v>
      </c>
      <c r="O4919" s="12" t="n">
        <v>1</v>
      </c>
      <c r="P4919" s="12" t="n">
        <v>480</v>
      </c>
      <c r="Q4919" s="12" t="n">
        <v>250</v>
      </c>
      <c r="R4919" s="12" t="n">
        <v>316.5</v>
      </c>
      <c r="S4919" s="12" t="inlineStr">
        <is>
          <t>Tray</t>
        </is>
      </c>
      <c r="T4919" s="16" t="n">
        <v>39</v>
      </c>
      <c r="U4919" s="16" t="n">
        <v>41</v>
      </c>
      <c r="V4919" s="16">
        <f>ROUNDUP((T4919+U4919+2*'Read Me'!$B$13)*(1+'Read Me'!$B$12),-1)</f>
        <v/>
      </c>
      <c r="W4919" s="16">
        <f>V4919*N4919*O4919</f>
        <v/>
      </c>
      <c r="X4919" s="12">
        <f>IF(LEFT(I4919,2)="MV",2*N4919*IF(L4919="1/C",O4919,1),0)</f>
        <v/>
      </c>
      <c r="Y4919" s="12">
        <f>IF(OR(LEFT(K4919,4)="LVAX",LEFT(K4919,6)="MV15AX",LEFT(K4919,4)="CTAX",LEFT(K4919,2)="W|"),2*N4919*O4919,0)</f>
        <v/>
      </c>
      <c r="Z4919" s="12" t="inlineStr">
        <is>
          <t>VD 0.4 %</t>
        </is>
      </c>
      <c r="AA4919" s="12">
        <f>N4919*O4919</f>
        <v/>
      </c>
    </row>
    <row r="4920">
      <c r="A4920" s="12" t="inlineStr">
        <is>
          <t>I-P-0018</t>
        </is>
      </c>
      <c r="B4920" s="12" t="inlineStr">
        <is>
          <t>I</t>
        </is>
      </c>
      <c r="C4920" s="12" t="inlineStr">
        <is>
          <t>Modular / portable power</t>
        </is>
      </c>
      <c r="D4920" s="12" t="inlineStr">
        <is>
          <t>FC-3 SOFC output to inverter / AC cabinet</t>
        </is>
      </c>
      <c r="E4920" s="12" t="inlineStr"/>
      <c r="F4920" s="12" t="inlineStr">
        <is>
          <t>FC-3: SOFC module (Bloom ES5 class, 200-300 kW)</t>
        </is>
      </c>
      <c r="G4920" s="12" t="inlineStr"/>
      <c r="H4920" s="12" t="inlineStr">
        <is>
          <t>Fuel-cell inverter / AC cabinet / desulfurizer</t>
        </is>
      </c>
      <c r="I4920" s="12" t="inlineStr">
        <is>
          <t>LV 600 V</t>
        </is>
      </c>
      <c r="J4920" s="12" t="inlineStr">
        <is>
          <t>ARMOR-X MC-HL 600 V 3/C Cu XHHW-2 + ground, CWA, black PVC (Class I Div 2)</t>
        </is>
      </c>
      <c r="K4920" s="12" t="inlineStr">
        <is>
          <t>LVAX|3/C+G|3/0</t>
        </is>
      </c>
      <c r="L4920" s="12" t="inlineStr">
        <is>
          <t>3/C+G</t>
        </is>
      </c>
      <c r="M4920" s="12" t="inlineStr">
        <is>
          <t>3/0</t>
        </is>
      </c>
      <c r="N4920" s="12" t="n">
        <v>2</v>
      </c>
      <c r="O4920" s="12" t="n">
        <v>1</v>
      </c>
      <c r="P4920" s="12" t="n">
        <v>480</v>
      </c>
      <c r="Q4920" s="12" t="n">
        <v>250</v>
      </c>
      <c r="R4920" s="12" t="n">
        <v>316.5</v>
      </c>
      <c r="S4920" s="12" t="inlineStr">
        <is>
          <t>Tray</t>
        </is>
      </c>
      <c r="T4920" s="16" t="n">
        <v>11</v>
      </c>
      <c r="U4920" s="16" t="n">
        <v>55</v>
      </c>
      <c r="V4920" s="16">
        <f>ROUNDUP((T4920+U4920+2*'Read Me'!$B$13)*(1+'Read Me'!$B$12),-1)</f>
        <v/>
      </c>
      <c r="W4920" s="16">
        <f>V4920*N4920*O4920</f>
        <v/>
      </c>
      <c r="X4920" s="12">
        <f>IF(LEFT(I4920,2)="MV",2*N4920*IF(L4920="1/C",O4920,1),0)</f>
        <v/>
      </c>
      <c r="Y4920" s="12">
        <f>IF(OR(LEFT(K4920,4)="LVAX",LEFT(K4920,6)="MV15AX",LEFT(K4920,4)="CTAX",LEFT(K4920,2)="W|"),2*N4920*O4920,0)</f>
        <v/>
      </c>
      <c r="Z4920" s="12" t="inlineStr">
        <is>
          <t>VD 0.3 %</t>
        </is>
      </c>
      <c r="AA4920" s="12">
        <f>N4920*O4920</f>
        <v/>
      </c>
    </row>
    <row r="4921">
      <c r="A4921" s="12" t="inlineStr">
        <is>
          <t>I-P-0019</t>
        </is>
      </c>
      <c r="B4921" s="12" t="inlineStr">
        <is>
          <t>I</t>
        </is>
      </c>
      <c r="C4921" s="12" t="inlineStr">
        <is>
          <t>Modular / portable power</t>
        </is>
      </c>
      <c r="D4921" s="12" t="inlineStr">
        <is>
          <t>FC-4 SOFC output to inverter / AC cabinet</t>
        </is>
      </c>
      <c r="E4921" s="12" t="inlineStr"/>
      <c r="F4921" s="12" t="inlineStr">
        <is>
          <t>FC-4: SOFC module (Bloom ES5 class, 200-300 kW)</t>
        </is>
      </c>
      <c r="G4921" s="12" t="inlineStr"/>
      <c r="H4921" s="12" t="inlineStr">
        <is>
          <t>Fuel-cell inverter / AC cabinet / desulfurizer</t>
        </is>
      </c>
      <c r="I4921" s="12" t="inlineStr">
        <is>
          <t>LV 600 V</t>
        </is>
      </c>
      <c r="J4921" s="12" t="inlineStr">
        <is>
          <t>ARMOR-X MC-HL 600 V 3/C Cu XHHW-2 + ground, CWA, black PVC (Class I Div 2)</t>
        </is>
      </c>
      <c r="K4921" s="12" t="inlineStr">
        <is>
          <t>LVAX|3/C+G|3/0</t>
        </is>
      </c>
      <c r="L4921" s="12" t="inlineStr">
        <is>
          <t>3/C+G</t>
        </is>
      </c>
      <c r="M4921" s="12" t="inlineStr">
        <is>
          <t>3/0</t>
        </is>
      </c>
      <c r="N4921" s="12" t="n">
        <v>2</v>
      </c>
      <c r="O4921" s="12" t="n">
        <v>1</v>
      </c>
      <c r="P4921" s="12" t="n">
        <v>480</v>
      </c>
      <c r="Q4921" s="12" t="n">
        <v>250</v>
      </c>
      <c r="R4921" s="12" t="n">
        <v>316.5</v>
      </c>
      <c r="S4921" s="12" t="inlineStr">
        <is>
          <t>Tray</t>
        </is>
      </c>
      <c r="T4921" s="16" t="n">
        <v>0</v>
      </c>
      <c r="U4921" s="16" t="n">
        <v>52</v>
      </c>
      <c r="V4921" s="16">
        <f>ROUNDUP((T4921+U4921+2*'Read Me'!$B$13)*(1+'Read Me'!$B$12),-1)</f>
        <v/>
      </c>
      <c r="W4921" s="16">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I-P-0020</t>
        </is>
      </c>
      <c r="B4922" s="12" t="inlineStr">
        <is>
          <t>I</t>
        </is>
      </c>
      <c r="C4922" s="12" t="inlineStr">
        <is>
          <t>Modular / portable power</t>
        </is>
      </c>
      <c r="D4922" s="12" t="inlineStr">
        <is>
          <t>Motor 1 of 6, 15 kW</t>
        </is>
      </c>
      <c r="E4922" s="12" t="inlineStr"/>
      <c r="F4922" s="12" t="inlineStr">
        <is>
          <t>MOD-LV 480 V board + 480 V : 13.8 kV step-up</t>
        </is>
      </c>
      <c r="G4922" s="12" t="inlineStr"/>
      <c r="H4922" s="12" t="inlineStr">
        <is>
          <t>Fuel-gas compressors 3 x 100% electric</t>
        </is>
      </c>
      <c r="I4922" s="12" t="inlineStr">
        <is>
          <t>LV 600 V</t>
        </is>
      </c>
      <c r="J4922" s="12" t="inlineStr">
        <is>
          <t>ARMOR-X MC-HL 600 V 3/C Cu XHHW-2 + ground, CWA, black PVC (Class I Div 2)</t>
        </is>
      </c>
      <c r="K4922" s="12" t="inlineStr">
        <is>
          <t>LVAX|3/C+G|3/0</t>
        </is>
      </c>
      <c r="L4922" s="12" t="inlineStr">
        <is>
          <t>3/C+G</t>
        </is>
      </c>
      <c r="M4922" s="12" t="inlineStr">
        <is>
          <t>3/0</t>
        </is>
      </c>
      <c r="N4922" s="12" t="n">
        <v>1</v>
      </c>
      <c r="O4922" s="12" t="n">
        <v>1</v>
      </c>
      <c r="P4922" s="12" t="n">
        <v>480</v>
      </c>
      <c r="Q4922" s="12" t="n">
        <v>15</v>
      </c>
      <c r="R4922" s="12" t="n">
        <v>21.2</v>
      </c>
      <c r="S4922" s="12" t="inlineStr">
        <is>
          <t>HV duct bank</t>
        </is>
      </c>
      <c r="T4922" s="16" t="n">
        <v>4396</v>
      </c>
      <c r="U4922" s="16" t="n">
        <v>40</v>
      </c>
      <c r="V4922" s="16">
        <f>ROUNDUP((T4922+U4922+2*'Read Me'!$B$13)*(1+'Read Me'!$B$12),-1)</f>
        <v/>
      </c>
      <c r="W4922" s="16">
        <f>V4922*N4922*O4922</f>
        <v/>
      </c>
      <c r="X4922" s="12">
        <f>IF(LEFT(I4922,2)="MV",2*N4922*IF(L4922="1/C",O4922,1),0)</f>
        <v/>
      </c>
      <c r="Y4922" s="12">
        <f>IF(OR(LEFT(K4922,4)="LVAX",LEFT(K4922,6)="MV15AX",LEFT(K4922,4)="CTAX",LEFT(K4922,2)="W|"),2*N4922*O4922,0)</f>
        <v/>
      </c>
      <c r="Z4922" s="12" t="inlineStr">
        <is>
          <t>VD 2.9 %</t>
        </is>
      </c>
      <c r="AA4922" s="12">
        <f>N4922*O4922</f>
        <v/>
      </c>
    </row>
    <row r="4923">
      <c r="A4923" s="12" t="inlineStr">
        <is>
          <t>I-P-0021</t>
        </is>
      </c>
      <c r="B4923" s="12" t="inlineStr">
        <is>
          <t>I</t>
        </is>
      </c>
      <c r="C4923" s="12" t="inlineStr">
        <is>
          <t>Modular / portable power</t>
        </is>
      </c>
      <c r="D4923" s="12" t="inlineStr">
        <is>
          <t>Motor 2 of 6, 15 kW</t>
        </is>
      </c>
      <c r="E4923" s="12" t="inlineStr"/>
      <c r="F4923" s="12" t="inlineStr">
        <is>
          <t>MOD-LV 480 V board + 480 V : 13.8 kV step-up</t>
        </is>
      </c>
      <c r="G4923" s="12" t="inlineStr"/>
      <c r="H4923" s="12" t="inlineStr">
        <is>
          <t>Fuel-gas compressors 3 x 100% electric</t>
        </is>
      </c>
      <c r="I4923" s="12" t="inlineStr">
        <is>
          <t>LV 600 V</t>
        </is>
      </c>
      <c r="J4923" s="12" t="inlineStr">
        <is>
          <t>ARMOR-X MC-HL 600 V 3/C Cu XHHW-2 + ground, CWA, black PVC (Class I Div 2)</t>
        </is>
      </c>
      <c r="K4923" s="12" t="inlineStr">
        <is>
          <t>LVAX|3/C+G|3/0</t>
        </is>
      </c>
      <c r="L4923" s="12" t="inlineStr">
        <is>
          <t>3/C+G</t>
        </is>
      </c>
      <c r="M4923" s="12" t="inlineStr">
        <is>
          <t>3/0</t>
        </is>
      </c>
      <c r="N4923" s="12" t="n">
        <v>1</v>
      </c>
      <c r="O4923" s="12" t="n">
        <v>1</v>
      </c>
      <c r="P4923" s="12" t="n">
        <v>480</v>
      </c>
      <c r="Q4923" s="12" t="n">
        <v>15</v>
      </c>
      <c r="R4923" s="12" t="n">
        <v>21.2</v>
      </c>
      <c r="S4923" s="12" t="inlineStr">
        <is>
          <t>HV duct bank</t>
        </is>
      </c>
      <c r="T4923" s="16" t="n">
        <v>4396</v>
      </c>
      <c r="U4923" s="16" t="n">
        <v>40</v>
      </c>
      <c r="V4923" s="16">
        <f>ROUNDUP((T4923+U4923+2*'Read Me'!$B$13)*(1+'Read Me'!$B$12),-1)</f>
        <v/>
      </c>
      <c r="W4923" s="16">
        <f>V4923*N4923*O4923</f>
        <v/>
      </c>
      <c r="X4923" s="12">
        <f>IF(LEFT(I4923,2)="MV",2*N4923*IF(L4923="1/C",O4923,1),0)</f>
        <v/>
      </c>
      <c r="Y4923" s="12">
        <f>IF(OR(LEFT(K4923,4)="LVAX",LEFT(K4923,6)="MV15AX",LEFT(K4923,4)="CTAX",LEFT(K4923,2)="W|"),2*N4923*O4923,0)</f>
        <v/>
      </c>
      <c r="Z4923" s="12" t="inlineStr">
        <is>
          <t>VD 2.9 %</t>
        </is>
      </c>
      <c r="AA4923" s="12">
        <f>N4923*O4923</f>
        <v/>
      </c>
    </row>
    <row r="4924">
      <c r="A4924" s="12" t="inlineStr">
        <is>
          <t>I-P-0022</t>
        </is>
      </c>
      <c r="B4924" s="12" t="inlineStr">
        <is>
          <t>I</t>
        </is>
      </c>
      <c r="C4924" s="12" t="inlineStr">
        <is>
          <t>Modular / portable power</t>
        </is>
      </c>
      <c r="D4924" s="12" t="inlineStr">
        <is>
          <t>Motor 3 of 6, 15 kW</t>
        </is>
      </c>
      <c r="E4924" s="12" t="inlineStr"/>
      <c r="F4924" s="12" t="inlineStr">
        <is>
          <t>MOD-LV 480 V board + 480 V : 13.8 kV step-up</t>
        </is>
      </c>
      <c r="G4924" s="12" t="inlineStr"/>
      <c r="H4924" s="12" t="inlineStr">
        <is>
          <t>Fuel-gas compressors 3 x 100% electric</t>
        </is>
      </c>
      <c r="I4924" s="12" t="inlineStr">
        <is>
          <t>LV 600 V</t>
        </is>
      </c>
      <c r="J4924" s="12" t="inlineStr">
        <is>
          <t>ARMOR-X MC-HL 600 V 3/C Cu XHHW-2 + ground, CWA, black PVC (Class I Div 2)</t>
        </is>
      </c>
      <c r="K4924" s="12" t="inlineStr">
        <is>
          <t>LVAX|3/C+G|3/0</t>
        </is>
      </c>
      <c r="L4924" s="12" t="inlineStr">
        <is>
          <t>3/C+G</t>
        </is>
      </c>
      <c r="M4924" s="12" t="inlineStr">
        <is>
          <t>3/0</t>
        </is>
      </c>
      <c r="N4924" s="12" t="n">
        <v>1</v>
      </c>
      <c r="O4924" s="12" t="n">
        <v>1</v>
      </c>
      <c r="P4924" s="12" t="n">
        <v>480</v>
      </c>
      <c r="Q4924" s="12" t="n">
        <v>15</v>
      </c>
      <c r="R4924" s="12" t="n">
        <v>21.2</v>
      </c>
      <c r="S4924" s="12" t="inlineStr">
        <is>
          <t>HV duct bank</t>
        </is>
      </c>
      <c r="T4924" s="16" t="n">
        <v>4396</v>
      </c>
      <c r="U4924" s="16" t="n">
        <v>40</v>
      </c>
      <c r="V4924" s="16">
        <f>ROUNDUP((T4924+U4924+2*'Read Me'!$B$13)*(1+'Read Me'!$B$12),-1)</f>
        <v/>
      </c>
      <c r="W4924" s="16">
        <f>V4924*N4924*O4924</f>
        <v/>
      </c>
      <c r="X4924" s="12">
        <f>IF(LEFT(I4924,2)="MV",2*N4924*IF(L4924="1/C",O4924,1),0)</f>
        <v/>
      </c>
      <c r="Y4924" s="12">
        <f>IF(OR(LEFT(K4924,4)="LVAX",LEFT(K4924,6)="MV15AX",LEFT(K4924,4)="CTAX",LEFT(K4924,2)="W|"),2*N4924*O4924,0)</f>
        <v/>
      </c>
      <c r="Z4924" s="12" t="inlineStr">
        <is>
          <t>VD 2.9 %</t>
        </is>
      </c>
      <c r="AA4924" s="12">
        <f>N4924*O4924</f>
        <v/>
      </c>
    </row>
    <row r="4925">
      <c r="A4925" s="12" t="inlineStr">
        <is>
          <t>I-P-0023</t>
        </is>
      </c>
      <c r="B4925" s="12" t="inlineStr">
        <is>
          <t>I</t>
        </is>
      </c>
      <c r="C4925" s="12" t="inlineStr">
        <is>
          <t>Modular / portable power</t>
        </is>
      </c>
      <c r="D4925" s="12" t="inlineStr">
        <is>
          <t>Motor 4 of 6, 15 kW</t>
        </is>
      </c>
      <c r="E4925" s="12" t="inlineStr"/>
      <c r="F4925" s="12" t="inlineStr">
        <is>
          <t>MOD-LV 480 V board + 480 V : 13.8 kV step-up</t>
        </is>
      </c>
      <c r="G4925" s="12" t="inlineStr"/>
      <c r="H4925" s="12" t="inlineStr">
        <is>
          <t>Fuel-gas compressors 3 x 100% electric</t>
        </is>
      </c>
      <c r="I4925" s="12" t="inlineStr">
        <is>
          <t>LV 600 V</t>
        </is>
      </c>
      <c r="J4925" s="12" t="inlineStr">
        <is>
          <t>ARMOR-X MC-HL 600 V 3/C Cu XHHW-2 + ground, CWA, black PVC (Class I Div 2)</t>
        </is>
      </c>
      <c r="K4925" s="12" t="inlineStr">
        <is>
          <t>LVAX|3/C+G|3/0</t>
        </is>
      </c>
      <c r="L4925" s="12" t="inlineStr">
        <is>
          <t>3/C+G</t>
        </is>
      </c>
      <c r="M4925" s="12" t="inlineStr">
        <is>
          <t>3/0</t>
        </is>
      </c>
      <c r="N4925" s="12" t="n">
        <v>1</v>
      </c>
      <c r="O4925" s="12" t="n">
        <v>1</v>
      </c>
      <c r="P4925" s="12" t="n">
        <v>480</v>
      </c>
      <c r="Q4925" s="12" t="n">
        <v>15</v>
      </c>
      <c r="R4925" s="12" t="n">
        <v>21.2</v>
      </c>
      <c r="S4925" s="12" t="inlineStr">
        <is>
          <t>HV duct bank</t>
        </is>
      </c>
      <c r="T4925" s="16" t="n">
        <v>4396</v>
      </c>
      <c r="U4925" s="16" t="n">
        <v>40</v>
      </c>
      <c r="V4925" s="16">
        <f>ROUNDUP((T4925+U4925+2*'Read Me'!$B$13)*(1+'Read Me'!$B$12),-1)</f>
        <v/>
      </c>
      <c r="W4925" s="16">
        <f>V4925*N4925*O4925</f>
        <v/>
      </c>
      <c r="X4925" s="12">
        <f>IF(LEFT(I4925,2)="MV",2*N4925*IF(L4925="1/C",O4925,1),0)</f>
        <v/>
      </c>
      <c r="Y4925" s="12">
        <f>IF(OR(LEFT(K4925,4)="LVAX",LEFT(K4925,6)="MV15AX",LEFT(K4925,4)="CTAX",LEFT(K4925,2)="W|"),2*N4925*O4925,0)</f>
        <v/>
      </c>
      <c r="Z4925" s="12" t="inlineStr">
        <is>
          <t>VD 2.9 %</t>
        </is>
      </c>
      <c r="AA4925" s="12">
        <f>N4925*O4925</f>
        <v/>
      </c>
    </row>
    <row r="4926">
      <c r="A4926" s="12" t="inlineStr">
        <is>
          <t>I-P-0024</t>
        </is>
      </c>
      <c r="B4926" s="12" t="inlineStr">
        <is>
          <t>I</t>
        </is>
      </c>
      <c r="C4926" s="12" t="inlineStr">
        <is>
          <t>Modular / portable power</t>
        </is>
      </c>
      <c r="D4926" s="12" t="inlineStr">
        <is>
          <t>Motor 5 of 6, 15 kW</t>
        </is>
      </c>
      <c r="E4926" s="12" t="inlineStr"/>
      <c r="F4926" s="12" t="inlineStr">
        <is>
          <t>MOD-LV 480 V board + 480 V : 13.8 kV step-up</t>
        </is>
      </c>
      <c r="G4926" s="12" t="inlineStr"/>
      <c r="H4926" s="12" t="inlineStr">
        <is>
          <t>Fuel-gas compressors 3 x 100% electric</t>
        </is>
      </c>
      <c r="I4926" s="12" t="inlineStr">
        <is>
          <t>LV 600 V</t>
        </is>
      </c>
      <c r="J4926" s="12" t="inlineStr">
        <is>
          <t>ARMOR-X MC-HL 600 V 3/C Cu XHHW-2 + ground, CWA, black PVC (Class I Div 2)</t>
        </is>
      </c>
      <c r="K4926" s="12" t="inlineStr">
        <is>
          <t>LVAX|3/C+G|3/0</t>
        </is>
      </c>
      <c r="L4926" s="12" t="inlineStr">
        <is>
          <t>3/C+G</t>
        </is>
      </c>
      <c r="M4926" s="12" t="inlineStr">
        <is>
          <t>3/0</t>
        </is>
      </c>
      <c r="N4926" s="12" t="n">
        <v>1</v>
      </c>
      <c r="O4926" s="12" t="n">
        <v>1</v>
      </c>
      <c r="P4926" s="12" t="n">
        <v>480</v>
      </c>
      <c r="Q4926" s="12" t="n">
        <v>15</v>
      </c>
      <c r="R4926" s="12" t="n">
        <v>21.2</v>
      </c>
      <c r="S4926" s="12" t="inlineStr">
        <is>
          <t>HV duct bank</t>
        </is>
      </c>
      <c r="T4926" s="16" t="n">
        <v>4396</v>
      </c>
      <c r="U4926" s="16" t="n">
        <v>40</v>
      </c>
      <c r="V4926" s="16">
        <f>ROUNDUP((T4926+U4926+2*'Read Me'!$B$13)*(1+'Read Me'!$B$12),-1)</f>
        <v/>
      </c>
      <c r="W4926" s="16">
        <f>V4926*N4926*O4926</f>
        <v/>
      </c>
      <c r="X4926" s="12">
        <f>IF(LEFT(I4926,2)="MV",2*N4926*IF(L4926="1/C",O4926,1),0)</f>
        <v/>
      </c>
      <c r="Y4926" s="12">
        <f>IF(OR(LEFT(K4926,4)="LVAX",LEFT(K4926,6)="MV15AX",LEFT(K4926,4)="CTAX",LEFT(K4926,2)="W|"),2*N4926*O4926,0)</f>
        <v/>
      </c>
      <c r="Z4926" s="12" t="inlineStr">
        <is>
          <t>VD 2.9 %</t>
        </is>
      </c>
      <c r="AA4926" s="12">
        <f>N4926*O4926</f>
        <v/>
      </c>
    </row>
    <row r="4927">
      <c r="A4927" s="12" t="inlineStr">
        <is>
          <t>I-P-0025</t>
        </is>
      </c>
      <c r="B4927" s="12" t="inlineStr">
        <is>
          <t>I</t>
        </is>
      </c>
      <c r="C4927" s="12" t="inlineStr">
        <is>
          <t>Modular / portable power</t>
        </is>
      </c>
      <c r="D4927" s="12" t="inlineStr">
        <is>
          <t>Motor 6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LVAX|3/C+G|3/0</t>
        </is>
      </c>
      <c r="L4927" s="12" t="inlineStr">
        <is>
          <t>3/C+G</t>
        </is>
      </c>
      <c r="M4927" s="12" t="inlineStr">
        <is>
          <t>3/0</t>
        </is>
      </c>
      <c r="N4927" s="12" t="n">
        <v>1</v>
      </c>
      <c r="O4927" s="12" t="n">
        <v>1</v>
      </c>
      <c r="P4927" s="12" t="n">
        <v>480</v>
      </c>
      <c r="Q4927" s="12" t="n">
        <v>15</v>
      </c>
      <c r="R4927" s="12" t="n">
        <v>21.2</v>
      </c>
      <c r="S4927" s="12" t="inlineStr">
        <is>
          <t>HV duct bank</t>
        </is>
      </c>
      <c r="T4927" s="16" t="n">
        <v>4396</v>
      </c>
      <c r="U4927" s="16" t="n">
        <v>40</v>
      </c>
      <c r="V4927" s="16">
        <f>ROUNDUP((T4927+U4927+2*'Read Me'!$B$13)*(1+'Read Me'!$B$12),-1)</f>
        <v/>
      </c>
      <c r="W4927" s="16">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I-P-0026</t>
        </is>
      </c>
      <c r="B4928" s="12" t="inlineStr">
        <is>
          <t>I</t>
        </is>
      </c>
      <c r="C4928" s="12" t="inlineStr">
        <is>
          <t>Modular / portable power</t>
        </is>
      </c>
      <c r="D4928" s="12" t="inlineStr">
        <is>
          <t>LV power feeder</t>
        </is>
      </c>
      <c r="E4928" s="12" t="inlineStr"/>
      <c r="F4928" s="12" t="inlineStr">
        <is>
          <t>PCM: power control module</t>
        </is>
      </c>
      <c r="G4928" s="12" t="inlineStr"/>
      <c r="H4928" s="12" t="inlineStr">
        <is>
          <t>Gas conditioning skid</t>
        </is>
      </c>
      <c r="I4928" s="12" t="inlineStr">
        <is>
          <t>LV 600 V</t>
        </is>
      </c>
      <c r="J4928" s="12" t="inlineStr">
        <is>
          <t>ARMOR-X MC-HL 600 V 3/C Cu XHHW-2 + ground, CWA, black PVC (Class I Div 2)</t>
        </is>
      </c>
      <c r="K4928" s="12" t="inlineStr">
        <is>
          <t>LVAX|3/C+G|6</t>
        </is>
      </c>
      <c r="L4928" s="12" t="inlineStr">
        <is>
          <t>3/C+G</t>
        </is>
      </c>
      <c r="M4928" s="12" t="inlineStr">
        <is>
          <t>6</t>
        </is>
      </c>
      <c r="N4928" s="12" t="n">
        <v>1</v>
      </c>
      <c r="O4928" s="12" t="n">
        <v>1</v>
      </c>
      <c r="P4928" s="12" t="n">
        <v>480</v>
      </c>
      <c r="Q4928" s="12" t="n">
        <v>30</v>
      </c>
      <c r="R4928" s="12" t="n">
        <v>42.5</v>
      </c>
      <c r="S4928" s="12" t="inlineStr">
        <is>
          <t>Tray</t>
        </is>
      </c>
      <c r="T4928" s="16" t="n">
        <v>32</v>
      </c>
      <c r="U4928" s="16" t="n">
        <v>94</v>
      </c>
      <c r="V4928" s="16">
        <f>ROUNDUP((T4928+U4928+2*'Read Me'!$B$13)*(1+'Read Me'!$B$12),-1)</f>
        <v/>
      </c>
      <c r="W4928" s="16">
        <f>V4928*N4928*O4928</f>
        <v/>
      </c>
      <c r="X4928" s="12">
        <f>IF(LEFT(I4928,2)="MV",2*N4928*IF(L4928="1/C",O4928,1),0)</f>
        <v/>
      </c>
      <c r="Y4928" s="12">
        <f>IF(OR(LEFT(K4928,4)="LVAX",LEFT(K4928,6)="MV15AX",LEFT(K4928,4)="CTAX",LEFT(K4928,2)="W|"),2*N4928*O4928,0)</f>
        <v/>
      </c>
      <c r="Z4928" s="12" t="inlineStr">
        <is>
          <t>VD 1.0 %</t>
        </is>
      </c>
      <c r="AA4928" s="12">
        <f>N4928*O4928</f>
        <v/>
      </c>
    </row>
    <row r="4929">
      <c r="A4929" s="12" t="inlineStr">
        <is>
          <t>I-P-0027</t>
        </is>
      </c>
      <c r="B4929" s="12" t="inlineStr">
        <is>
          <t>I</t>
        </is>
      </c>
      <c r="C4929" s="12" t="inlineStr">
        <is>
          <t>Modular / portable power</t>
        </is>
      </c>
      <c r="D4929" s="12" t="inlineStr">
        <is>
          <t>LV panel / distribution feeder</t>
        </is>
      </c>
      <c r="E4929" s="12" t="inlineStr"/>
      <c r="F4929" s="12" t="inlineStr">
        <is>
          <t>PCM: power control module</t>
        </is>
      </c>
      <c r="G4929" s="12" t="inlineStr"/>
      <c r="H4929" s="12" t="inlineStr">
        <is>
          <t>Lube oil / starting air / oily water building</t>
        </is>
      </c>
      <c r="I4929" s="12" t="inlineStr">
        <is>
          <t>LV 600 V</t>
        </is>
      </c>
      <c r="J4929" s="12" t="inlineStr">
        <is>
          <t>Type TC-ER 600 V 3/C Cu XHHW-2 + ground, PVC jacket</t>
        </is>
      </c>
      <c r="K4929" s="12" t="inlineStr">
        <is>
          <t>LV|3/C+G|1/0</t>
        </is>
      </c>
      <c r="L4929" s="12" t="inlineStr">
        <is>
          <t>3/C+G</t>
        </is>
      </c>
      <c r="M4929" s="12" t="inlineStr">
        <is>
          <t>1/0</t>
        </is>
      </c>
      <c r="N4929" s="12" t="n">
        <v>1</v>
      </c>
      <c r="O4929" s="12" t="n">
        <v>1</v>
      </c>
      <c r="P4929" s="12" t="n">
        <v>480</v>
      </c>
      <c r="Q4929" s="12" t="n">
        <v>79</v>
      </c>
      <c r="R4929" s="12" t="n">
        <v>111.8</v>
      </c>
      <c r="S4929" s="12" t="inlineStr">
        <is>
          <t>Tray</t>
        </is>
      </c>
      <c r="T4929" s="16" t="n">
        <v>32</v>
      </c>
      <c r="U4929" s="16" t="n">
        <v>164</v>
      </c>
      <c r="V4929" s="16">
        <f>ROUNDUP((T4929+U4929+2*'Read Me'!$B$13)*(1+'Read Me'!$B$12),-1)</f>
        <v/>
      </c>
      <c r="W4929" s="16">
        <f>V4929*N4929*O4929</f>
        <v/>
      </c>
      <c r="X4929" s="12">
        <f>IF(LEFT(I4929,2)="MV",2*N4929*IF(L4929="1/C",O4929,1),0)</f>
        <v/>
      </c>
      <c r="Y4929" s="12">
        <f>IF(OR(LEFT(K4929,4)="LVAX",LEFT(K4929,6)="MV15AX",LEFT(K4929,4)="CTAX",LEFT(K4929,2)="W|"),2*N4929*O4929,0)</f>
        <v/>
      </c>
      <c r="Z4929" s="12" t="inlineStr">
        <is>
          <t>VD 1.1 %</t>
        </is>
      </c>
      <c r="AA4929" s="12">
        <f>N4929*O4929</f>
        <v/>
      </c>
    </row>
    <row r="4930">
      <c r="A4930" s="12" t="inlineStr">
        <is>
          <t>I-P-0028</t>
        </is>
      </c>
      <c r="B4930" s="12" t="inlineStr">
        <is>
          <t>I</t>
        </is>
      </c>
      <c r="C4930" s="12" t="inlineStr">
        <is>
          <t>Modular / portable power</t>
        </is>
      </c>
      <c r="D4930" s="12" t="inlineStr">
        <is>
          <t>LV panel / distribution feeder</t>
        </is>
      </c>
      <c r="E4930" s="12" t="inlineStr"/>
      <c r="F4930" s="12" t="inlineStr">
        <is>
          <t>MOD-LV 480 V board + 480 V : 13.8 kV step-up</t>
        </is>
      </c>
      <c r="G4930" s="12" t="inlineStr">
        <is>
          <t>MOD-EH</t>
        </is>
      </c>
      <c r="H4930" s="12" t="inlineStr">
        <is>
          <t>MOD-EH: 13.8 kV modular collector e-house</t>
        </is>
      </c>
      <c r="I4930" s="12" t="inlineStr">
        <is>
          <t>LV 600 V</t>
        </is>
      </c>
      <c r="J4930" s="12" t="inlineStr">
        <is>
          <t>Type TC-ER 600 V 3/C Cu XHHW-2 + ground, PVC jacket</t>
        </is>
      </c>
      <c r="K4930" s="12" t="inlineStr">
        <is>
          <t>LV|3/C+G|4</t>
        </is>
      </c>
      <c r="L4930" s="12" t="inlineStr">
        <is>
          <t>3/C+G</t>
        </is>
      </c>
      <c r="M4930" s="12" t="inlineStr">
        <is>
          <t>4</t>
        </is>
      </c>
      <c r="N4930" s="12" t="n">
        <v>1</v>
      </c>
      <c r="O4930" s="12" t="n">
        <v>1</v>
      </c>
      <c r="P4930" s="12" t="n">
        <v>480</v>
      </c>
      <c r="Q4930" s="12" t="n">
        <v>30</v>
      </c>
      <c r="R4930" s="12" t="n">
        <v>42.5</v>
      </c>
      <c r="S4930" s="12" t="inlineStr">
        <is>
          <t>Duct bank</t>
        </is>
      </c>
      <c r="T4930" s="16" t="n">
        <v>368</v>
      </c>
      <c r="U4930" s="16" t="n">
        <v>34</v>
      </c>
      <c r="V4930" s="16">
        <f>ROUNDUP((T4930+U4930+2*'Read Me'!$B$13)*(1+'Read Me'!$B$12),-1)</f>
        <v/>
      </c>
      <c r="W4930" s="16">
        <f>V4930*N4930*O4930</f>
        <v/>
      </c>
      <c r="X4930" s="12">
        <f>IF(LEFT(I4930,2)="MV",2*N4930*IF(L4930="1/C",O4930,1),0)</f>
        <v/>
      </c>
      <c r="Y4930" s="12">
        <f>IF(OR(LEFT(K4930,4)="LVAX",LEFT(K4930,6)="MV15AX",LEFT(K4930,4)="CTAX",LEFT(K4930,2)="W|"),2*N4930*O4930,0)</f>
        <v/>
      </c>
      <c r="Z4930" s="12" t="inlineStr">
        <is>
          <t>VD 2.1 %</t>
        </is>
      </c>
      <c r="AA4930" s="12">
        <f>N4930*O4930</f>
        <v/>
      </c>
    </row>
    <row r="4931">
      <c r="A4931" s="12" t="inlineStr">
        <is>
          <t>I-P-0029</t>
        </is>
      </c>
      <c r="B4931" s="12" t="inlineStr">
        <is>
          <t>I</t>
        </is>
      </c>
      <c r="C4931" s="12" t="inlineStr">
        <is>
          <t>Modular / portable power</t>
        </is>
      </c>
      <c r="D4931" s="12" t="inlineStr">
        <is>
          <t>Fuel-cell AC cabinet to MOD-LV</t>
        </is>
      </c>
      <c r="E4931" s="12" t="inlineStr"/>
      <c r="F4931" s="12" t="inlineStr">
        <is>
          <t>Fuel-cell inverter / AC cabinet / desulfurizer</t>
        </is>
      </c>
      <c r="G4931" s="12" t="inlineStr"/>
      <c r="H4931" s="12" t="inlineStr">
        <is>
          <t>MOD-LV 480 V board + 480 V : 13.8 kV step-up</t>
        </is>
      </c>
      <c r="I4931" s="12" t="inlineStr">
        <is>
          <t>LV 600 V</t>
        </is>
      </c>
      <c r="J4931" s="12" t="inlineStr">
        <is>
          <t>Type TC-ER 600 V 3/C Cu XHHW-2 + ground, PVC jacket</t>
        </is>
      </c>
      <c r="K4931" s="12" t="inlineStr">
        <is>
          <t>LV|3/C+G|350</t>
        </is>
      </c>
      <c r="L4931" s="12" t="inlineStr">
        <is>
          <t>3/C+G</t>
        </is>
      </c>
      <c r="M4931" s="12" t="inlineStr">
        <is>
          <t>350 kcmil</t>
        </is>
      </c>
      <c r="N4931" s="12" t="n">
        <v>6</v>
      </c>
      <c r="O4931" s="12" t="n">
        <v>1</v>
      </c>
      <c r="P4931" s="12" t="n">
        <v>480</v>
      </c>
      <c r="Q4931" s="12" t="n">
        <v>1000</v>
      </c>
      <c r="R4931" s="12" t="n">
        <v>1266.2</v>
      </c>
      <c r="S4931" s="12" t="inlineStr">
        <is>
          <t>Duct bank</t>
        </is>
      </c>
      <c r="T4931" s="16" t="n">
        <v>233</v>
      </c>
      <c r="U4931" s="16" t="n">
        <v>32</v>
      </c>
      <c r="V4931" s="16">
        <f>ROUNDUP((T4931+U4931+2*'Read Me'!$B$13)*(1+'Read Me'!$B$12),-1)</f>
        <v/>
      </c>
      <c r="W4931" s="16">
        <f>V4931*N4931*O4931</f>
        <v/>
      </c>
      <c r="X4931" s="12">
        <f>IF(LEFT(I4931,2)="MV",2*N4931*IF(L4931="1/C",O4931,1),0)</f>
        <v/>
      </c>
      <c r="Y4931" s="12">
        <f>IF(OR(LEFT(K4931,4)="LVAX",LEFT(K4931,6)="MV15AX",LEFT(K4931,4)="CTAX",LEFT(K4931,2)="W|"),2*N4931*O4931,0)</f>
        <v/>
      </c>
      <c r="Z4931" s="12" t="inlineStr">
        <is>
          <t>VD 0.8 %</t>
        </is>
      </c>
      <c r="AA4931" s="12">
        <f>N4931*O4931</f>
        <v/>
      </c>
    </row>
    <row r="4932">
      <c r="A4932" s="12" t="inlineStr">
        <is>
          <t>I-P-0030</t>
        </is>
      </c>
      <c r="B4932" s="12" t="inlineStr">
        <is>
          <t>I</t>
        </is>
      </c>
      <c r="C4932" s="12" t="inlineStr">
        <is>
          <t>Modular / portable power</t>
        </is>
      </c>
      <c r="D4932" s="12" t="inlineStr">
        <is>
          <t>Fuel-cell AC cabinet to MOD-LV</t>
        </is>
      </c>
      <c r="E4932" s="12" t="inlineStr"/>
      <c r="F4932" s="12" t="inlineStr">
        <is>
          <t>FC-5..12 inverter / AC cabinet / desulfurizer</t>
        </is>
      </c>
      <c r="G4932" s="12" t="inlineStr"/>
      <c r="H4932" s="12" t="inlineStr">
        <is>
          <t>MOD-LV 480 V board + 480 V : 13.8 kV step-up</t>
        </is>
      </c>
      <c r="I4932" s="12" t="inlineStr">
        <is>
          <t>LV 600 V</t>
        </is>
      </c>
      <c r="J4932" s="12" t="inlineStr">
        <is>
          <t>Type TC-ER 600 V 3/C Cu XHHW-2 + ground, PVC jacket</t>
        </is>
      </c>
      <c r="K4932" s="12" t="inlineStr">
        <is>
          <t>LV|3/C+G|500</t>
        </is>
      </c>
      <c r="L4932" s="12" t="inlineStr">
        <is>
          <t>3/C+G</t>
        </is>
      </c>
      <c r="M4932" s="12" t="inlineStr">
        <is>
          <t>500 kcmil</t>
        </is>
      </c>
      <c r="N4932" s="12" t="n">
        <v>12</v>
      </c>
      <c r="O4932" s="12" t="n">
        <v>1</v>
      </c>
      <c r="P4932" s="12" t="n">
        <v>480</v>
      </c>
      <c r="Q4932" s="12" t="n">
        <v>2000</v>
      </c>
      <c r="R4932" s="12" t="n">
        <v>2532.3</v>
      </c>
      <c r="S4932" s="12" t="inlineStr">
        <is>
          <t>Duct bank</t>
        </is>
      </c>
      <c r="T4932" s="16" t="n">
        <v>2588</v>
      </c>
      <c r="U4932" s="16" t="n">
        <v>36</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I-P-0031</t>
        </is>
      </c>
      <c r="B4933" s="12" t="inlineStr">
        <is>
          <t>I</t>
        </is>
      </c>
      <c r="C4933" s="12" t="inlineStr">
        <is>
          <t>Modular / portable power</t>
        </is>
      </c>
      <c r="D4933" s="12" t="inlineStr">
        <is>
          <t>MT-1 microturbine output</t>
        </is>
      </c>
      <c r="E4933" s="12" t="inlineStr"/>
      <c r="F4933" s="12" t="inlineStr">
        <is>
          <t>MT-1: microturbine 1 MW (Capstone C1000 class)</t>
        </is>
      </c>
      <c r="G4933" s="12" t="inlineStr"/>
      <c r="H4933" s="12" t="inlineStr">
        <is>
          <t>MOD-LV 480 V board + 480 V : 13.8 kV step-up</t>
        </is>
      </c>
      <c r="I4933" s="12" t="inlineStr">
        <is>
          <t>LV 600 V</t>
        </is>
      </c>
      <c r="J4933" s="12" t="inlineStr">
        <is>
          <t>Type TC-ER 600 V 3/C Cu XHHW-2 + ground, PVC jacket</t>
        </is>
      </c>
      <c r="K4933" s="12" t="inlineStr">
        <is>
          <t>LV|3/C+G|350</t>
        </is>
      </c>
      <c r="L4933" s="12" t="inlineStr">
        <is>
          <t>3/C+G</t>
        </is>
      </c>
      <c r="M4933" s="12" t="inlineStr">
        <is>
          <t>350 kcmil</t>
        </is>
      </c>
      <c r="N4933" s="12" t="n">
        <v>6</v>
      </c>
      <c r="O4933" s="12" t="n">
        <v>1</v>
      </c>
      <c r="P4933" s="12" t="n">
        <v>480</v>
      </c>
      <c r="Q4933" s="12" t="n">
        <v>1000</v>
      </c>
      <c r="R4933" s="12" t="n">
        <v>1266.2</v>
      </c>
      <c r="S4933" s="12" t="inlineStr">
        <is>
          <t>Duct bank</t>
        </is>
      </c>
      <c r="T4933" s="16" t="n">
        <v>106</v>
      </c>
      <c r="U4933" s="16" t="n">
        <v>32</v>
      </c>
      <c r="V4933" s="16">
        <f>ROUNDUP((T4933+U4933+2*'Read Me'!$B$13)*(1+'Read Me'!$B$12),-1)</f>
        <v/>
      </c>
      <c r="W4933" s="16">
        <f>V4933*N4933*O4933</f>
        <v/>
      </c>
      <c r="X4933" s="12">
        <f>IF(LEFT(I4933,2)="MV",2*N4933*IF(L4933="1/C",O4933,1),0)</f>
        <v/>
      </c>
      <c r="Y4933" s="12">
        <f>IF(OR(LEFT(K4933,4)="LVAX",LEFT(K4933,6)="MV15AX",LEFT(K4933,4)="CTAX",LEFT(K4933,2)="W|"),2*N4933*O4933,0)</f>
        <v/>
      </c>
      <c r="Z4933" s="12" t="inlineStr">
        <is>
          <t>VD 0.4 %</t>
        </is>
      </c>
      <c r="AA4933" s="12">
        <f>N4933*O4933</f>
        <v/>
      </c>
    </row>
    <row r="4934">
      <c r="A4934" s="12" t="inlineStr">
        <is>
          <t>I-P-0032</t>
        </is>
      </c>
      <c r="B4934" s="12" t="inlineStr">
        <is>
          <t>I</t>
        </is>
      </c>
      <c r="C4934" s="12" t="inlineStr">
        <is>
          <t>Modular / portable power</t>
        </is>
      </c>
      <c r="D4934" s="12" t="inlineStr">
        <is>
          <t>MT-2 microturbine output</t>
        </is>
      </c>
      <c r="E4934" s="12" t="inlineStr"/>
      <c r="F4934" s="12" t="inlineStr">
        <is>
          <t>MT-2: microturbine 1 MW (Capstone C1000 class)</t>
        </is>
      </c>
      <c r="G4934" s="12" t="inlineStr"/>
      <c r="H4934" s="12" t="inlineStr">
        <is>
          <t>MOD-LV 480 V board + 480 V : 13.8 kV step-up</t>
        </is>
      </c>
      <c r="I4934" s="12" t="inlineStr">
        <is>
          <t>LV 600 V</t>
        </is>
      </c>
      <c r="J4934" s="12" t="inlineStr">
        <is>
          <t>Type TC-ER 600 V 3/C Cu XHHW-2 + ground, PVC jacket</t>
        </is>
      </c>
      <c r="K4934" s="12" t="inlineStr">
        <is>
          <t>LV|3/C+G|350</t>
        </is>
      </c>
      <c r="L4934" s="12" t="inlineStr">
        <is>
          <t>3/C+G</t>
        </is>
      </c>
      <c r="M4934" s="12" t="inlineStr">
        <is>
          <t>350 kcmil</t>
        </is>
      </c>
      <c r="N4934" s="12" t="n">
        <v>6</v>
      </c>
      <c r="O4934" s="12" t="n">
        <v>1</v>
      </c>
      <c r="P4934" s="12" t="n">
        <v>480</v>
      </c>
      <c r="Q4934" s="12" t="n">
        <v>1000</v>
      </c>
      <c r="R4934" s="12" t="n">
        <v>1266.2</v>
      </c>
      <c r="S4934" s="12" t="inlineStr">
        <is>
          <t>Duct bank</t>
        </is>
      </c>
      <c r="T4934" s="16" t="n">
        <v>114</v>
      </c>
      <c r="U4934" s="16" t="n">
        <v>38</v>
      </c>
      <c r="V4934" s="16">
        <f>ROUNDUP((T4934+U4934+2*'Read Me'!$B$13)*(1+'Read Me'!$B$12),-1)</f>
        <v/>
      </c>
      <c r="W4934" s="16">
        <f>V4934*N4934*O4934</f>
        <v/>
      </c>
      <c r="X4934" s="12">
        <f>IF(LEFT(I4934,2)="MV",2*N4934*IF(L4934="1/C",O4934,1),0)</f>
        <v/>
      </c>
      <c r="Y4934" s="12">
        <f>IF(OR(LEFT(K4934,4)="LVAX",LEFT(K4934,6)="MV15AX",LEFT(K4934,4)="CTAX",LEFT(K4934,2)="W|"),2*N4934*O4934,0)</f>
        <v/>
      </c>
      <c r="Z4934" s="12" t="inlineStr">
        <is>
          <t>VD 0.5 %</t>
        </is>
      </c>
      <c r="AA4934" s="12">
        <f>N4934*O4934</f>
        <v/>
      </c>
    </row>
    <row r="4935">
      <c r="A4935" s="12" t="inlineStr">
        <is>
          <t>I-P-0033</t>
        </is>
      </c>
      <c r="B4935" s="12" t="inlineStr">
        <is>
          <t>I</t>
        </is>
      </c>
      <c r="C4935" s="12" t="inlineStr">
        <is>
          <t>Modular / portable power</t>
        </is>
      </c>
      <c r="D4935" s="12" t="inlineStr">
        <is>
          <t>MT-3 microturbine output</t>
        </is>
      </c>
      <c r="E4935" s="12" t="inlineStr"/>
      <c r="F4935" s="12" t="inlineStr">
        <is>
          <t>MT-3: microturbine 1 MW (Capstone C1000 class)</t>
        </is>
      </c>
      <c r="G4935" s="12" t="inlineStr"/>
      <c r="H4935" s="12" t="inlineStr">
        <is>
          <t>MOD-LV 480 V board + 480 V : 13.8 kV step-up</t>
        </is>
      </c>
      <c r="I4935" s="12" t="inlineStr">
        <is>
          <t>LV 600 V</t>
        </is>
      </c>
      <c r="J4935" s="12" t="inlineStr">
        <is>
          <t>Type TC-ER 600 V 3/C Cu XHHW-2 + ground, PVC jacket</t>
        </is>
      </c>
      <c r="K4935" s="12" t="inlineStr">
        <is>
          <t>LV|3/C+G|350</t>
        </is>
      </c>
      <c r="L4935" s="12" t="inlineStr">
        <is>
          <t>3/C+G</t>
        </is>
      </c>
      <c r="M4935" s="12" t="inlineStr">
        <is>
          <t>350 kcmil</t>
        </is>
      </c>
      <c r="N4935" s="12" t="n">
        <v>6</v>
      </c>
      <c r="O4935" s="12" t="n">
        <v>1</v>
      </c>
      <c r="P4935" s="12" t="n">
        <v>480</v>
      </c>
      <c r="Q4935" s="12" t="n">
        <v>1000</v>
      </c>
      <c r="R4935" s="12" t="n">
        <v>1266.2</v>
      </c>
      <c r="S4935" s="12" t="inlineStr">
        <is>
          <t>Duct bank</t>
        </is>
      </c>
      <c r="T4935" s="16" t="n">
        <v>121</v>
      </c>
      <c r="U4935" s="16" t="n">
        <v>45</v>
      </c>
      <c r="V4935" s="16">
        <f>ROUNDUP((T4935+U4935+2*'Read Me'!$B$13)*(1+'Read Me'!$B$12),-1)</f>
        <v/>
      </c>
      <c r="W4935" s="16">
        <f>V4935*N4935*O4935</f>
        <v/>
      </c>
      <c r="X4935" s="12">
        <f>IF(LEFT(I4935,2)="MV",2*N4935*IF(L4935="1/C",O4935,1),0)</f>
        <v/>
      </c>
      <c r="Y4935" s="12">
        <f>IF(OR(LEFT(K4935,4)="LVAX",LEFT(K4935,6)="MV15AX",LEFT(K4935,4)="CTAX",LEFT(K4935,2)="W|"),2*N4935*O4935,0)</f>
        <v/>
      </c>
      <c r="Z4935" s="12" t="inlineStr">
        <is>
          <t>VD 0.5 %</t>
        </is>
      </c>
      <c r="AA4935" s="12">
        <f>N4935*O4935</f>
        <v/>
      </c>
    </row>
    <row r="4936">
      <c r="A4936" s="12" t="inlineStr">
        <is>
          <t>I-P-0034</t>
        </is>
      </c>
      <c r="B4936" s="12" t="inlineStr">
        <is>
          <t>I</t>
        </is>
      </c>
      <c r="C4936" s="12" t="inlineStr">
        <is>
          <t>Modular / portable power</t>
        </is>
      </c>
      <c r="D4936" s="12" t="inlineStr">
        <is>
          <t>MT-4 microturbine output</t>
        </is>
      </c>
      <c r="E4936" s="12" t="inlineStr">
        <is>
          <t>MT-4</t>
        </is>
      </c>
      <c r="F4936" s="12" t="inlineStr">
        <is>
          <t>MT-4: microturbine 1 MW (Capstone C1000 class)</t>
        </is>
      </c>
      <c r="G4936" s="12" t="inlineStr"/>
      <c r="H4936" s="12" t="inlineStr">
        <is>
          <t>MOD-LV 480 V board + 480 V : 13.8 kV step-up</t>
        </is>
      </c>
      <c r="I4936" s="12" t="inlineStr">
        <is>
          <t>LV 600 V</t>
        </is>
      </c>
      <c r="J4936" s="12" t="inlineStr">
        <is>
          <t>Type TC-ER 600 V 3/C Cu XHHW-2 + ground, PVC jacket</t>
        </is>
      </c>
      <c r="K4936" s="12" t="inlineStr">
        <is>
          <t>LV|3/C+G|500</t>
        </is>
      </c>
      <c r="L4936" s="12" t="inlineStr">
        <is>
          <t>3/C+G</t>
        </is>
      </c>
      <c r="M4936" s="12" t="inlineStr">
        <is>
          <t>500 kcmil</t>
        </is>
      </c>
      <c r="N4936" s="12" t="n">
        <v>12</v>
      </c>
      <c r="O4936" s="12" t="n">
        <v>1</v>
      </c>
      <c r="P4936" s="12" t="n">
        <v>480</v>
      </c>
      <c r="Q4936" s="12" t="n">
        <v>1000</v>
      </c>
      <c r="R4936" s="12" t="n">
        <v>1266.2</v>
      </c>
      <c r="S4936" s="12" t="inlineStr">
        <is>
          <t>Duct bank</t>
        </is>
      </c>
      <c r="T4936" s="16" t="n">
        <v>2612</v>
      </c>
      <c r="U4936" s="16" t="n">
        <v>46</v>
      </c>
      <c r="V4936" s="16">
        <f>ROUNDUP((T4936+U4936+2*'Read Me'!$B$13)*(1+'Read Me'!$B$12),-1)</f>
        <v/>
      </c>
      <c r="W4936" s="16">
        <f>V4936*N4936*O4936</f>
        <v/>
      </c>
      <c r="X4936" s="12">
        <f>IF(LEFT(I4936,2)="MV",2*N4936*IF(L4936="1/C",O4936,1),0)</f>
        <v/>
      </c>
      <c r="Y4936" s="12">
        <f>IF(OR(LEFT(K4936,4)="LVAX",LEFT(K4936,6)="MV15AX",LEFT(K4936,4)="CTAX",LEFT(K4936,2)="W|"),2*N4936*O4936,0)</f>
        <v/>
      </c>
      <c r="Z4936" s="12" t="inlineStr">
        <is>
          <t>VD 2.9 %</t>
        </is>
      </c>
      <c r="AA4936" s="12">
        <f>N4936*O4936</f>
        <v/>
      </c>
    </row>
    <row r="4937">
      <c r="A4937" s="12" t="inlineStr">
        <is>
          <t>I-P-0035</t>
        </is>
      </c>
      <c r="B4937" s="12" t="inlineStr">
        <is>
          <t>I</t>
        </is>
      </c>
      <c r="C4937" s="12" t="inlineStr">
        <is>
          <t>Modular / portable power</t>
        </is>
      </c>
      <c r="D4937" s="12" t="inlineStr">
        <is>
          <t>MT-5 microturbine output</t>
        </is>
      </c>
      <c r="E4937" s="12" t="inlineStr">
        <is>
          <t>MT-5</t>
        </is>
      </c>
      <c r="F4937" s="12" t="inlineStr">
        <is>
          <t>MT-5: microturbine 1 MW (Capstone C1000 class)</t>
        </is>
      </c>
      <c r="G4937" s="12" t="inlineStr"/>
      <c r="H4937" s="12" t="inlineStr">
        <is>
          <t>MOD-LV 480 V board + 480 V : 13.8 kV step-up</t>
        </is>
      </c>
      <c r="I4937" s="12" t="inlineStr">
        <is>
          <t>LV 600 V</t>
        </is>
      </c>
      <c r="J4937" s="12" t="inlineStr">
        <is>
          <t>Type TC-ER 600 V 3/C Cu XHHW-2 + ground, PVC jacket</t>
        </is>
      </c>
      <c r="K4937" s="12" t="inlineStr">
        <is>
          <t>LV|3/C+G|500</t>
        </is>
      </c>
      <c r="L4937" s="12" t="inlineStr">
        <is>
          <t>3/C+G</t>
        </is>
      </c>
      <c r="M4937" s="12" t="inlineStr">
        <is>
          <t>500 kcmil</t>
        </is>
      </c>
      <c r="N4937" s="12" t="n">
        <v>12</v>
      </c>
      <c r="O4937" s="12" t="n">
        <v>1</v>
      </c>
      <c r="P4937" s="12" t="n">
        <v>480</v>
      </c>
      <c r="Q4937" s="12" t="n">
        <v>1000</v>
      </c>
      <c r="R4937" s="12" t="n">
        <v>1266.2</v>
      </c>
      <c r="S4937" s="12" t="inlineStr">
        <is>
          <t>Duct bank</t>
        </is>
      </c>
      <c r="T4937" s="16" t="n">
        <v>2636</v>
      </c>
      <c r="U4937" s="16" t="n">
        <v>36</v>
      </c>
      <c r="V4937" s="16">
        <f>ROUNDUP((T4937+U4937+2*'Read Me'!$B$13)*(1+'Read Me'!$B$12),-1)</f>
        <v/>
      </c>
      <c r="W4937" s="16">
        <f>V4937*N4937*O4937</f>
        <v/>
      </c>
      <c r="X4937" s="12">
        <f>IF(LEFT(I4937,2)="MV",2*N4937*IF(L4937="1/C",O4937,1),0)</f>
        <v/>
      </c>
      <c r="Y4937" s="12">
        <f>IF(OR(LEFT(K4937,4)="LVAX",LEFT(K4937,6)="MV15AX",LEFT(K4937,4)="CTAX",LEFT(K4937,2)="W|"),2*N4937*O4937,0)</f>
        <v/>
      </c>
      <c r="Z4937" s="12" t="inlineStr">
        <is>
          <t>VD 2.9 %</t>
        </is>
      </c>
      <c r="AA4937" s="12">
        <f>N4937*O4937</f>
        <v/>
      </c>
    </row>
    <row r="4938">
      <c r="A4938" s="12" t="inlineStr">
        <is>
          <t>I-P-0036</t>
        </is>
      </c>
      <c r="B4938" s="12" t="inlineStr">
        <is>
          <t>I</t>
        </is>
      </c>
      <c r="C4938" s="12" t="inlineStr">
        <is>
          <t>Modular / portable power</t>
        </is>
      </c>
      <c r="D4938" s="12" t="inlineStr">
        <is>
          <t>MT-6 microturbine output</t>
        </is>
      </c>
      <c r="E4938" s="12" t="inlineStr">
        <is>
          <t>MT-6</t>
        </is>
      </c>
      <c r="F4938" s="12" t="inlineStr">
        <is>
          <t>MT-6: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LV|3/C+G|500</t>
        </is>
      </c>
      <c r="L4938" s="12" t="inlineStr">
        <is>
          <t>3/C+G</t>
        </is>
      </c>
      <c r="M4938" s="12" t="inlineStr">
        <is>
          <t>500 kcmil</t>
        </is>
      </c>
      <c r="N4938" s="12" t="n">
        <v>12</v>
      </c>
      <c r="O4938" s="12" t="n">
        <v>1</v>
      </c>
      <c r="P4938" s="12" t="n">
        <v>480</v>
      </c>
      <c r="Q4938" s="12" t="n">
        <v>1000</v>
      </c>
      <c r="R4938" s="12" t="n">
        <v>1266.2</v>
      </c>
      <c r="S4938" s="12" t="inlineStr">
        <is>
          <t>Duct bank</t>
        </is>
      </c>
      <c r="T4938" s="16" t="n">
        <v>2769</v>
      </c>
      <c r="U4938" s="16" t="n">
        <v>53</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I-P-0037</t>
        </is>
      </c>
      <c r="B4939" s="12" t="inlineStr">
        <is>
          <t>I</t>
        </is>
      </c>
      <c r="C4939" s="12" t="inlineStr">
        <is>
          <t>Modular / portable power</t>
        </is>
      </c>
      <c r="D4939" s="12" t="inlineStr">
        <is>
          <t>PAD-LV to PAD-TX</t>
        </is>
      </c>
      <c r="E4939" s="12" t="inlineStr">
        <is>
          <t>PAD-LV</t>
        </is>
      </c>
      <c r="F4939" s="12" t="inlineStr">
        <is>
          <t>PAD-LV 480 V paralleling switchboard</t>
        </is>
      </c>
      <c r="G4939" s="12" t="inlineStr">
        <is>
          <t>PAD-TX</t>
        </is>
      </c>
      <c r="H4939" s="12" t="inlineStr">
        <is>
          <t>PAD-TX 480 V : 13.8 kV</t>
        </is>
      </c>
      <c r="I4939" s="12" t="inlineStr">
        <is>
          <t>LV 600 V</t>
        </is>
      </c>
      <c r="J4939" s="12" t="inlineStr">
        <is>
          <t>XHHW-2 600 V 1/C Cu (feeder sets in tray / duct)</t>
        </is>
      </c>
      <c r="K4939" s="12" t="inlineStr">
        <is>
          <t>LV1C|1/C|500</t>
        </is>
      </c>
      <c r="L4939" s="12" t="inlineStr">
        <is>
          <t>1/C</t>
        </is>
      </c>
      <c r="M4939" s="12" t="inlineStr">
        <is>
          <t>500 kcmil</t>
        </is>
      </c>
      <c r="N4939" s="12" t="n">
        <v>12</v>
      </c>
      <c r="O4939" s="12" t="n">
        <v>4</v>
      </c>
      <c r="P4939" s="12" t="n">
        <v>480</v>
      </c>
      <c r="Q4939" s="12" t="n">
        <v>3000</v>
      </c>
      <c r="R4939" s="12" t="n">
        <v>3600</v>
      </c>
      <c r="S4939" s="12" t="inlineStr">
        <is>
          <t>Duct bank</t>
        </is>
      </c>
      <c r="T4939" s="16" t="n">
        <v>55</v>
      </c>
      <c r="U4939" s="16" t="n">
        <v>32</v>
      </c>
      <c r="V4939" s="16">
        <f>ROUNDUP((T4939+U4939+2*'Read Me'!$B$13)*(1+'Read Me'!$B$12),-1)</f>
        <v/>
      </c>
      <c r="W4939" s="16">
        <f>V4939*N4939*O4939</f>
        <v/>
      </c>
      <c r="X4939" s="12">
        <f>IF(LEFT(I4939,2)="MV",2*N4939*IF(L4939="1/C",O4939,1),0)</f>
        <v/>
      </c>
      <c r="Y4939" s="12">
        <f>IF(OR(LEFT(K4939,4)="LVAX",LEFT(K4939,6)="MV15AX",LEFT(K4939,4)="CTAX",LEFT(K4939,2)="W|"),2*N4939*O4939,0)</f>
        <v/>
      </c>
      <c r="Z4939" s="12" t="inlineStr">
        <is>
          <t>12 sets of 4 x 1/C (or bus duct)</t>
        </is>
      </c>
      <c r="AA4939" s="12">
        <f>N4939*O4939</f>
        <v/>
      </c>
    </row>
    <row r="4940">
      <c r="A4940" s="12" t="inlineStr">
        <is>
          <t>I-P-0038</t>
        </is>
      </c>
      <c r="B4940" s="12" t="inlineStr">
        <is>
          <t>I</t>
        </is>
      </c>
      <c r="C4940" s="12" t="inlineStr">
        <is>
          <t>Modular / portable power</t>
        </is>
      </c>
      <c r="D4940" s="12" t="inlineStr">
        <is>
          <t>LV panel / distribution feeder</t>
        </is>
      </c>
      <c r="E4940" s="12" t="inlineStr"/>
      <c r="F4940" s="12" t="inlineStr">
        <is>
          <t>PCM: power control module</t>
        </is>
      </c>
      <c r="G4940" s="12" t="inlineStr"/>
      <c r="H4940" s="12" t="inlineStr">
        <is>
          <t>PCM: power control module</t>
        </is>
      </c>
      <c r="I4940" s="12" t="inlineStr">
        <is>
          <t>LV 600 V</t>
        </is>
      </c>
      <c r="J4940" s="12" t="inlineStr">
        <is>
          <t>Type TC-ER 600 V 3/C Cu XHHW-2 + ground, PVC jacket</t>
        </is>
      </c>
      <c r="K4940" s="12" t="inlineStr">
        <is>
          <t>LV|3/C+G|4</t>
        </is>
      </c>
      <c r="L4940" s="12" t="inlineStr">
        <is>
          <t>3/C+G</t>
        </is>
      </c>
      <c r="M4940" s="12" t="inlineStr">
        <is>
          <t>4</t>
        </is>
      </c>
      <c r="N4940" s="12" t="n">
        <v>1</v>
      </c>
      <c r="O4940" s="12" t="n">
        <v>1</v>
      </c>
      <c r="P4940" s="12" t="n">
        <v>480</v>
      </c>
      <c r="Q4940" s="12" t="n">
        <v>38</v>
      </c>
      <c r="R4940" s="12" t="n">
        <v>53.8</v>
      </c>
      <c r="S4940" s="12" t="inlineStr">
        <is>
          <t>Tray</t>
        </is>
      </c>
      <c r="T4940" s="16" t="n">
        <v>0</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is>
          <t>VD 0.2 %</t>
        </is>
      </c>
      <c r="AA4940" s="12">
        <f>N4940*O4940</f>
        <v/>
      </c>
    </row>
    <row r="4941">
      <c r="A4941" s="12" t="inlineStr">
        <is>
          <t>I-P-0039</t>
        </is>
      </c>
      <c r="B4941" s="12" t="inlineStr">
        <is>
          <t>I</t>
        </is>
      </c>
      <c r="C4941" s="12" t="inlineStr">
        <is>
          <t>Modular / portable power</t>
        </is>
      </c>
      <c r="D4941" s="12" t="inlineStr">
        <is>
          <t>Motor 1 of 1, 15 kW</t>
        </is>
      </c>
      <c r="E4941" s="12" t="inlineStr"/>
      <c r="F4941" s="12" t="inlineStr">
        <is>
          <t>PCM: power control module</t>
        </is>
      </c>
      <c r="G4941" s="12" t="inlineStr"/>
      <c r="H4941" s="12" t="inlineStr">
        <is>
          <t>RICE 1 SCR + oxidation catalyst and stack</t>
        </is>
      </c>
      <c r="I4941" s="12" t="inlineStr">
        <is>
          <t>LV 600 V</t>
        </is>
      </c>
      <c r="J4941" s="12" t="inlineStr">
        <is>
          <t>Type TC-ER 600 V 3/C Cu XHHW-2 + ground, PVC jacket</t>
        </is>
      </c>
      <c r="K4941" s="12" t="inlineStr">
        <is>
          <t>LV|3/C+G|6</t>
        </is>
      </c>
      <c r="L4941" s="12" t="inlineStr">
        <is>
          <t>3/C+G</t>
        </is>
      </c>
      <c r="M4941" s="12" t="inlineStr">
        <is>
          <t>6</t>
        </is>
      </c>
      <c r="N4941" s="12" t="n">
        <v>1</v>
      </c>
      <c r="O4941" s="12" t="n">
        <v>1</v>
      </c>
      <c r="P4941" s="12" t="n">
        <v>480</v>
      </c>
      <c r="Q4941" s="12" t="n">
        <v>15</v>
      </c>
      <c r="R4941" s="12" t="n">
        <v>21.2</v>
      </c>
      <c r="S4941" s="12" t="inlineStr">
        <is>
          <t>Duct bank</t>
        </is>
      </c>
      <c r="T4941" s="16" t="n">
        <v>470</v>
      </c>
      <c r="U4941" s="16" t="n">
        <v>160</v>
      </c>
      <c r="V4941" s="16">
        <f>ROUNDUP((T4941+U4941+2*'Read Me'!$B$13)*(1+'Read Me'!$B$12),-1)</f>
        <v/>
      </c>
      <c r="W4941" s="16">
        <f>V4941*N4941*O4941</f>
        <v/>
      </c>
      <c r="X4941" s="12">
        <f>IF(LEFT(I4941,2)="MV",2*N4941*IF(L4941="1/C",O4941,1),0)</f>
        <v/>
      </c>
      <c r="Y4941" s="12">
        <f>IF(OR(LEFT(K4941,4)="LVAX",LEFT(K4941,6)="MV15AX",LEFT(K4941,4)="CTAX",LEFT(K4941,2)="W|"),2*N4941*O4941,0)</f>
        <v/>
      </c>
      <c r="Z4941" s="12" t="inlineStr">
        <is>
          <t>VD 2.6 %</t>
        </is>
      </c>
      <c r="AA4941" s="12">
        <f>N4941*O4941</f>
        <v/>
      </c>
    </row>
    <row r="4942">
      <c r="A4942" s="12" t="inlineStr">
        <is>
          <t>I-P-0040</t>
        </is>
      </c>
      <c r="B4942" s="12" t="inlineStr">
        <is>
          <t>I</t>
        </is>
      </c>
      <c r="C4942" s="12" t="inlineStr">
        <is>
          <t>Modular / portable power</t>
        </is>
      </c>
      <c r="D4942" s="12" t="inlineStr">
        <is>
          <t>Area / platform lighting circuit 1 (6 fixtures)</t>
        </is>
      </c>
      <c r="E4942" s="12" t="inlineStr"/>
      <c r="F4942" s="12" t="inlineStr">
        <is>
          <t>PCM: power control module</t>
        </is>
      </c>
      <c r="G4942" s="12" t="inlineStr"/>
      <c r="H4942" s="12" t="inlineStr">
        <is>
          <t>RICE 1 SCR + oxidation catalyst and stack</t>
        </is>
      </c>
      <c r="I4942" s="12" t="inlineStr">
        <is>
          <t>LV 600 V</t>
        </is>
      </c>
      <c r="J4942" s="12" t="inlineStr">
        <is>
          <t>Type TC-ER 600 V 3/C Cu XHHW-2 + ground, PVC jacket</t>
        </is>
      </c>
      <c r="K4942" s="12" t="inlineStr">
        <is>
          <t>LV|3/C+G|10</t>
        </is>
      </c>
      <c r="L4942" s="12" t="inlineStr">
        <is>
          <t>3/C+G</t>
        </is>
      </c>
      <c r="M4942" s="12" t="inlineStr">
        <is>
          <t>10</t>
        </is>
      </c>
      <c r="N4942" s="12" t="n">
        <v>1</v>
      </c>
      <c r="O4942" s="12" t="n">
        <v>1</v>
      </c>
      <c r="P4942" s="12" t="n">
        <v>480</v>
      </c>
      <c r="Q4942" s="12" t="n">
        <v>3</v>
      </c>
      <c r="R4942" s="12" t="n">
        <v>5</v>
      </c>
      <c r="S4942" s="12" t="inlineStr">
        <is>
          <t>Duct bank</t>
        </is>
      </c>
      <c r="T4942" s="16" t="n">
        <v>770</v>
      </c>
      <c r="U4942" s="16" t="n">
        <v>160</v>
      </c>
      <c r="V4942" s="16">
        <f>ROUNDUP((T4942+U4942+2*'Read Me'!$B$13)*(1+'Read Me'!$B$12),-1)</f>
        <v/>
      </c>
      <c r="W4942" s="16">
        <f>V4942*N4942*O4942</f>
        <v/>
      </c>
      <c r="X4942" s="12">
        <f>IF(LEFT(I4942,2)="MV",2*N4942*IF(L4942="1/C",O4942,1),0)</f>
        <v/>
      </c>
      <c r="Y4942" s="12">
        <f>IF(OR(LEFT(K4942,4)="LVAX",LEFT(K4942,6)="MV15AX",LEFT(K4942,4)="CTAX",LEFT(K4942,2)="W|"),2*N4942*O4942,0)</f>
        <v/>
      </c>
      <c r="Z4942" s="12" t="inlineStr">
        <is>
          <t>fixture-to-fixture run included</t>
        </is>
      </c>
      <c r="AA4942" s="12">
        <f>N4942*O4942</f>
        <v/>
      </c>
    </row>
    <row r="4943">
      <c r="A4943" s="12" t="inlineStr">
        <is>
          <t>I-P-0041</t>
        </is>
      </c>
      <c r="B4943" s="12" t="inlineStr">
        <is>
          <t>I</t>
        </is>
      </c>
      <c r="C4943" s="12" t="inlineStr">
        <is>
          <t>Modular / portable power</t>
        </is>
      </c>
      <c r="D4943" s="12" t="inlineStr">
        <is>
          <t>Motor 1 of 5, 30 kW (VFD output)</t>
        </is>
      </c>
      <c r="E4943" s="12" t="inlineStr"/>
      <c r="F4943" s="12" t="inlineStr">
        <is>
          <t>PCM: power control module</t>
        </is>
      </c>
      <c r="G4943" s="12" t="inlineStr"/>
      <c r="H4943" s="12" t="inlineStr">
        <is>
          <t>RICE 1 radiators (5)</t>
        </is>
      </c>
      <c r="I4943" s="12" t="inlineStr">
        <is>
          <t>LV 600 V</t>
        </is>
      </c>
      <c r="J4943" s="12" t="inlineStr">
        <is>
          <t>VFD cable 600 V 3/C Cu XHHW-2, 3 symmetrical grounds, overall Cu tape shield, TC-ER</t>
        </is>
      </c>
      <c r="K4943" s="12" t="inlineStr">
        <is>
          <t>VFD|3/C+3G|1</t>
        </is>
      </c>
      <c r="L4943" s="12" t="inlineStr">
        <is>
          <t>3/C+3G</t>
        </is>
      </c>
      <c r="M4943" s="12" t="inlineStr">
        <is>
          <t>1</t>
        </is>
      </c>
      <c r="N4943" s="12" t="n">
        <v>1</v>
      </c>
      <c r="O4943" s="12" t="n">
        <v>1</v>
      </c>
      <c r="P4943" s="12" t="n">
        <v>480</v>
      </c>
      <c r="Q4943" s="12" t="n">
        <v>30</v>
      </c>
      <c r="R4943" s="12" t="n">
        <v>42</v>
      </c>
      <c r="S4943" s="12" t="inlineStr">
        <is>
          <t>Duct bank</t>
        </is>
      </c>
      <c r="T4943" s="16" t="n">
        <v>825</v>
      </c>
      <c r="U4943" s="16" t="n">
        <v>139</v>
      </c>
      <c r="V4943" s="16">
        <f>ROUNDUP((T4943+U4943+2*'Read Me'!$B$13)*(1+'Read Me'!$B$12),-1)</f>
        <v/>
      </c>
      <c r="W4943" s="16">
        <f>V4943*N4943*O4943</f>
        <v/>
      </c>
      <c r="X4943" s="12">
        <f>IF(LEFT(I4943,2)="MV",2*N4943*IF(L4943="1/C",O4943,1),0)</f>
        <v/>
      </c>
      <c r="Y4943" s="12">
        <f>IF(OR(LEFT(K4943,4)="LVAX",LEFT(K4943,6)="MV15AX",LEFT(K4943,4)="CTAX",LEFT(K4943,2)="W|"),2*N4943*O4943,0)</f>
        <v/>
      </c>
      <c r="Z4943" s="12" t="inlineStr">
        <is>
          <t>VD 2.5 %</t>
        </is>
      </c>
      <c r="AA4943" s="12">
        <f>N4943*O4943</f>
        <v/>
      </c>
    </row>
    <row r="4944">
      <c r="A4944" s="12" t="inlineStr">
        <is>
          <t>I-P-0042</t>
        </is>
      </c>
      <c r="B4944" s="12" t="inlineStr">
        <is>
          <t>I</t>
        </is>
      </c>
      <c r="C4944" s="12" t="inlineStr">
        <is>
          <t>Modular / portable power</t>
        </is>
      </c>
      <c r="D4944" s="12" t="inlineStr">
        <is>
          <t>Motor 2 of 5, 30 kW (VFD output)</t>
        </is>
      </c>
      <c r="E4944" s="12" t="inlineStr"/>
      <c r="F4944" s="12" t="inlineStr">
        <is>
          <t>PCM: power control module</t>
        </is>
      </c>
      <c r="G4944" s="12" t="inlineStr"/>
      <c r="H4944" s="12" t="inlineStr">
        <is>
          <t>RICE 1 radiators (5)</t>
        </is>
      </c>
      <c r="I4944" s="12" t="inlineStr">
        <is>
          <t>LV 600 V</t>
        </is>
      </c>
      <c r="J4944" s="12" t="inlineStr">
        <is>
          <t>VFD cable 600 V 3/C Cu XHHW-2, 3 symmetrical grounds, overall Cu tape shield, TC-ER</t>
        </is>
      </c>
      <c r="K4944" s="12" t="inlineStr">
        <is>
          <t>VFD|3/C+3G|1</t>
        </is>
      </c>
      <c r="L4944" s="12" t="inlineStr">
        <is>
          <t>3/C+3G</t>
        </is>
      </c>
      <c r="M4944" s="12" t="inlineStr">
        <is>
          <t>1</t>
        </is>
      </c>
      <c r="N4944" s="12" t="n">
        <v>1</v>
      </c>
      <c r="O4944" s="12" t="n">
        <v>1</v>
      </c>
      <c r="P4944" s="12" t="n">
        <v>480</v>
      </c>
      <c r="Q4944" s="12" t="n">
        <v>30</v>
      </c>
      <c r="R4944" s="12" t="n">
        <v>42</v>
      </c>
      <c r="S4944" s="12" t="inlineStr">
        <is>
          <t>Duct bank</t>
        </is>
      </c>
      <c r="T4944" s="16" t="n">
        <v>825</v>
      </c>
      <c r="U4944" s="16" t="n">
        <v>139</v>
      </c>
      <c r="V4944" s="16">
        <f>ROUNDUP((T4944+U4944+2*'Read Me'!$B$13)*(1+'Read Me'!$B$12),-1)</f>
        <v/>
      </c>
      <c r="W4944" s="16">
        <f>V4944*N4944*O4944</f>
        <v/>
      </c>
      <c r="X4944" s="12">
        <f>IF(LEFT(I4944,2)="MV",2*N4944*IF(L4944="1/C",O4944,1),0)</f>
        <v/>
      </c>
      <c r="Y4944" s="12">
        <f>IF(OR(LEFT(K4944,4)="LVAX",LEFT(K4944,6)="MV15AX",LEFT(K4944,4)="CTAX",LEFT(K4944,2)="W|"),2*N4944*O4944,0)</f>
        <v/>
      </c>
      <c r="Z4944" s="12" t="inlineStr">
        <is>
          <t>VD 2.5 %</t>
        </is>
      </c>
      <c r="AA4944" s="12">
        <f>N4944*O4944</f>
        <v/>
      </c>
    </row>
    <row r="4945">
      <c r="A4945" s="12" t="inlineStr">
        <is>
          <t>I-P-0043</t>
        </is>
      </c>
      <c r="B4945" s="12" t="inlineStr">
        <is>
          <t>I</t>
        </is>
      </c>
      <c r="C4945" s="12" t="inlineStr">
        <is>
          <t>Modular / portable power</t>
        </is>
      </c>
      <c r="D4945" s="12" t="inlineStr">
        <is>
          <t>Motor 3 of 5, 30 kW (VFD output)</t>
        </is>
      </c>
      <c r="E4945" s="12" t="inlineStr"/>
      <c r="F4945" s="12" t="inlineStr">
        <is>
          <t>PCM: power control module</t>
        </is>
      </c>
      <c r="G4945" s="12" t="inlineStr"/>
      <c r="H4945" s="12" t="inlineStr">
        <is>
          <t>RICE 1 radiators (5)</t>
        </is>
      </c>
      <c r="I4945" s="12" t="inlineStr">
        <is>
          <t>LV 600 V</t>
        </is>
      </c>
      <c r="J4945" s="12" t="inlineStr">
        <is>
          <t>VFD cable 600 V 3/C Cu XHHW-2, 3 symmetrical grounds, overall Cu tape shield, TC-ER</t>
        </is>
      </c>
      <c r="K4945" s="12" t="inlineStr">
        <is>
          <t>VFD|3/C+3G|1</t>
        </is>
      </c>
      <c r="L4945" s="12" t="inlineStr">
        <is>
          <t>3/C+3G</t>
        </is>
      </c>
      <c r="M4945" s="12" t="inlineStr">
        <is>
          <t>1</t>
        </is>
      </c>
      <c r="N4945" s="12" t="n">
        <v>1</v>
      </c>
      <c r="O4945" s="12" t="n">
        <v>1</v>
      </c>
      <c r="P4945" s="12" t="n">
        <v>480</v>
      </c>
      <c r="Q4945" s="12" t="n">
        <v>30</v>
      </c>
      <c r="R4945" s="12" t="n">
        <v>42</v>
      </c>
      <c r="S4945" s="12" t="inlineStr">
        <is>
          <t>Duct bank</t>
        </is>
      </c>
      <c r="T4945" s="16" t="n">
        <v>825</v>
      </c>
      <c r="U4945" s="16" t="n">
        <v>139</v>
      </c>
      <c r="V4945" s="16">
        <f>ROUNDUP((T4945+U4945+2*'Read Me'!$B$13)*(1+'Read Me'!$B$12),-1)</f>
        <v/>
      </c>
      <c r="W4945" s="16">
        <f>V4945*N4945*O4945</f>
        <v/>
      </c>
      <c r="X4945" s="12">
        <f>IF(LEFT(I4945,2)="MV",2*N4945*IF(L4945="1/C",O4945,1),0)</f>
        <v/>
      </c>
      <c r="Y4945" s="12">
        <f>IF(OR(LEFT(K4945,4)="LVAX",LEFT(K4945,6)="MV15AX",LEFT(K4945,4)="CTAX",LEFT(K4945,2)="W|"),2*N4945*O4945,0)</f>
        <v/>
      </c>
      <c r="Z4945" s="12" t="inlineStr">
        <is>
          <t>VD 2.5 %</t>
        </is>
      </c>
      <c r="AA4945" s="12">
        <f>N4945*O4945</f>
        <v/>
      </c>
    </row>
    <row r="4946">
      <c r="A4946" s="12" t="inlineStr">
        <is>
          <t>I-P-0044</t>
        </is>
      </c>
      <c r="B4946" s="12" t="inlineStr">
        <is>
          <t>I</t>
        </is>
      </c>
      <c r="C4946" s="12" t="inlineStr">
        <is>
          <t>Modular / portable power</t>
        </is>
      </c>
      <c r="D4946" s="12" t="inlineStr">
        <is>
          <t>Motor 4 of 5, 30 kW (VFD output)</t>
        </is>
      </c>
      <c r="E4946" s="12" t="inlineStr"/>
      <c r="F4946" s="12" t="inlineStr">
        <is>
          <t>PCM: power control module</t>
        </is>
      </c>
      <c r="G4946" s="12" t="inlineStr"/>
      <c r="H4946" s="12" t="inlineStr">
        <is>
          <t>RICE 1 radiators (5)</t>
        </is>
      </c>
      <c r="I4946" s="12" t="inlineStr">
        <is>
          <t>LV 600 V</t>
        </is>
      </c>
      <c r="J4946" s="12" t="inlineStr">
        <is>
          <t>VFD cable 600 V 3/C Cu XHHW-2, 3 symmetrical grounds, overall Cu tape shield, TC-ER</t>
        </is>
      </c>
      <c r="K4946" s="12" t="inlineStr">
        <is>
          <t>VFD|3/C+3G|1</t>
        </is>
      </c>
      <c r="L4946" s="12" t="inlineStr">
        <is>
          <t>3/C+3G</t>
        </is>
      </c>
      <c r="M4946" s="12" t="inlineStr">
        <is>
          <t>1</t>
        </is>
      </c>
      <c r="N4946" s="12" t="n">
        <v>1</v>
      </c>
      <c r="O4946" s="12" t="n">
        <v>1</v>
      </c>
      <c r="P4946" s="12" t="n">
        <v>480</v>
      </c>
      <c r="Q4946" s="12" t="n">
        <v>30</v>
      </c>
      <c r="R4946" s="12" t="n">
        <v>42</v>
      </c>
      <c r="S4946" s="12" t="inlineStr">
        <is>
          <t>Duct bank</t>
        </is>
      </c>
      <c r="T4946" s="16" t="n">
        <v>825</v>
      </c>
      <c r="U4946" s="16" t="n">
        <v>139</v>
      </c>
      <c r="V4946" s="16">
        <f>ROUNDUP((T4946+U4946+2*'Read Me'!$B$13)*(1+'Read Me'!$B$12),-1)</f>
        <v/>
      </c>
      <c r="W4946" s="16">
        <f>V4946*N4946*O4946</f>
        <v/>
      </c>
      <c r="X4946" s="12">
        <f>IF(LEFT(I4946,2)="MV",2*N4946*IF(L4946="1/C",O4946,1),0)</f>
        <v/>
      </c>
      <c r="Y4946" s="12">
        <f>IF(OR(LEFT(K4946,4)="LVAX",LEFT(K4946,6)="MV15AX",LEFT(K4946,4)="CTAX",LEFT(K4946,2)="W|"),2*N4946*O4946,0)</f>
        <v/>
      </c>
      <c r="Z4946" s="12" t="inlineStr">
        <is>
          <t>VD 2.5 %</t>
        </is>
      </c>
      <c r="AA4946" s="12">
        <f>N4946*O4946</f>
        <v/>
      </c>
    </row>
    <row r="4947">
      <c r="A4947" s="12" t="inlineStr">
        <is>
          <t>I-P-0045</t>
        </is>
      </c>
      <c r="B4947" s="12" t="inlineStr">
        <is>
          <t>I</t>
        </is>
      </c>
      <c r="C4947" s="12" t="inlineStr">
        <is>
          <t>Modular / portable power</t>
        </is>
      </c>
      <c r="D4947" s="12" t="inlineStr">
        <is>
          <t>Motor 5 of 5, 30 kW (VFD output)</t>
        </is>
      </c>
      <c r="E4947" s="12" t="inlineStr"/>
      <c r="F4947" s="12" t="inlineStr">
        <is>
          <t>PCM: power control module</t>
        </is>
      </c>
      <c r="G4947" s="12" t="inlineStr"/>
      <c r="H4947" s="12" t="inlineStr">
        <is>
          <t>RICE 1 radiators (5)</t>
        </is>
      </c>
      <c r="I4947" s="12" t="inlineStr">
        <is>
          <t>LV 600 V</t>
        </is>
      </c>
      <c r="J4947" s="12" t="inlineStr">
        <is>
          <t>VFD cable 600 V 3/C Cu XHHW-2, 3 symmetrical grounds, overall Cu tape shield, TC-ER</t>
        </is>
      </c>
      <c r="K4947" s="12" t="inlineStr">
        <is>
          <t>VFD|3/C+3G|1</t>
        </is>
      </c>
      <c r="L4947" s="12" t="inlineStr">
        <is>
          <t>3/C+3G</t>
        </is>
      </c>
      <c r="M4947" s="12" t="inlineStr">
        <is>
          <t>1</t>
        </is>
      </c>
      <c r="N4947" s="12" t="n">
        <v>1</v>
      </c>
      <c r="O4947" s="12" t="n">
        <v>1</v>
      </c>
      <c r="P4947" s="12" t="n">
        <v>480</v>
      </c>
      <c r="Q4947" s="12" t="n">
        <v>30</v>
      </c>
      <c r="R4947" s="12" t="n">
        <v>42</v>
      </c>
      <c r="S4947" s="12" t="inlineStr">
        <is>
          <t>Duct bank</t>
        </is>
      </c>
      <c r="T4947" s="16" t="n">
        <v>825</v>
      </c>
      <c r="U4947" s="16" t="n">
        <v>139</v>
      </c>
      <c r="V4947" s="16">
        <f>ROUNDUP((T4947+U4947+2*'Read Me'!$B$13)*(1+'Read Me'!$B$12),-1)</f>
        <v/>
      </c>
      <c r="W4947" s="16">
        <f>V4947*N4947*O4947</f>
        <v/>
      </c>
      <c r="X4947" s="12">
        <f>IF(LEFT(I4947,2)="MV",2*N4947*IF(L4947="1/C",O4947,1),0)</f>
        <v/>
      </c>
      <c r="Y4947" s="12">
        <f>IF(OR(LEFT(K4947,4)="LVAX",LEFT(K4947,6)="MV15AX",LEFT(K4947,4)="CTAX",LEFT(K4947,2)="W|"),2*N4947*O4947,0)</f>
        <v/>
      </c>
      <c r="Z4947" s="12" t="inlineStr">
        <is>
          <t>VD 2.5 %</t>
        </is>
      </c>
      <c r="AA4947" s="12">
        <f>N4947*O4947</f>
        <v/>
      </c>
    </row>
    <row r="4948">
      <c r="A4948" s="12" t="inlineStr">
        <is>
          <t>I-P-0046</t>
        </is>
      </c>
      <c r="B4948" s="12" t="inlineStr">
        <is>
          <t>I</t>
        </is>
      </c>
      <c r="C4948" s="12" t="inlineStr">
        <is>
          <t>Modular / portable power</t>
        </is>
      </c>
      <c r="D4948" s="12" t="inlineStr">
        <is>
          <t>Motor 1 of 1, 15 kW</t>
        </is>
      </c>
      <c r="E4948" s="12" t="inlineStr"/>
      <c r="F4948" s="12" t="inlineStr">
        <is>
          <t>PCM: power control module</t>
        </is>
      </c>
      <c r="G4948" s="12" t="inlineStr"/>
      <c r="H4948" s="12" t="inlineStr">
        <is>
          <t>RICE 2 SCR + oxidation catalyst and stack</t>
        </is>
      </c>
      <c r="I4948" s="12" t="inlineStr">
        <is>
          <t>LV 600 V</t>
        </is>
      </c>
      <c r="J4948" s="12" t="inlineStr">
        <is>
          <t>Type TC-ER 600 V 3/C Cu XHHW-2 + ground, PVC jacket</t>
        </is>
      </c>
      <c r="K4948" s="12" t="inlineStr">
        <is>
          <t>LV|3/C+G|6</t>
        </is>
      </c>
      <c r="L4948" s="12" t="inlineStr">
        <is>
          <t>3/C+G</t>
        </is>
      </c>
      <c r="M4948" s="12" t="inlineStr">
        <is>
          <t>6</t>
        </is>
      </c>
      <c r="N4948" s="12" t="n">
        <v>1</v>
      </c>
      <c r="O4948" s="12" t="n">
        <v>1</v>
      </c>
      <c r="P4948" s="12" t="n">
        <v>480</v>
      </c>
      <c r="Q4948" s="12" t="n">
        <v>15</v>
      </c>
      <c r="R4948" s="12" t="n">
        <v>21.2</v>
      </c>
      <c r="S4948" s="12" t="inlineStr">
        <is>
          <t>Duct bank</t>
        </is>
      </c>
      <c r="T4948" s="16" t="n">
        <v>470</v>
      </c>
      <c r="U4948" s="16" t="n">
        <v>132</v>
      </c>
      <c r="V4948" s="16">
        <f>ROUNDUP((T4948+U4948+2*'Read Me'!$B$13)*(1+'Read Me'!$B$12),-1)</f>
        <v/>
      </c>
      <c r="W4948" s="16">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I-P-0047</t>
        </is>
      </c>
      <c r="B4949" s="12" t="inlineStr">
        <is>
          <t>I</t>
        </is>
      </c>
      <c r="C4949" s="12" t="inlineStr">
        <is>
          <t>Modular / portable power</t>
        </is>
      </c>
      <c r="D4949" s="12" t="inlineStr">
        <is>
          <t>Area / platform lighting circuit 1 (6 fixtures)</t>
        </is>
      </c>
      <c r="E4949" s="12" t="inlineStr"/>
      <c r="F4949" s="12" t="inlineStr">
        <is>
          <t>PCM: power control module</t>
        </is>
      </c>
      <c r="G4949" s="12" t="inlineStr"/>
      <c r="H4949" s="12" t="inlineStr">
        <is>
          <t>RICE 2 SCR + oxidation catalyst and stack</t>
        </is>
      </c>
      <c r="I4949" s="12" t="inlineStr">
        <is>
          <t>LV 600 V</t>
        </is>
      </c>
      <c r="J4949" s="12" t="inlineStr">
        <is>
          <t>Type TC-ER 600 V 3/C Cu XHHW-2 + ground, PVC jacket</t>
        </is>
      </c>
      <c r="K4949" s="12" t="inlineStr">
        <is>
          <t>LV|3/C+G|10</t>
        </is>
      </c>
      <c r="L4949" s="12" t="inlineStr">
        <is>
          <t>3/C+G</t>
        </is>
      </c>
      <c r="M4949" s="12" t="inlineStr">
        <is>
          <t>10</t>
        </is>
      </c>
      <c r="N4949" s="12" t="n">
        <v>1</v>
      </c>
      <c r="O4949" s="12" t="n">
        <v>1</v>
      </c>
      <c r="P4949" s="12" t="n">
        <v>480</v>
      </c>
      <c r="Q4949" s="12" t="n">
        <v>3</v>
      </c>
      <c r="R4949" s="12" t="n">
        <v>5</v>
      </c>
      <c r="S4949" s="12" t="inlineStr">
        <is>
          <t>Duct bank</t>
        </is>
      </c>
      <c r="T4949" s="16" t="n">
        <v>770</v>
      </c>
      <c r="U4949" s="16" t="n">
        <v>132</v>
      </c>
      <c r="V4949" s="16">
        <f>ROUNDUP((T4949+U4949+2*'Read Me'!$B$13)*(1+'Read Me'!$B$12),-1)</f>
        <v/>
      </c>
      <c r="W4949" s="16">
        <f>V4949*N4949*O4949</f>
        <v/>
      </c>
      <c r="X4949" s="12">
        <f>IF(LEFT(I4949,2)="MV",2*N4949*IF(L4949="1/C",O4949,1),0)</f>
        <v/>
      </c>
      <c r="Y4949" s="12">
        <f>IF(OR(LEFT(K4949,4)="LVAX",LEFT(K4949,6)="MV15AX",LEFT(K4949,4)="CTAX",LEFT(K4949,2)="W|"),2*N4949*O4949,0)</f>
        <v/>
      </c>
      <c r="Z4949" s="12" t="inlineStr">
        <is>
          <t>fixture-to-fixture run included</t>
        </is>
      </c>
      <c r="AA4949" s="12">
        <f>N4949*O4949</f>
        <v/>
      </c>
    </row>
    <row r="4950">
      <c r="A4950" s="12" t="inlineStr">
        <is>
          <t>I-P-0048</t>
        </is>
      </c>
      <c r="B4950" s="12" t="inlineStr">
        <is>
          <t>I</t>
        </is>
      </c>
      <c r="C4950" s="12" t="inlineStr">
        <is>
          <t>Modular / portable power</t>
        </is>
      </c>
      <c r="D4950" s="12" t="inlineStr">
        <is>
          <t>Motor 1 of 5, 30 kW (VFD output)</t>
        </is>
      </c>
      <c r="E4950" s="12" t="inlineStr"/>
      <c r="F4950" s="12" t="inlineStr">
        <is>
          <t>PCM: power control module</t>
        </is>
      </c>
      <c r="G4950" s="12" t="inlineStr"/>
      <c r="H4950" s="12" t="inlineStr">
        <is>
          <t>RICE 2 radiators (5)</t>
        </is>
      </c>
      <c r="I4950" s="12" t="inlineStr">
        <is>
          <t>LV 600 V</t>
        </is>
      </c>
      <c r="J4950" s="12" t="inlineStr">
        <is>
          <t>VFD cable 600 V 3/C Cu XHHW-2, 3 symmetrical grounds, overall Cu tape shield, TC-ER</t>
        </is>
      </c>
      <c r="K4950" s="12" t="inlineStr">
        <is>
          <t>VFD|3/C+3G|2</t>
        </is>
      </c>
      <c r="L4950" s="12" t="inlineStr">
        <is>
          <t>3/C+3G</t>
        </is>
      </c>
      <c r="M4950" s="12" t="inlineStr">
        <is>
          <t>2</t>
        </is>
      </c>
      <c r="N4950" s="12" t="n">
        <v>1</v>
      </c>
      <c r="O4950" s="12" t="n">
        <v>1</v>
      </c>
      <c r="P4950" s="12" t="n">
        <v>480</v>
      </c>
      <c r="Q4950" s="12" t="n">
        <v>30</v>
      </c>
      <c r="R4950" s="12" t="n">
        <v>42</v>
      </c>
      <c r="S4950" s="12" t="inlineStr">
        <is>
          <t>Duct bank</t>
        </is>
      </c>
      <c r="T4950" s="16" t="n">
        <v>630</v>
      </c>
      <c r="U4950" s="16" t="n">
        <v>192</v>
      </c>
      <c r="V4950" s="16">
        <f>ROUNDUP((T4950+U4950+2*'Read Me'!$B$13)*(1+'Read Me'!$B$12),-1)</f>
        <v/>
      </c>
      <c r="W4950" s="16">
        <f>V4950*N4950*O4950</f>
        <v/>
      </c>
      <c r="X4950" s="12">
        <f>IF(LEFT(I4950,2)="MV",2*N4950*IF(L4950="1/C",O4950,1),0)</f>
        <v/>
      </c>
      <c r="Y4950" s="12">
        <f>IF(OR(LEFT(K4950,4)="LVAX",LEFT(K4950,6)="MV15AX",LEFT(K4950,4)="CTAX",LEFT(K4950,2)="W|"),2*N4950*O4950,0)</f>
        <v/>
      </c>
      <c r="Z4950" s="12" t="inlineStr">
        <is>
          <t>VD 2.7 %</t>
        </is>
      </c>
      <c r="AA4950" s="12">
        <f>N4950*O4950</f>
        <v/>
      </c>
    </row>
    <row r="4951">
      <c r="A4951" s="12" t="inlineStr">
        <is>
          <t>I-P-0049</t>
        </is>
      </c>
      <c r="B4951" s="12" t="inlineStr">
        <is>
          <t>I</t>
        </is>
      </c>
      <c r="C4951" s="12" t="inlineStr">
        <is>
          <t>Modular / portable power</t>
        </is>
      </c>
      <c r="D4951" s="12" t="inlineStr">
        <is>
          <t>Motor 2 of 5, 30 kW (VFD output)</t>
        </is>
      </c>
      <c r="E4951" s="12" t="inlineStr"/>
      <c r="F4951" s="12" t="inlineStr">
        <is>
          <t>PCM: power control module</t>
        </is>
      </c>
      <c r="G4951" s="12" t="inlineStr"/>
      <c r="H4951" s="12" t="inlineStr">
        <is>
          <t>RICE 2 radiators (5)</t>
        </is>
      </c>
      <c r="I4951" s="12" t="inlineStr">
        <is>
          <t>LV 600 V</t>
        </is>
      </c>
      <c r="J4951" s="12" t="inlineStr">
        <is>
          <t>VFD cable 600 V 3/C Cu XHHW-2, 3 symmetrical grounds, overall Cu tape shield, TC-ER</t>
        </is>
      </c>
      <c r="K4951" s="12" t="inlineStr">
        <is>
          <t>VFD|3/C+3G|2</t>
        </is>
      </c>
      <c r="L4951" s="12" t="inlineStr">
        <is>
          <t>3/C+3G</t>
        </is>
      </c>
      <c r="M4951" s="12" t="inlineStr">
        <is>
          <t>2</t>
        </is>
      </c>
      <c r="N4951" s="12" t="n">
        <v>1</v>
      </c>
      <c r="O4951" s="12" t="n">
        <v>1</v>
      </c>
      <c r="P4951" s="12" t="n">
        <v>480</v>
      </c>
      <c r="Q4951" s="12" t="n">
        <v>30</v>
      </c>
      <c r="R4951" s="12" t="n">
        <v>42</v>
      </c>
      <c r="S4951" s="12" t="inlineStr">
        <is>
          <t>Duct bank</t>
        </is>
      </c>
      <c r="T4951" s="16" t="n">
        <v>630</v>
      </c>
      <c r="U4951" s="16" t="n">
        <v>192</v>
      </c>
      <c r="V4951" s="16">
        <f>ROUNDUP((T4951+U4951+2*'Read Me'!$B$13)*(1+'Read Me'!$B$12),-1)</f>
        <v/>
      </c>
      <c r="W4951" s="16">
        <f>V4951*N4951*O4951</f>
        <v/>
      </c>
      <c r="X4951" s="12">
        <f>IF(LEFT(I4951,2)="MV",2*N4951*IF(L4951="1/C",O4951,1),0)</f>
        <v/>
      </c>
      <c r="Y4951" s="12">
        <f>IF(OR(LEFT(K4951,4)="LVAX",LEFT(K4951,6)="MV15AX",LEFT(K4951,4)="CTAX",LEFT(K4951,2)="W|"),2*N4951*O4951,0)</f>
        <v/>
      </c>
      <c r="Z4951" s="12" t="inlineStr">
        <is>
          <t>VD 2.7 %</t>
        </is>
      </c>
      <c r="AA4951" s="12">
        <f>N4951*O4951</f>
        <v/>
      </c>
    </row>
    <row r="4952">
      <c r="A4952" s="12" t="inlineStr">
        <is>
          <t>I-P-0050</t>
        </is>
      </c>
      <c r="B4952" s="12" t="inlineStr">
        <is>
          <t>I</t>
        </is>
      </c>
      <c r="C4952" s="12" t="inlineStr">
        <is>
          <t>Modular / portable power</t>
        </is>
      </c>
      <c r="D4952" s="12" t="inlineStr">
        <is>
          <t>Motor 3 of 5, 30 kW (VFD output)</t>
        </is>
      </c>
      <c r="E4952" s="12" t="inlineStr"/>
      <c r="F4952" s="12" t="inlineStr">
        <is>
          <t>PCM: power control module</t>
        </is>
      </c>
      <c r="G4952" s="12" t="inlineStr"/>
      <c r="H4952" s="12" t="inlineStr">
        <is>
          <t>RICE 2 radiators (5)</t>
        </is>
      </c>
      <c r="I4952" s="12" t="inlineStr">
        <is>
          <t>LV 600 V</t>
        </is>
      </c>
      <c r="J4952" s="12" t="inlineStr">
        <is>
          <t>VFD cable 600 V 3/C Cu XHHW-2, 3 symmetrical grounds, overall Cu tape shield, TC-ER</t>
        </is>
      </c>
      <c r="K4952" s="12" t="inlineStr">
        <is>
          <t>VFD|3/C+3G|2</t>
        </is>
      </c>
      <c r="L4952" s="12" t="inlineStr">
        <is>
          <t>3/C+3G</t>
        </is>
      </c>
      <c r="M4952" s="12" t="inlineStr">
        <is>
          <t>2</t>
        </is>
      </c>
      <c r="N4952" s="12" t="n">
        <v>1</v>
      </c>
      <c r="O4952" s="12" t="n">
        <v>1</v>
      </c>
      <c r="P4952" s="12" t="n">
        <v>480</v>
      </c>
      <c r="Q4952" s="12" t="n">
        <v>30</v>
      </c>
      <c r="R4952" s="12" t="n">
        <v>42</v>
      </c>
      <c r="S4952" s="12" t="inlineStr">
        <is>
          <t>Duct bank</t>
        </is>
      </c>
      <c r="T4952" s="16" t="n">
        <v>630</v>
      </c>
      <c r="U4952" s="16" t="n">
        <v>192</v>
      </c>
      <c r="V4952" s="16">
        <f>ROUNDUP((T4952+U4952+2*'Read Me'!$B$13)*(1+'Read Me'!$B$12),-1)</f>
        <v/>
      </c>
      <c r="W4952" s="16">
        <f>V4952*N4952*O4952</f>
        <v/>
      </c>
      <c r="X4952" s="12">
        <f>IF(LEFT(I4952,2)="MV",2*N4952*IF(L4952="1/C",O4952,1),0)</f>
        <v/>
      </c>
      <c r="Y4952" s="12">
        <f>IF(OR(LEFT(K4952,4)="LVAX",LEFT(K4952,6)="MV15AX",LEFT(K4952,4)="CTAX",LEFT(K4952,2)="W|"),2*N4952*O4952,0)</f>
        <v/>
      </c>
      <c r="Z4952" s="12" t="inlineStr">
        <is>
          <t>VD 2.7 %</t>
        </is>
      </c>
      <c r="AA4952" s="12">
        <f>N4952*O4952</f>
        <v/>
      </c>
    </row>
    <row r="4953">
      <c r="A4953" s="12" t="inlineStr">
        <is>
          <t>I-P-0051</t>
        </is>
      </c>
      <c r="B4953" s="12" t="inlineStr">
        <is>
          <t>I</t>
        </is>
      </c>
      <c r="C4953" s="12" t="inlineStr">
        <is>
          <t>Modular / portable power</t>
        </is>
      </c>
      <c r="D4953" s="12" t="inlineStr">
        <is>
          <t>Motor 4 of 5, 30 kW (VFD output)</t>
        </is>
      </c>
      <c r="E4953" s="12" t="inlineStr"/>
      <c r="F4953" s="12" t="inlineStr">
        <is>
          <t>PCM: power control module</t>
        </is>
      </c>
      <c r="G4953" s="12" t="inlineStr"/>
      <c r="H4953" s="12" t="inlineStr">
        <is>
          <t>RICE 2 radiators (5)</t>
        </is>
      </c>
      <c r="I4953" s="12" t="inlineStr">
        <is>
          <t>LV 600 V</t>
        </is>
      </c>
      <c r="J4953" s="12" t="inlineStr">
        <is>
          <t>VFD cable 600 V 3/C Cu XHHW-2, 3 symmetrical grounds, overall Cu tape shield, TC-ER</t>
        </is>
      </c>
      <c r="K4953" s="12" t="inlineStr">
        <is>
          <t>VFD|3/C+3G|2</t>
        </is>
      </c>
      <c r="L4953" s="12" t="inlineStr">
        <is>
          <t>3/C+3G</t>
        </is>
      </c>
      <c r="M4953" s="12" t="inlineStr">
        <is>
          <t>2</t>
        </is>
      </c>
      <c r="N4953" s="12" t="n">
        <v>1</v>
      </c>
      <c r="O4953" s="12" t="n">
        <v>1</v>
      </c>
      <c r="P4953" s="12" t="n">
        <v>480</v>
      </c>
      <c r="Q4953" s="12" t="n">
        <v>30</v>
      </c>
      <c r="R4953" s="12" t="n">
        <v>42</v>
      </c>
      <c r="S4953" s="12" t="inlineStr">
        <is>
          <t>Duct bank</t>
        </is>
      </c>
      <c r="T4953" s="16" t="n">
        <v>630</v>
      </c>
      <c r="U4953" s="16" t="n">
        <v>192</v>
      </c>
      <c r="V4953" s="16">
        <f>ROUNDUP((T4953+U4953+2*'Read Me'!$B$13)*(1+'Read Me'!$B$12),-1)</f>
        <v/>
      </c>
      <c r="W4953" s="16">
        <f>V4953*N4953*O4953</f>
        <v/>
      </c>
      <c r="X4953" s="12">
        <f>IF(LEFT(I4953,2)="MV",2*N4953*IF(L4953="1/C",O4953,1),0)</f>
        <v/>
      </c>
      <c r="Y4953" s="12">
        <f>IF(OR(LEFT(K4953,4)="LVAX",LEFT(K4953,6)="MV15AX",LEFT(K4953,4)="CTAX",LEFT(K4953,2)="W|"),2*N4953*O4953,0)</f>
        <v/>
      </c>
      <c r="Z4953" s="12" t="inlineStr">
        <is>
          <t>VD 2.7 %</t>
        </is>
      </c>
      <c r="AA4953" s="12">
        <f>N4953*O4953</f>
        <v/>
      </c>
    </row>
    <row r="4954">
      <c r="A4954" s="12" t="inlineStr">
        <is>
          <t>I-P-0052</t>
        </is>
      </c>
      <c r="B4954" s="12" t="inlineStr">
        <is>
          <t>I</t>
        </is>
      </c>
      <c r="C4954" s="12" t="inlineStr">
        <is>
          <t>Modular / portable power</t>
        </is>
      </c>
      <c r="D4954" s="12" t="inlineStr">
        <is>
          <t>Motor 5 of 5, 30 kW (VFD output)</t>
        </is>
      </c>
      <c r="E4954" s="12" t="inlineStr"/>
      <c r="F4954" s="12" t="inlineStr">
        <is>
          <t>PCM: power control module</t>
        </is>
      </c>
      <c r="G4954" s="12" t="inlineStr"/>
      <c r="H4954" s="12" t="inlineStr">
        <is>
          <t>RICE 2 radiators (5)</t>
        </is>
      </c>
      <c r="I4954" s="12" t="inlineStr">
        <is>
          <t>LV 600 V</t>
        </is>
      </c>
      <c r="J4954" s="12" t="inlineStr">
        <is>
          <t>VFD cable 600 V 3/C Cu XHHW-2, 3 symmetrical grounds, overall Cu tape shield, TC-ER</t>
        </is>
      </c>
      <c r="K4954" s="12" t="inlineStr">
        <is>
          <t>VFD|3/C+3G|2</t>
        </is>
      </c>
      <c r="L4954" s="12" t="inlineStr">
        <is>
          <t>3/C+3G</t>
        </is>
      </c>
      <c r="M4954" s="12" t="inlineStr">
        <is>
          <t>2</t>
        </is>
      </c>
      <c r="N4954" s="12" t="n">
        <v>1</v>
      </c>
      <c r="O4954" s="12" t="n">
        <v>1</v>
      </c>
      <c r="P4954" s="12" t="n">
        <v>480</v>
      </c>
      <c r="Q4954" s="12" t="n">
        <v>30</v>
      </c>
      <c r="R4954" s="12" t="n">
        <v>42</v>
      </c>
      <c r="S4954" s="12" t="inlineStr">
        <is>
          <t>Duct bank</t>
        </is>
      </c>
      <c r="T4954" s="16" t="n">
        <v>630</v>
      </c>
      <c r="U4954" s="16" t="n">
        <v>192</v>
      </c>
      <c r="V4954" s="16">
        <f>ROUNDUP((T4954+U4954+2*'Read Me'!$B$13)*(1+'Read Me'!$B$12),-1)</f>
        <v/>
      </c>
      <c r="W4954" s="16">
        <f>V4954*N4954*O4954</f>
        <v/>
      </c>
      <c r="X4954" s="12">
        <f>IF(LEFT(I4954,2)="MV",2*N4954*IF(L4954="1/C",O4954,1),0)</f>
        <v/>
      </c>
      <c r="Y4954" s="12">
        <f>IF(OR(LEFT(K4954,4)="LVAX",LEFT(K4954,6)="MV15AX",LEFT(K4954,4)="CTAX",LEFT(K4954,2)="W|"),2*N4954*O4954,0)</f>
        <v/>
      </c>
      <c r="Z4954" s="12" t="inlineStr">
        <is>
          <t>VD 2.7 %</t>
        </is>
      </c>
      <c r="AA4954" s="12">
        <f>N4954*O4954</f>
        <v/>
      </c>
    </row>
    <row r="4955">
      <c r="A4955" s="12" t="inlineStr">
        <is>
          <t>I-P-0053</t>
        </is>
      </c>
      <c r="B4955" s="12" t="inlineStr">
        <is>
          <t>I</t>
        </is>
      </c>
      <c r="C4955" s="12" t="inlineStr">
        <is>
          <t>Modular / portable power</t>
        </is>
      </c>
      <c r="D4955" s="12" t="inlineStr">
        <is>
          <t>Motor 1 of 1, 15 kW</t>
        </is>
      </c>
      <c r="E4955" s="12" t="inlineStr"/>
      <c r="F4955" s="12" t="inlineStr">
        <is>
          <t>PCM: power control module</t>
        </is>
      </c>
      <c r="G4955" s="12" t="inlineStr"/>
      <c r="H4955" s="12" t="inlineStr">
        <is>
          <t>RICE 3 SCR + oxidation catalyst and stack</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6" t="n">
        <v>470</v>
      </c>
      <c r="U4955" s="16" t="n">
        <v>104</v>
      </c>
      <c r="V4955" s="16">
        <f>ROUNDUP((T4955+U4955+2*'Read Me'!$B$13)*(1+'Read Me'!$B$12),-1)</f>
        <v/>
      </c>
      <c r="W4955" s="16">
        <f>V4955*N4955*O4955</f>
        <v/>
      </c>
      <c r="X4955" s="12">
        <f>IF(LEFT(I4955,2)="MV",2*N4955*IF(L4955="1/C",O4955,1),0)</f>
        <v/>
      </c>
      <c r="Y4955" s="12">
        <f>IF(OR(LEFT(K4955,4)="LVAX",LEFT(K4955,6)="MV15AX",LEFT(K4955,4)="CTAX",LEFT(K4955,2)="W|"),2*N4955*O4955,0)</f>
        <v/>
      </c>
      <c r="Z4955" s="12" t="inlineStr">
        <is>
          <t>VD 2.4 %</t>
        </is>
      </c>
      <c r="AA4955" s="12">
        <f>N4955*O4955</f>
        <v/>
      </c>
    </row>
    <row r="4956">
      <c r="A4956" s="12" t="inlineStr">
        <is>
          <t>I-P-0054</t>
        </is>
      </c>
      <c r="B4956" s="12" t="inlineStr">
        <is>
          <t>I</t>
        </is>
      </c>
      <c r="C4956" s="12" t="inlineStr">
        <is>
          <t>Modular / portable power</t>
        </is>
      </c>
      <c r="D4956" s="12" t="inlineStr">
        <is>
          <t>Area / platform lighting circuit 1 (6 fixtures)</t>
        </is>
      </c>
      <c r="E4956" s="12" t="inlineStr"/>
      <c r="F4956" s="12" t="inlineStr">
        <is>
          <t>PCM: power control module</t>
        </is>
      </c>
      <c r="G4956" s="12" t="inlineStr"/>
      <c r="H4956" s="12" t="inlineStr">
        <is>
          <t>RICE 3 SCR + oxidation catalyst and stack</t>
        </is>
      </c>
      <c r="I4956" s="12" t="inlineStr">
        <is>
          <t>LV 600 V</t>
        </is>
      </c>
      <c r="J4956" s="12" t="inlineStr">
        <is>
          <t>Type TC-ER 600 V 3/C Cu XHHW-2 + ground, PVC jacket</t>
        </is>
      </c>
      <c r="K4956" s="12" t="inlineStr">
        <is>
          <t>LV|3/C+G|10</t>
        </is>
      </c>
      <c r="L4956" s="12" t="inlineStr">
        <is>
          <t>3/C+G</t>
        </is>
      </c>
      <c r="M4956" s="12" t="inlineStr">
        <is>
          <t>10</t>
        </is>
      </c>
      <c r="N4956" s="12" t="n">
        <v>1</v>
      </c>
      <c r="O4956" s="12" t="n">
        <v>1</v>
      </c>
      <c r="P4956" s="12" t="n">
        <v>480</v>
      </c>
      <c r="Q4956" s="12" t="n">
        <v>3</v>
      </c>
      <c r="R4956" s="12" t="n">
        <v>5</v>
      </c>
      <c r="S4956" s="12" t="inlineStr">
        <is>
          <t>Duct bank</t>
        </is>
      </c>
      <c r="T4956" s="16" t="n">
        <v>770</v>
      </c>
      <c r="U4956" s="16" t="n">
        <v>104</v>
      </c>
      <c r="V4956" s="16">
        <f>ROUNDUP((T4956+U4956+2*'Read Me'!$B$13)*(1+'Read Me'!$B$12),-1)</f>
        <v/>
      </c>
      <c r="W4956" s="16">
        <f>V4956*N4956*O4956</f>
        <v/>
      </c>
      <c r="X4956" s="12">
        <f>IF(LEFT(I4956,2)="MV",2*N4956*IF(L4956="1/C",O4956,1),0)</f>
        <v/>
      </c>
      <c r="Y4956" s="12">
        <f>IF(OR(LEFT(K4956,4)="LVAX",LEFT(K4956,6)="MV15AX",LEFT(K4956,4)="CTAX",LEFT(K4956,2)="W|"),2*N4956*O4956,0)</f>
        <v/>
      </c>
      <c r="Z4956" s="12" t="inlineStr">
        <is>
          <t>fixture-to-fixture run included</t>
        </is>
      </c>
      <c r="AA4956" s="12">
        <f>N4956*O4956</f>
        <v/>
      </c>
    </row>
    <row r="4957">
      <c r="A4957" s="12" t="inlineStr">
        <is>
          <t>I-P-0055</t>
        </is>
      </c>
      <c r="B4957" s="12" t="inlineStr">
        <is>
          <t>I</t>
        </is>
      </c>
      <c r="C4957" s="12" t="inlineStr">
        <is>
          <t>Modular / portable power</t>
        </is>
      </c>
      <c r="D4957" s="12" t="inlineStr">
        <is>
          <t>Motor 1 of 5, 30 kW (VFD output)</t>
        </is>
      </c>
      <c r="E4957" s="12" t="inlineStr"/>
      <c r="F4957" s="12" t="inlineStr">
        <is>
          <t>PCM: power control module</t>
        </is>
      </c>
      <c r="G4957" s="12" t="inlineStr"/>
      <c r="H4957" s="12" t="inlineStr">
        <is>
          <t>RICE 3 radiators (5)</t>
        </is>
      </c>
      <c r="I4957" s="12" t="inlineStr">
        <is>
          <t>LV 600 V</t>
        </is>
      </c>
      <c r="J4957" s="12" t="inlineStr">
        <is>
          <t>VFD cable 600 V 3/C Cu XHHW-2, 3 symmetrical grounds, overall Cu tape shield, TC-ER</t>
        </is>
      </c>
      <c r="K4957" s="12" t="inlineStr">
        <is>
          <t>VFD|3/C+3G|6</t>
        </is>
      </c>
      <c r="L4957" s="12" t="inlineStr">
        <is>
          <t>3/C+3G</t>
        </is>
      </c>
      <c r="M4957" s="12" t="inlineStr">
        <is>
          <t>6</t>
        </is>
      </c>
      <c r="N4957" s="12" t="n">
        <v>1</v>
      </c>
      <c r="O4957" s="12" t="n">
        <v>1</v>
      </c>
      <c r="P4957" s="12" t="n">
        <v>480</v>
      </c>
      <c r="Q4957" s="12" t="n">
        <v>30</v>
      </c>
      <c r="R4957" s="12" t="n">
        <v>42</v>
      </c>
      <c r="S4957" s="12" t="inlineStr">
        <is>
          <t>Tray</t>
        </is>
      </c>
      <c r="T4957" s="16" t="n">
        <v>112</v>
      </c>
      <c r="U4957" s="16" t="n">
        <v>232</v>
      </c>
      <c r="V4957" s="16">
        <f>ROUNDUP((T4957+U4957+2*'Read Me'!$B$13)*(1+'Read Me'!$B$12),-1)</f>
        <v/>
      </c>
      <c r="W4957" s="16">
        <f>V4957*N4957*O4957</f>
        <v/>
      </c>
      <c r="X4957" s="12">
        <f>IF(LEFT(I4957,2)="MV",2*N4957*IF(L4957="1/C",O4957,1),0)</f>
        <v/>
      </c>
      <c r="Y4957" s="12">
        <f>IF(OR(LEFT(K4957,4)="LVAX",LEFT(K4957,6)="MV15AX",LEFT(K4957,4)="CTAX",LEFT(K4957,2)="W|"),2*N4957*O4957,0)</f>
        <v/>
      </c>
      <c r="Z4957" s="12" t="inlineStr">
        <is>
          <t>VD 2.8 %</t>
        </is>
      </c>
      <c r="AA4957" s="12">
        <f>N4957*O4957</f>
        <v/>
      </c>
    </row>
    <row r="4958">
      <c r="A4958" s="12" t="inlineStr">
        <is>
          <t>I-P-0056</t>
        </is>
      </c>
      <c r="B4958" s="12" t="inlineStr">
        <is>
          <t>I</t>
        </is>
      </c>
      <c r="C4958" s="12" t="inlineStr">
        <is>
          <t>Modular / portable power</t>
        </is>
      </c>
      <c r="D4958" s="12" t="inlineStr">
        <is>
          <t>Motor 2 of 5, 30 kW (VFD output)</t>
        </is>
      </c>
      <c r="E4958" s="12" t="inlineStr"/>
      <c r="F4958" s="12" t="inlineStr">
        <is>
          <t>PCM: power control module</t>
        </is>
      </c>
      <c r="G4958" s="12" t="inlineStr"/>
      <c r="H4958" s="12" t="inlineStr">
        <is>
          <t>RICE 3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6" t="n">
        <v>112</v>
      </c>
      <c r="U4958" s="16" t="n">
        <v>232</v>
      </c>
      <c r="V4958" s="16">
        <f>ROUNDUP((T4958+U4958+2*'Read Me'!$B$13)*(1+'Read Me'!$B$12),-1)</f>
        <v/>
      </c>
      <c r="W4958" s="16">
        <f>V4958*N4958*O4958</f>
        <v/>
      </c>
      <c r="X4958" s="12">
        <f>IF(LEFT(I4958,2)="MV",2*N4958*IF(L4958="1/C",O4958,1),0)</f>
        <v/>
      </c>
      <c r="Y4958" s="12">
        <f>IF(OR(LEFT(K4958,4)="LVAX",LEFT(K4958,6)="MV15AX",LEFT(K4958,4)="CTAX",LEFT(K4958,2)="W|"),2*N4958*O4958,0)</f>
        <v/>
      </c>
      <c r="Z4958" s="12" t="inlineStr">
        <is>
          <t>VD 2.8 %</t>
        </is>
      </c>
      <c r="AA4958" s="12">
        <f>N4958*O4958</f>
        <v/>
      </c>
    </row>
    <row r="4959">
      <c r="A4959" s="12" t="inlineStr">
        <is>
          <t>I-P-0057</t>
        </is>
      </c>
      <c r="B4959" s="12" t="inlineStr">
        <is>
          <t>I</t>
        </is>
      </c>
      <c r="C4959" s="12" t="inlineStr">
        <is>
          <t>Modular / portable power</t>
        </is>
      </c>
      <c r="D4959" s="12" t="inlineStr">
        <is>
          <t>Motor 3 of 5, 30 kW (VFD output)</t>
        </is>
      </c>
      <c r="E4959" s="12" t="inlineStr"/>
      <c r="F4959" s="12" t="inlineStr">
        <is>
          <t>PCM: power control module</t>
        </is>
      </c>
      <c r="G4959" s="12" t="inlineStr"/>
      <c r="H4959" s="12" t="inlineStr">
        <is>
          <t>RICE 3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6" t="n">
        <v>112</v>
      </c>
      <c r="U4959" s="16" t="n">
        <v>232</v>
      </c>
      <c r="V4959" s="16">
        <f>ROUNDUP((T4959+U4959+2*'Read Me'!$B$13)*(1+'Read Me'!$B$12),-1)</f>
        <v/>
      </c>
      <c r="W4959" s="16">
        <f>V4959*N4959*O4959</f>
        <v/>
      </c>
      <c r="X4959" s="12">
        <f>IF(LEFT(I4959,2)="MV",2*N4959*IF(L4959="1/C",O4959,1),0)</f>
        <v/>
      </c>
      <c r="Y4959" s="12">
        <f>IF(OR(LEFT(K4959,4)="LVAX",LEFT(K4959,6)="MV15AX",LEFT(K4959,4)="CTAX",LEFT(K4959,2)="W|"),2*N4959*O4959,0)</f>
        <v/>
      </c>
      <c r="Z4959" s="12" t="inlineStr">
        <is>
          <t>VD 2.8 %</t>
        </is>
      </c>
      <c r="AA4959" s="12">
        <f>N4959*O4959</f>
        <v/>
      </c>
    </row>
    <row r="4960">
      <c r="A4960" s="12" t="inlineStr">
        <is>
          <t>I-P-0058</t>
        </is>
      </c>
      <c r="B4960" s="12" t="inlineStr">
        <is>
          <t>I</t>
        </is>
      </c>
      <c r="C4960" s="12" t="inlineStr">
        <is>
          <t>Modular / portable power</t>
        </is>
      </c>
      <c r="D4960" s="12" t="inlineStr">
        <is>
          <t>Motor 4 of 5, 30 kW (VFD output)</t>
        </is>
      </c>
      <c r="E4960" s="12" t="inlineStr"/>
      <c r="F4960" s="12" t="inlineStr">
        <is>
          <t>PCM: power control module</t>
        </is>
      </c>
      <c r="G4960" s="12" t="inlineStr"/>
      <c r="H4960" s="12" t="inlineStr">
        <is>
          <t>RICE 3 radiators (5)</t>
        </is>
      </c>
      <c r="I4960" s="12" t="inlineStr">
        <is>
          <t>LV 600 V</t>
        </is>
      </c>
      <c r="J4960" s="12" t="inlineStr">
        <is>
          <t>VFD cable 600 V 3/C Cu XHHW-2, 3 symmetrical grounds, overall Cu tape shield, TC-ER</t>
        </is>
      </c>
      <c r="K4960" s="12" t="inlineStr">
        <is>
          <t>VFD|3/C+3G|6</t>
        </is>
      </c>
      <c r="L4960" s="12" t="inlineStr">
        <is>
          <t>3/C+3G</t>
        </is>
      </c>
      <c r="M4960" s="12" t="inlineStr">
        <is>
          <t>6</t>
        </is>
      </c>
      <c r="N4960" s="12" t="n">
        <v>1</v>
      </c>
      <c r="O4960" s="12" t="n">
        <v>1</v>
      </c>
      <c r="P4960" s="12" t="n">
        <v>480</v>
      </c>
      <c r="Q4960" s="12" t="n">
        <v>30</v>
      </c>
      <c r="R4960" s="12" t="n">
        <v>42</v>
      </c>
      <c r="S4960" s="12" t="inlineStr">
        <is>
          <t>Tray</t>
        </is>
      </c>
      <c r="T4960" s="16" t="n">
        <v>112</v>
      </c>
      <c r="U4960" s="16" t="n">
        <v>232</v>
      </c>
      <c r="V4960" s="16">
        <f>ROUNDUP((T4960+U4960+2*'Read Me'!$B$13)*(1+'Read Me'!$B$12),-1)</f>
        <v/>
      </c>
      <c r="W4960" s="16">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I-P-0059</t>
        </is>
      </c>
      <c r="B4961" s="12" t="inlineStr">
        <is>
          <t>I</t>
        </is>
      </c>
      <c r="C4961" s="12" t="inlineStr">
        <is>
          <t>Modular / portable power</t>
        </is>
      </c>
      <c r="D4961" s="12" t="inlineStr">
        <is>
          <t>Motor 5 of 5, 30 kW (VFD output)</t>
        </is>
      </c>
      <c r="E4961" s="12" t="inlineStr"/>
      <c r="F4961" s="12" t="inlineStr">
        <is>
          <t>PCM: power control module</t>
        </is>
      </c>
      <c r="G4961" s="12" t="inlineStr"/>
      <c r="H4961" s="12" t="inlineStr">
        <is>
          <t>RICE 3 radiators (5)</t>
        </is>
      </c>
      <c r="I4961" s="12" t="inlineStr">
        <is>
          <t>LV 600 V</t>
        </is>
      </c>
      <c r="J4961" s="12" t="inlineStr">
        <is>
          <t>VFD cable 600 V 3/C Cu XHHW-2, 3 symmetrical grounds, overall Cu tape shield, TC-ER</t>
        </is>
      </c>
      <c r="K4961" s="12" t="inlineStr">
        <is>
          <t>VFD|3/C+3G|6</t>
        </is>
      </c>
      <c r="L4961" s="12" t="inlineStr">
        <is>
          <t>3/C+3G</t>
        </is>
      </c>
      <c r="M4961" s="12" t="inlineStr">
        <is>
          <t>6</t>
        </is>
      </c>
      <c r="N4961" s="12" t="n">
        <v>1</v>
      </c>
      <c r="O4961" s="12" t="n">
        <v>1</v>
      </c>
      <c r="P4961" s="12" t="n">
        <v>480</v>
      </c>
      <c r="Q4961" s="12" t="n">
        <v>30</v>
      </c>
      <c r="R4961" s="12" t="n">
        <v>42</v>
      </c>
      <c r="S4961" s="12" t="inlineStr">
        <is>
          <t>Tray</t>
        </is>
      </c>
      <c r="T4961" s="16" t="n">
        <v>112</v>
      </c>
      <c r="U4961" s="16" t="n">
        <v>232</v>
      </c>
      <c r="V4961" s="16">
        <f>ROUNDUP((T4961+U4961+2*'Read Me'!$B$13)*(1+'Read Me'!$B$12),-1)</f>
        <v/>
      </c>
      <c r="W4961" s="16">
        <f>V4961*N4961*O4961</f>
        <v/>
      </c>
      <c r="X4961" s="12">
        <f>IF(LEFT(I4961,2)="MV",2*N4961*IF(L4961="1/C",O4961,1),0)</f>
        <v/>
      </c>
      <c r="Y4961" s="12">
        <f>IF(OR(LEFT(K4961,4)="LVAX",LEFT(K4961,6)="MV15AX",LEFT(K4961,4)="CTAX",LEFT(K4961,2)="W|"),2*N4961*O4961,0)</f>
        <v/>
      </c>
      <c r="Z4961" s="12" t="inlineStr">
        <is>
          <t>VD 2.8 %</t>
        </is>
      </c>
      <c r="AA4961" s="12">
        <f>N4961*O4961</f>
        <v/>
      </c>
    </row>
    <row r="4962">
      <c r="A4962" s="12" t="inlineStr">
        <is>
          <t>I-P-0060</t>
        </is>
      </c>
      <c r="B4962" s="12" t="inlineStr">
        <is>
          <t>I</t>
        </is>
      </c>
      <c r="C4962" s="12" t="inlineStr">
        <is>
          <t>Modular / portable power</t>
        </is>
      </c>
      <c r="D4962" s="12" t="inlineStr">
        <is>
          <t>Motor 1 of 1, 15 kW</t>
        </is>
      </c>
      <c r="E4962" s="12" t="inlineStr"/>
      <c r="F4962" s="12" t="inlineStr">
        <is>
          <t>PCM: power control module</t>
        </is>
      </c>
      <c r="G4962" s="12" t="inlineStr"/>
      <c r="H4962" s="12" t="inlineStr">
        <is>
          <t>RICE 4 SCR + oxidation catalyst and stack</t>
        </is>
      </c>
      <c r="I4962" s="12" t="inlineStr">
        <is>
          <t>LV 600 V</t>
        </is>
      </c>
      <c r="J4962" s="12" t="inlineStr">
        <is>
          <t>Type TC-ER 600 V 3/C Cu XHHW-2 + ground, PVC jacket</t>
        </is>
      </c>
      <c r="K4962" s="12" t="inlineStr">
        <is>
          <t>LV|3/C+G|6</t>
        </is>
      </c>
      <c r="L4962" s="12" t="inlineStr">
        <is>
          <t>3/C+G</t>
        </is>
      </c>
      <c r="M4962" s="12" t="inlineStr">
        <is>
          <t>6</t>
        </is>
      </c>
      <c r="N4962" s="12" t="n">
        <v>1</v>
      </c>
      <c r="O4962" s="12" t="n">
        <v>1</v>
      </c>
      <c r="P4962" s="12" t="n">
        <v>480</v>
      </c>
      <c r="Q4962" s="12" t="n">
        <v>15</v>
      </c>
      <c r="R4962" s="12" t="n">
        <v>21.2</v>
      </c>
      <c r="S4962" s="12" t="inlineStr">
        <is>
          <t>Duct bank</t>
        </is>
      </c>
      <c r="T4962" s="16" t="n">
        <v>470</v>
      </c>
      <c r="U4962" s="16" t="n">
        <v>76</v>
      </c>
      <c r="V4962" s="16">
        <f>ROUNDUP((T4962+U4962+2*'Read Me'!$B$13)*(1+'Read Me'!$B$12),-1)</f>
        <v/>
      </c>
      <c r="W4962" s="16">
        <f>V4962*N4962*O4962</f>
        <v/>
      </c>
      <c r="X4962" s="12">
        <f>IF(LEFT(I4962,2)="MV",2*N4962*IF(L4962="1/C",O4962,1),0)</f>
        <v/>
      </c>
      <c r="Y4962" s="12">
        <f>IF(OR(LEFT(K4962,4)="LVAX",LEFT(K4962,6)="MV15AX",LEFT(K4962,4)="CTAX",LEFT(K4962,2)="W|"),2*N4962*O4962,0)</f>
        <v/>
      </c>
      <c r="Z4962" s="12" t="inlineStr">
        <is>
          <t>VD 2.3 %</t>
        </is>
      </c>
      <c r="AA4962" s="12">
        <f>N4962*O4962</f>
        <v/>
      </c>
    </row>
    <row r="4963">
      <c r="A4963" s="12" t="inlineStr">
        <is>
          <t>I-P-0061</t>
        </is>
      </c>
      <c r="B4963" s="12" t="inlineStr">
        <is>
          <t>I</t>
        </is>
      </c>
      <c r="C4963" s="12" t="inlineStr">
        <is>
          <t>Modular / portable power</t>
        </is>
      </c>
      <c r="D4963" s="12" t="inlineStr">
        <is>
          <t>Area / platform lighting circuit 1 (6 fixtures)</t>
        </is>
      </c>
      <c r="E4963" s="12" t="inlineStr"/>
      <c r="F4963" s="12" t="inlineStr">
        <is>
          <t>PCM: power control module</t>
        </is>
      </c>
      <c r="G4963" s="12" t="inlineStr"/>
      <c r="H4963" s="12" t="inlineStr">
        <is>
          <t>RICE 4 SCR + oxidation catalyst and stack</t>
        </is>
      </c>
      <c r="I4963" s="12" t="inlineStr">
        <is>
          <t>LV 600 V</t>
        </is>
      </c>
      <c r="J4963" s="12" t="inlineStr">
        <is>
          <t>Type TC-ER 600 V 3/C Cu XHHW-2 + ground, PVC jacket</t>
        </is>
      </c>
      <c r="K4963" s="12" t="inlineStr">
        <is>
          <t>LV|3/C+G|10</t>
        </is>
      </c>
      <c r="L4963" s="12" t="inlineStr">
        <is>
          <t>3/C+G</t>
        </is>
      </c>
      <c r="M4963" s="12" t="inlineStr">
        <is>
          <t>10</t>
        </is>
      </c>
      <c r="N4963" s="12" t="n">
        <v>1</v>
      </c>
      <c r="O4963" s="12" t="n">
        <v>1</v>
      </c>
      <c r="P4963" s="12" t="n">
        <v>480</v>
      </c>
      <c r="Q4963" s="12" t="n">
        <v>3</v>
      </c>
      <c r="R4963" s="12" t="n">
        <v>5</v>
      </c>
      <c r="S4963" s="12" t="inlineStr">
        <is>
          <t>Duct bank</t>
        </is>
      </c>
      <c r="T4963" s="16" t="n">
        <v>770</v>
      </c>
      <c r="U4963" s="16" t="n">
        <v>76</v>
      </c>
      <c r="V4963" s="16">
        <f>ROUNDUP((T4963+U4963+2*'Read Me'!$B$13)*(1+'Read Me'!$B$12),-1)</f>
        <v/>
      </c>
      <c r="W4963" s="16">
        <f>V4963*N4963*O4963</f>
        <v/>
      </c>
      <c r="X4963" s="12">
        <f>IF(LEFT(I4963,2)="MV",2*N4963*IF(L4963="1/C",O4963,1),0)</f>
        <v/>
      </c>
      <c r="Y4963" s="12">
        <f>IF(OR(LEFT(K4963,4)="LVAX",LEFT(K4963,6)="MV15AX",LEFT(K4963,4)="CTAX",LEFT(K4963,2)="W|"),2*N4963*O4963,0)</f>
        <v/>
      </c>
      <c r="Z4963" s="12" t="inlineStr">
        <is>
          <t>fixture-to-fixture run included</t>
        </is>
      </c>
      <c r="AA4963" s="12">
        <f>N4963*O4963</f>
        <v/>
      </c>
    </row>
    <row r="4964">
      <c r="A4964" s="12" t="inlineStr">
        <is>
          <t>I-P-0062</t>
        </is>
      </c>
      <c r="B4964" s="12" t="inlineStr">
        <is>
          <t>I</t>
        </is>
      </c>
      <c r="C4964" s="12" t="inlineStr">
        <is>
          <t>Modular / portable power</t>
        </is>
      </c>
      <c r="D4964" s="12" t="inlineStr">
        <is>
          <t>Motor 1 of 5, 30 kW (VFD output)</t>
        </is>
      </c>
      <c r="E4964" s="12" t="inlineStr"/>
      <c r="F4964" s="12" t="inlineStr">
        <is>
          <t>PCM: power control module</t>
        </is>
      </c>
      <c r="G4964" s="12" t="inlineStr"/>
      <c r="H4964" s="12" t="inlineStr">
        <is>
          <t>RICE 4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6" t="n">
        <v>80</v>
      </c>
      <c r="U4964" s="16" t="n">
        <v>206</v>
      </c>
      <c r="V4964" s="16">
        <f>ROUNDUP((T4964+U4964+2*'Read Me'!$B$13)*(1+'Read Me'!$B$12),-1)</f>
        <v/>
      </c>
      <c r="W4964" s="16">
        <f>V4964*N4964*O4964</f>
        <v/>
      </c>
      <c r="X4964" s="12">
        <f>IF(LEFT(I4964,2)="MV",2*N4964*IF(L4964="1/C",O4964,1),0)</f>
        <v/>
      </c>
      <c r="Y4964" s="12">
        <f>IF(OR(LEFT(K4964,4)="LVAX",LEFT(K4964,6)="MV15AX",LEFT(K4964,4)="CTAX",LEFT(K4964,2)="W|"),2*N4964*O4964,0)</f>
        <v/>
      </c>
      <c r="Z4964" s="12" t="inlineStr">
        <is>
          <t>VD 2.4 %</t>
        </is>
      </c>
      <c r="AA4964" s="12">
        <f>N4964*O4964</f>
        <v/>
      </c>
    </row>
    <row r="4965">
      <c r="A4965" s="12" t="inlineStr">
        <is>
          <t>I-P-0063</t>
        </is>
      </c>
      <c r="B4965" s="12" t="inlineStr">
        <is>
          <t>I</t>
        </is>
      </c>
      <c r="C4965" s="12" t="inlineStr">
        <is>
          <t>Modular / portable power</t>
        </is>
      </c>
      <c r="D4965" s="12" t="inlineStr">
        <is>
          <t>Motor 2 of 5, 30 kW (VFD output)</t>
        </is>
      </c>
      <c r="E4965" s="12" t="inlineStr"/>
      <c r="F4965" s="12" t="inlineStr">
        <is>
          <t>PCM: power control module</t>
        </is>
      </c>
      <c r="G4965" s="12" t="inlineStr"/>
      <c r="H4965" s="12" t="inlineStr">
        <is>
          <t>RICE 4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6" t="n">
        <v>80</v>
      </c>
      <c r="U4965" s="16" t="n">
        <v>206</v>
      </c>
      <c r="V4965" s="16">
        <f>ROUNDUP((T4965+U4965+2*'Read Me'!$B$13)*(1+'Read Me'!$B$12),-1)</f>
        <v/>
      </c>
      <c r="W4965" s="16">
        <f>V4965*N4965*O4965</f>
        <v/>
      </c>
      <c r="X4965" s="12">
        <f>IF(LEFT(I4965,2)="MV",2*N4965*IF(L4965="1/C",O4965,1),0)</f>
        <v/>
      </c>
      <c r="Y4965" s="12">
        <f>IF(OR(LEFT(K4965,4)="LVAX",LEFT(K4965,6)="MV15AX",LEFT(K4965,4)="CTAX",LEFT(K4965,2)="W|"),2*N4965*O4965,0)</f>
        <v/>
      </c>
      <c r="Z4965" s="12" t="inlineStr">
        <is>
          <t>VD 2.4 %</t>
        </is>
      </c>
      <c r="AA4965" s="12">
        <f>N4965*O4965</f>
        <v/>
      </c>
    </row>
    <row r="4966">
      <c r="A4966" s="12" t="inlineStr">
        <is>
          <t>I-P-0064</t>
        </is>
      </c>
      <c r="B4966" s="12" t="inlineStr">
        <is>
          <t>I</t>
        </is>
      </c>
      <c r="C4966" s="12" t="inlineStr">
        <is>
          <t>Modular / portable power</t>
        </is>
      </c>
      <c r="D4966" s="12" t="inlineStr">
        <is>
          <t>Motor 3 of 5, 30 kW (VFD output)</t>
        </is>
      </c>
      <c r="E4966" s="12" t="inlineStr"/>
      <c r="F4966" s="12" t="inlineStr">
        <is>
          <t>PCM: power control module</t>
        </is>
      </c>
      <c r="G4966" s="12" t="inlineStr"/>
      <c r="H4966" s="12" t="inlineStr">
        <is>
          <t>RICE 4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6" t="n">
        <v>80</v>
      </c>
      <c r="U4966" s="16" t="n">
        <v>206</v>
      </c>
      <c r="V4966" s="16">
        <f>ROUNDUP((T4966+U4966+2*'Read Me'!$B$13)*(1+'Read Me'!$B$12),-1)</f>
        <v/>
      </c>
      <c r="W4966" s="16">
        <f>V4966*N4966*O4966</f>
        <v/>
      </c>
      <c r="X4966" s="12">
        <f>IF(LEFT(I4966,2)="MV",2*N4966*IF(L4966="1/C",O4966,1),0)</f>
        <v/>
      </c>
      <c r="Y4966" s="12">
        <f>IF(OR(LEFT(K4966,4)="LVAX",LEFT(K4966,6)="MV15AX",LEFT(K4966,4)="CTAX",LEFT(K4966,2)="W|"),2*N4966*O4966,0)</f>
        <v/>
      </c>
      <c r="Z4966" s="12" t="inlineStr">
        <is>
          <t>VD 2.4 %</t>
        </is>
      </c>
      <c r="AA4966" s="12">
        <f>N4966*O4966</f>
        <v/>
      </c>
    </row>
    <row r="4967">
      <c r="A4967" s="12" t="inlineStr">
        <is>
          <t>I-P-0065</t>
        </is>
      </c>
      <c r="B4967" s="12" t="inlineStr">
        <is>
          <t>I</t>
        </is>
      </c>
      <c r="C4967" s="12" t="inlineStr">
        <is>
          <t>Modular / portable power</t>
        </is>
      </c>
      <c r="D4967" s="12" t="inlineStr">
        <is>
          <t>Motor 4 of 5, 30 kW (VFD output)</t>
        </is>
      </c>
      <c r="E4967" s="12" t="inlineStr"/>
      <c r="F4967" s="12" t="inlineStr">
        <is>
          <t>PCM: power control module</t>
        </is>
      </c>
      <c r="G4967" s="12" t="inlineStr"/>
      <c r="H4967" s="12" t="inlineStr">
        <is>
          <t>RICE 4 radiators (5)</t>
        </is>
      </c>
      <c r="I4967" s="12" t="inlineStr">
        <is>
          <t>LV 600 V</t>
        </is>
      </c>
      <c r="J4967" s="12" t="inlineStr">
        <is>
          <t>VFD cable 600 V 3/C Cu XHHW-2, 3 symmetrical grounds, overall Cu tape shield, TC-ER</t>
        </is>
      </c>
      <c r="K4967" s="12" t="inlineStr">
        <is>
          <t>VFD|3/C+3G|6</t>
        </is>
      </c>
      <c r="L4967" s="12" t="inlineStr">
        <is>
          <t>3/C+3G</t>
        </is>
      </c>
      <c r="M4967" s="12" t="inlineStr">
        <is>
          <t>6</t>
        </is>
      </c>
      <c r="N4967" s="12" t="n">
        <v>1</v>
      </c>
      <c r="O4967" s="12" t="n">
        <v>1</v>
      </c>
      <c r="P4967" s="12" t="n">
        <v>480</v>
      </c>
      <c r="Q4967" s="12" t="n">
        <v>30</v>
      </c>
      <c r="R4967" s="12" t="n">
        <v>42</v>
      </c>
      <c r="S4967" s="12" t="inlineStr">
        <is>
          <t>Tray</t>
        </is>
      </c>
      <c r="T4967" s="16" t="n">
        <v>80</v>
      </c>
      <c r="U4967" s="16" t="n">
        <v>206</v>
      </c>
      <c r="V4967" s="16">
        <f>ROUNDUP((T4967+U4967+2*'Read Me'!$B$13)*(1+'Read Me'!$B$12),-1)</f>
        <v/>
      </c>
      <c r="W4967" s="16">
        <f>V4967*N4967*O4967</f>
        <v/>
      </c>
      <c r="X4967" s="12">
        <f>IF(LEFT(I4967,2)="MV",2*N4967*IF(L4967="1/C",O4967,1),0)</f>
        <v/>
      </c>
      <c r="Y4967" s="12">
        <f>IF(OR(LEFT(K4967,4)="LVAX",LEFT(K4967,6)="MV15AX",LEFT(K4967,4)="CTAX",LEFT(K4967,2)="W|"),2*N4967*O4967,0)</f>
        <v/>
      </c>
      <c r="Z4967" s="12" t="inlineStr">
        <is>
          <t>VD 2.4 %</t>
        </is>
      </c>
      <c r="AA4967" s="12">
        <f>N4967*O4967</f>
        <v/>
      </c>
    </row>
    <row r="4968">
      <c r="A4968" s="12" t="inlineStr">
        <is>
          <t>I-P-0066</t>
        </is>
      </c>
      <c r="B4968" s="12" t="inlineStr">
        <is>
          <t>I</t>
        </is>
      </c>
      <c r="C4968" s="12" t="inlineStr">
        <is>
          <t>Modular / portable power</t>
        </is>
      </c>
      <c r="D4968" s="12" t="inlineStr">
        <is>
          <t>Motor 5 of 5, 30 kW (VFD output)</t>
        </is>
      </c>
      <c r="E4968" s="12" t="inlineStr"/>
      <c r="F4968" s="12" t="inlineStr">
        <is>
          <t>PCM: power control module</t>
        </is>
      </c>
      <c r="G4968" s="12" t="inlineStr"/>
      <c r="H4968" s="12" t="inlineStr">
        <is>
          <t>RICE 4 radiators (5)</t>
        </is>
      </c>
      <c r="I4968" s="12" t="inlineStr">
        <is>
          <t>LV 600 V</t>
        </is>
      </c>
      <c r="J4968" s="12" t="inlineStr">
        <is>
          <t>VFD cable 600 V 3/C Cu XHHW-2, 3 symmetrical grounds, overall Cu tape shield, TC-ER</t>
        </is>
      </c>
      <c r="K4968" s="12" t="inlineStr">
        <is>
          <t>VFD|3/C+3G|6</t>
        </is>
      </c>
      <c r="L4968" s="12" t="inlineStr">
        <is>
          <t>3/C+3G</t>
        </is>
      </c>
      <c r="M4968" s="12" t="inlineStr">
        <is>
          <t>6</t>
        </is>
      </c>
      <c r="N4968" s="12" t="n">
        <v>1</v>
      </c>
      <c r="O4968" s="12" t="n">
        <v>1</v>
      </c>
      <c r="P4968" s="12" t="n">
        <v>480</v>
      </c>
      <c r="Q4968" s="12" t="n">
        <v>30</v>
      </c>
      <c r="R4968" s="12" t="n">
        <v>42</v>
      </c>
      <c r="S4968" s="12" t="inlineStr">
        <is>
          <t>Tray</t>
        </is>
      </c>
      <c r="T4968" s="16" t="n">
        <v>80</v>
      </c>
      <c r="U4968" s="16" t="n">
        <v>206</v>
      </c>
      <c r="V4968" s="16">
        <f>ROUNDUP((T4968+U4968+2*'Read Me'!$B$13)*(1+'Read Me'!$B$12),-1)</f>
        <v/>
      </c>
      <c r="W4968" s="16">
        <f>V4968*N4968*O4968</f>
        <v/>
      </c>
      <c r="X4968" s="12">
        <f>IF(LEFT(I4968,2)="MV",2*N4968*IF(L4968="1/C",O4968,1),0)</f>
        <v/>
      </c>
      <c r="Y4968" s="12">
        <f>IF(OR(LEFT(K4968,4)="LVAX",LEFT(K4968,6)="MV15AX",LEFT(K4968,4)="CTAX",LEFT(K4968,2)="W|"),2*N4968*O4968,0)</f>
        <v/>
      </c>
      <c r="Z4968" s="12" t="inlineStr">
        <is>
          <t>VD 2.4 %</t>
        </is>
      </c>
      <c r="AA4968" s="12">
        <f>N4968*O4968</f>
        <v/>
      </c>
    </row>
    <row r="4969">
      <c r="A4969" s="12" t="inlineStr">
        <is>
          <t>I-P-0067</t>
        </is>
      </c>
      <c r="B4969" s="12" t="inlineStr">
        <is>
          <t>I</t>
        </is>
      </c>
      <c r="C4969" s="12" t="inlineStr">
        <is>
          <t>Modular / portable power</t>
        </is>
      </c>
      <c r="D4969" s="12" t="inlineStr">
        <is>
          <t>Motor 1 of 1, 15 kW</t>
        </is>
      </c>
      <c r="E4969" s="12" t="inlineStr"/>
      <c r="F4969" s="12" t="inlineStr">
        <is>
          <t>PCM: power control module</t>
        </is>
      </c>
      <c r="G4969" s="12" t="inlineStr"/>
      <c r="H4969" s="12" t="inlineStr">
        <is>
          <t>RICE 5 SCR + oxidation catalyst and stack</t>
        </is>
      </c>
      <c r="I4969" s="12" t="inlineStr">
        <is>
          <t>LV 600 V</t>
        </is>
      </c>
      <c r="J4969" s="12" t="inlineStr">
        <is>
          <t>Type TC-ER 600 V 3/C Cu XHHW-2 + ground, PVC jacket</t>
        </is>
      </c>
      <c r="K4969" s="12" t="inlineStr">
        <is>
          <t>LV|3/C+G|6</t>
        </is>
      </c>
      <c r="L4969" s="12" t="inlineStr">
        <is>
          <t>3/C+G</t>
        </is>
      </c>
      <c r="M4969" s="12" t="inlineStr">
        <is>
          <t>6</t>
        </is>
      </c>
      <c r="N4969" s="12" t="n">
        <v>1</v>
      </c>
      <c r="O4969" s="12" t="n">
        <v>1</v>
      </c>
      <c r="P4969" s="12" t="n">
        <v>480</v>
      </c>
      <c r="Q4969" s="12" t="n">
        <v>15</v>
      </c>
      <c r="R4969" s="12" t="n">
        <v>21.2</v>
      </c>
      <c r="S4969" s="12" t="inlineStr">
        <is>
          <t>Duct bank</t>
        </is>
      </c>
      <c r="T4969" s="16" t="n">
        <v>322</v>
      </c>
      <c r="U4969" s="16" t="n">
        <v>196</v>
      </c>
      <c r="V4969" s="16">
        <f>ROUNDUP((T4969+U4969+2*'Read Me'!$B$13)*(1+'Read Me'!$B$12),-1)</f>
        <v/>
      </c>
      <c r="W4969" s="16">
        <f>V4969*N4969*O4969</f>
        <v/>
      </c>
      <c r="X4969" s="12">
        <f>IF(LEFT(I4969,2)="MV",2*N4969*IF(L4969="1/C",O4969,1),0)</f>
        <v/>
      </c>
      <c r="Y4969" s="12">
        <f>IF(OR(LEFT(K4969,4)="LVAX",LEFT(K4969,6)="MV15AX",LEFT(K4969,4)="CTAX",LEFT(K4969,2)="W|"),2*N4969*O4969,0)</f>
        <v/>
      </c>
      <c r="Z4969" s="12" t="inlineStr">
        <is>
          <t>VD 2.1 %</t>
        </is>
      </c>
      <c r="AA4969" s="12">
        <f>N4969*O4969</f>
        <v/>
      </c>
    </row>
    <row r="4970">
      <c r="A4970" s="12" t="inlineStr">
        <is>
          <t>I-P-0068</t>
        </is>
      </c>
      <c r="B4970" s="12" t="inlineStr">
        <is>
          <t>I</t>
        </is>
      </c>
      <c r="C4970" s="12" t="inlineStr">
        <is>
          <t>Modular / portable power</t>
        </is>
      </c>
      <c r="D4970" s="12" t="inlineStr">
        <is>
          <t>Area / platform lighting circuit 1 (6 fixtures)</t>
        </is>
      </c>
      <c r="E4970" s="12" t="inlineStr"/>
      <c r="F4970" s="12" t="inlineStr">
        <is>
          <t>PCM: power control module</t>
        </is>
      </c>
      <c r="G4970" s="12" t="inlineStr"/>
      <c r="H4970" s="12" t="inlineStr">
        <is>
          <t>RICE 5 SCR + oxidation catalyst and stack</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3</v>
      </c>
      <c r="R4970" s="12" t="n">
        <v>5</v>
      </c>
      <c r="S4970" s="12" t="inlineStr">
        <is>
          <t>Duct bank</t>
        </is>
      </c>
      <c r="T4970" s="16" t="n">
        <v>622</v>
      </c>
      <c r="U4970" s="16" t="n">
        <v>196</v>
      </c>
      <c r="V4970" s="16">
        <f>ROUNDUP((T4970+U4970+2*'Read Me'!$B$13)*(1+'Read Me'!$B$12),-1)</f>
        <v/>
      </c>
      <c r="W4970" s="16">
        <f>V4970*N4970*O4970</f>
        <v/>
      </c>
      <c r="X4970" s="12">
        <f>IF(LEFT(I4970,2)="MV",2*N4970*IF(L4970="1/C",O4970,1),0)</f>
        <v/>
      </c>
      <c r="Y4970" s="12">
        <f>IF(OR(LEFT(K4970,4)="LVAX",LEFT(K4970,6)="MV15AX",LEFT(K4970,4)="CTAX",LEFT(K4970,2)="W|"),2*N4970*O4970,0)</f>
        <v/>
      </c>
      <c r="Z4970" s="12" t="inlineStr">
        <is>
          <t>fixture-to-fixture run included</t>
        </is>
      </c>
      <c r="AA4970" s="12">
        <f>N4970*O4970</f>
        <v/>
      </c>
    </row>
    <row r="4971">
      <c r="A4971" s="12" t="inlineStr">
        <is>
          <t>I-P-0069</t>
        </is>
      </c>
      <c r="B4971" s="12" t="inlineStr">
        <is>
          <t>I</t>
        </is>
      </c>
      <c r="C4971" s="12" t="inlineStr">
        <is>
          <t>Modular / portable power</t>
        </is>
      </c>
      <c r="D4971" s="12" t="inlineStr">
        <is>
          <t>Motor 1 of 5, 30 kW (VFD output)</t>
        </is>
      </c>
      <c r="E4971" s="12" t="inlineStr"/>
      <c r="F4971" s="12" t="inlineStr">
        <is>
          <t>PCM: power control module</t>
        </is>
      </c>
      <c r="G4971" s="12" t="inlineStr"/>
      <c r="H4971" s="12" t="inlineStr">
        <is>
          <t>RICE 5 radiators (5)</t>
        </is>
      </c>
      <c r="I4971" s="12" t="inlineStr">
        <is>
          <t>LV 600 V</t>
        </is>
      </c>
      <c r="J4971" s="12" t="inlineStr">
        <is>
          <t>VFD cable 600 V 3/C Cu XHHW-2, 3 symmetrical grounds, overall Cu tape shield, TC-ER</t>
        </is>
      </c>
      <c r="K4971" s="12" t="inlineStr">
        <is>
          <t>VFD|3/C+3G|6</t>
        </is>
      </c>
      <c r="L4971" s="12" t="inlineStr">
        <is>
          <t>3/C+3G</t>
        </is>
      </c>
      <c r="M4971" s="12" t="inlineStr">
        <is>
          <t>6</t>
        </is>
      </c>
      <c r="N4971" s="12" t="n">
        <v>1</v>
      </c>
      <c r="O4971" s="12" t="n">
        <v>1</v>
      </c>
      <c r="P4971" s="12" t="n">
        <v>480</v>
      </c>
      <c r="Q4971" s="12" t="n">
        <v>30</v>
      </c>
      <c r="R4971" s="12" t="n">
        <v>42</v>
      </c>
      <c r="S4971" s="12" t="inlineStr">
        <is>
          <t>Tray</t>
        </is>
      </c>
      <c r="T4971" s="16" t="n">
        <v>80</v>
      </c>
      <c r="U4971" s="16" t="n">
        <v>178</v>
      </c>
      <c r="V4971" s="16">
        <f>ROUNDUP((T4971+U4971+2*'Read Me'!$B$13)*(1+'Read Me'!$B$12),-1)</f>
        <v/>
      </c>
      <c r="W4971" s="16">
        <f>V4971*N4971*O4971</f>
        <v/>
      </c>
      <c r="X4971" s="12">
        <f>IF(LEFT(I4971,2)="MV",2*N4971*IF(L4971="1/C",O4971,1),0)</f>
        <v/>
      </c>
      <c r="Y4971" s="12">
        <f>IF(OR(LEFT(K4971,4)="LVAX",LEFT(K4971,6)="MV15AX",LEFT(K4971,4)="CTAX",LEFT(K4971,2)="W|"),2*N4971*O4971,0)</f>
        <v/>
      </c>
      <c r="Z4971" s="12" t="inlineStr">
        <is>
          <t>VD 2.1 %</t>
        </is>
      </c>
      <c r="AA4971" s="12">
        <f>N4971*O4971</f>
        <v/>
      </c>
    </row>
    <row r="4972">
      <c r="A4972" s="12" t="inlineStr">
        <is>
          <t>I-P-0070</t>
        </is>
      </c>
      <c r="B4972" s="12" t="inlineStr">
        <is>
          <t>I</t>
        </is>
      </c>
      <c r="C4972" s="12" t="inlineStr">
        <is>
          <t>Modular / portable power</t>
        </is>
      </c>
      <c r="D4972" s="12" t="inlineStr">
        <is>
          <t>Motor 2 of 5, 30 kW (VFD output)</t>
        </is>
      </c>
      <c r="E4972" s="12" t="inlineStr"/>
      <c r="F4972" s="12" t="inlineStr">
        <is>
          <t>PCM: power control module</t>
        </is>
      </c>
      <c r="G4972" s="12" t="inlineStr"/>
      <c r="H4972" s="12" t="inlineStr">
        <is>
          <t>RICE 5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6" t="n">
        <v>80</v>
      </c>
      <c r="U4972" s="16" t="n">
        <v>178</v>
      </c>
      <c r="V4972" s="16">
        <f>ROUNDUP((T4972+U4972+2*'Read Me'!$B$13)*(1+'Read Me'!$B$12),-1)</f>
        <v/>
      </c>
      <c r="W4972" s="16">
        <f>V4972*N4972*O4972</f>
        <v/>
      </c>
      <c r="X4972" s="12">
        <f>IF(LEFT(I4972,2)="MV",2*N4972*IF(L4972="1/C",O4972,1),0)</f>
        <v/>
      </c>
      <c r="Y4972" s="12">
        <f>IF(OR(LEFT(K4972,4)="LVAX",LEFT(K4972,6)="MV15AX",LEFT(K4972,4)="CTAX",LEFT(K4972,2)="W|"),2*N4972*O4972,0)</f>
        <v/>
      </c>
      <c r="Z4972" s="12" t="inlineStr">
        <is>
          <t>VD 2.1 %</t>
        </is>
      </c>
      <c r="AA4972" s="12">
        <f>N4972*O4972</f>
        <v/>
      </c>
    </row>
    <row r="4973">
      <c r="A4973" s="12" t="inlineStr">
        <is>
          <t>I-P-0071</t>
        </is>
      </c>
      <c r="B4973" s="12" t="inlineStr">
        <is>
          <t>I</t>
        </is>
      </c>
      <c r="C4973" s="12" t="inlineStr">
        <is>
          <t>Modular / portable power</t>
        </is>
      </c>
      <c r="D4973" s="12" t="inlineStr">
        <is>
          <t>Motor 3 of 5, 30 kW (VFD output)</t>
        </is>
      </c>
      <c r="E4973" s="12" t="inlineStr"/>
      <c r="F4973" s="12" t="inlineStr">
        <is>
          <t>PCM: power control module</t>
        </is>
      </c>
      <c r="G4973" s="12" t="inlineStr"/>
      <c r="H4973" s="12" t="inlineStr">
        <is>
          <t>RICE 5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6" t="n">
        <v>80</v>
      </c>
      <c r="U4973" s="16" t="n">
        <v>178</v>
      </c>
      <c r="V4973" s="16">
        <f>ROUNDUP((T4973+U4973+2*'Read Me'!$B$13)*(1+'Read Me'!$B$12),-1)</f>
        <v/>
      </c>
      <c r="W4973" s="16">
        <f>V4973*N4973*O4973</f>
        <v/>
      </c>
      <c r="X4973" s="12">
        <f>IF(LEFT(I4973,2)="MV",2*N4973*IF(L4973="1/C",O4973,1),0)</f>
        <v/>
      </c>
      <c r="Y4973" s="12">
        <f>IF(OR(LEFT(K4973,4)="LVAX",LEFT(K4973,6)="MV15AX",LEFT(K4973,4)="CTAX",LEFT(K4973,2)="W|"),2*N4973*O4973,0)</f>
        <v/>
      </c>
      <c r="Z4973" s="12" t="inlineStr">
        <is>
          <t>VD 2.1 %</t>
        </is>
      </c>
      <c r="AA4973" s="12">
        <f>N4973*O4973</f>
        <v/>
      </c>
    </row>
    <row r="4974">
      <c r="A4974" s="12" t="inlineStr">
        <is>
          <t>I-P-0072</t>
        </is>
      </c>
      <c r="B4974" s="12" t="inlineStr">
        <is>
          <t>I</t>
        </is>
      </c>
      <c r="C4974" s="12" t="inlineStr">
        <is>
          <t>Modular / portable power</t>
        </is>
      </c>
      <c r="D4974" s="12" t="inlineStr">
        <is>
          <t>Motor 4 of 5, 30 kW (VFD output)</t>
        </is>
      </c>
      <c r="E4974" s="12" t="inlineStr"/>
      <c r="F4974" s="12" t="inlineStr">
        <is>
          <t>PCM: power control module</t>
        </is>
      </c>
      <c r="G4974" s="12" t="inlineStr"/>
      <c r="H4974" s="12" t="inlineStr">
        <is>
          <t>RICE 5 radiators (5)</t>
        </is>
      </c>
      <c r="I4974" s="12" t="inlineStr">
        <is>
          <t>LV 600 V</t>
        </is>
      </c>
      <c r="J4974" s="12" t="inlineStr">
        <is>
          <t>VFD cable 600 V 3/C Cu XHHW-2, 3 symmetrical grounds, overall Cu tape shield, TC-ER</t>
        </is>
      </c>
      <c r="K4974" s="12" t="inlineStr">
        <is>
          <t>VFD|3/C+3G|6</t>
        </is>
      </c>
      <c r="L4974" s="12" t="inlineStr">
        <is>
          <t>3/C+3G</t>
        </is>
      </c>
      <c r="M4974" s="12" t="inlineStr">
        <is>
          <t>6</t>
        </is>
      </c>
      <c r="N4974" s="12" t="n">
        <v>1</v>
      </c>
      <c r="O4974" s="12" t="n">
        <v>1</v>
      </c>
      <c r="P4974" s="12" t="n">
        <v>480</v>
      </c>
      <c r="Q4974" s="12" t="n">
        <v>30</v>
      </c>
      <c r="R4974" s="12" t="n">
        <v>42</v>
      </c>
      <c r="S4974" s="12" t="inlineStr">
        <is>
          <t>Tray</t>
        </is>
      </c>
      <c r="T4974" s="16" t="n">
        <v>80</v>
      </c>
      <c r="U4974" s="16" t="n">
        <v>178</v>
      </c>
      <c r="V4974" s="16">
        <f>ROUNDUP((T4974+U4974+2*'Read Me'!$B$13)*(1+'Read Me'!$B$12),-1)</f>
        <v/>
      </c>
      <c r="W4974" s="16">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I-P-0073</t>
        </is>
      </c>
      <c r="B4975" s="12" t="inlineStr">
        <is>
          <t>I</t>
        </is>
      </c>
      <c r="C4975" s="12" t="inlineStr">
        <is>
          <t>Modular / portable power</t>
        </is>
      </c>
      <c r="D4975" s="12" t="inlineStr">
        <is>
          <t>Motor 5 of 5, 30 kW (VFD output)</t>
        </is>
      </c>
      <c r="E4975" s="12" t="inlineStr"/>
      <c r="F4975" s="12" t="inlineStr">
        <is>
          <t>PCM: power control module</t>
        </is>
      </c>
      <c r="G4975" s="12" t="inlineStr"/>
      <c r="H4975" s="12" t="inlineStr">
        <is>
          <t>RICE 5 radiators (5)</t>
        </is>
      </c>
      <c r="I4975" s="12" t="inlineStr">
        <is>
          <t>LV 600 V</t>
        </is>
      </c>
      <c r="J4975" s="12" t="inlineStr">
        <is>
          <t>VFD cable 600 V 3/C Cu XHHW-2, 3 symmetrical grounds, overall Cu tape shield, TC-ER</t>
        </is>
      </c>
      <c r="K4975" s="12" t="inlineStr">
        <is>
          <t>VFD|3/C+3G|6</t>
        </is>
      </c>
      <c r="L4975" s="12" t="inlineStr">
        <is>
          <t>3/C+3G</t>
        </is>
      </c>
      <c r="M4975" s="12" t="inlineStr">
        <is>
          <t>6</t>
        </is>
      </c>
      <c r="N4975" s="12" t="n">
        <v>1</v>
      </c>
      <c r="O4975" s="12" t="n">
        <v>1</v>
      </c>
      <c r="P4975" s="12" t="n">
        <v>480</v>
      </c>
      <c r="Q4975" s="12" t="n">
        <v>30</v>
      </c>
      <c r="R4975" s="12" t="n">
        <v>42</v>
      </c>
      <c r="S4975" s="12" t="inlineStr">
        <is>
          <t>Tray</t>
        </is>
      </c>
      <c r="T4975" s="16" t="n">
        <v>80</v>
      </c>
      <c r="U4975" s="16" t="n">
        <v>178</v>
      </c>
      <c r="V4975" s="16">
        <f>ROUNDUP((T4975+U4975+2*'Read Me'!$B$13)*(1+'Read Me'!$B$12),-1)</f>
        <v/>
      </c>
      <c r="W4975" s="16">
        <f>V4975*N4975*O4975</f>
        <v/>
      </c>
      <c r="X4975" s="12">
        <f>IF(LEFT(I4975,2)="MV",2*N4975*IF(L4975="1/C",O4975,1),0)</f>
        <v/>
      </c>
      <c r="Y4975" s="12">
        <f>IF(OR(LEFT(K4975,4)="LVAX",LEFT(K4975,6)="MV15AX",LEFT(K4975,4)="CTAX",LEFT(K4975,2)="W|"),2*N4975*O4975,0)</f>
        <v/>
      </c>
      <c r="Z4975" s="12" t="inlineStr">
        <is>
          <t>VD 2.1 %</t>
        </is>
      </c>
      <c r="AA4975" s="12">
        <f>N4975*O4975</f>
        <v/>
      </c>
    </row>
    <row r="4976">
      <c r="A4976" s="12" t="inlineStr">
        <is>
          <t>I-P-0074</t>
        </is>
      </c>
      <c r="B4976" s="12" t="inlineStr">
        <is>
          <t>I</t>
        </is>
      </c>
      <c r="C4976" s="12" t="inlineStr">
        <is>
          <t>Modular / portable power</t>
        </is>
      </c>
      <c r="D4976" s="12" t="inlineStr">
        <is>
          <t>Motor 1 of 1, 15 kW</t>
        </is>
      </c>
      <c r="E4976" s="12" t="inlineStr"/>
      <c r="F4976" s="12" t="inlineStr">
        <is>
          <t>PCM: power control module</t>
        </is>
      </c>
      <c r="G4976" s="12" t="inlineStr"/>
      <c r="H4976" s="12" t="inlineStr">
        <is>
          <t>RICE 6 SCR + oxidation catalyst and stack</t>
        </is>
      </c>
      <c r="I4976" s="12" t="inlineStr">
        <is>
          <t>LV 600 V</t>
        </is>
      </c>
      <c r="J4976" s="12" t="inlineStr">
        <is>
          <t>Type TC-ER 600 V 3/C Cu XHHW-2 + ground, PVC jacket</t>
        </is>
      </c>
      <c r="K4976" s="12" t="inlineStr">
        <is>
          <t>LV|3/C+G|6</t>
        </is>
      </c>
      <c r="L4976" s="12" t="inlineStr">
        <is>
          <t>3/C+G</t>
        </is>
      </c>
      <c r="M4976" s="12" t="inlineStr">
        <is>
          <t>6</t>
        </is>
      </c>
      <c r="N4976" s="12" t="n">
        <v>1</v>
      </c>
      <c r="O4976" s="12" t="n">
        <v>1</v>
      </c>
      <c r="P4976" s="12" t="n">
        <v>480</v>
      </c>
      <c r="Q4976" s="12" t="n">
        <v>15</v>
      </c>
      <c r="R4976" s="12" t="n">
        <v>21.2</v>
      </c>
      <c r="S4976" s="12" t="inlineStr">
        <is>
          <t>Duct bank</t>
        </is>
      </c>
      <c r="T4976" s="16" t="n">
        <v>322</v>
      </c>
      <c r="U4976" s="16" t="n">
        <v>168</v>
      </c>
      <c r="V4976" s="16">
        <f>ROUNDUP((T4976+U4976+2*'Read Me'!$B$13)*(1+'Read Me'!$B$12),-1)</f>
        <v/>
      </c>
      <c r="W4976" s="16">
        <f>V4976*N4976*O4976</f>
        <v/>
      </c>
      <c r="X4976" s="12">
        <f>IF(LEFT(I4976,2)="MV",2*N4976*IF(L4976="1/C",O4976,1),0)</f>
        <v/>
      </c>
      <c r="Y4976" s="12">
        <f>IF(OR(LEFT(K4976,4)="LVAX",LEFT(K4976,6)="MV15AX",LEFT(K4976,4)="CTAX",LEFT(K4976,2)="W|"),2*N4976*O4976,0)</f>
        <v/>
      </c>
      <c r="Z4976" s="12" t="inlineStr">
        <is>
          <t>VD 2.0 %</t>
        </is>
      </c>
      <c r="AA4976" s="12">
        <f>N4976*O4976</f>
        <v/>
      </c>
    </row>
    <row r="4977">
      <c r="A4977" s="12" t="inlineStr">
        <is>
          <t>I-P-0075</t>
        </is>
      </c>
      <c r="B4977" s="12" t="inlineStr">
        <is>
          <t>I</t>
        </is>
      </c>
      <c r="C4977" s="12" t="inlineStr">
        <is>
          <t>Modular / portable power</t>
        </is>
      </c>
      <c r="D4977" s="12" t="inlineStr">
        <is>
          <t>Area / platform lighting circuit 1 (6 fixtures)</t>
        </is>
      </c>
      <c r="E4977" s="12" t="inlineStr"/>
      <c r="F4977" s="12" t="inlineStr">
        <is>
          <t>PCM: power control module</t>
        </is>
      </c>
      <c r="G4977" s="12" t="inlineStr"/>
      <c r="H4977" s="12" t="inlineStr">
        <is>
          <t>RICE 6 SCR + oxidation catalyst and stack</t>
        </is>
      </c>
      <c r="I4977" s="12" t="inlineStr">
        <is>
          <t>LV 600 V</t>
        </is>
      </c>
      <c r="J4977" s="12" t="inlineStr">
        <is>
          <t>Type TC-ER 600 V 3/C Cu XHHW-2 + ground, PVC jacket</t>
        </is>
      </c>
      <c r="K4977" s="12" t="inlineStr">
        <is>
          <t>LV|3/C+G|10</t>
        </is>
      </c>
      <c r="L4977" s="12" t="inlineStr">
        <is>
          <t>3/C+G</t>
        </is>
      </c>
      <c r="M4977" s="12" t="inlineStr">
        <is>
          <t>10</t>
        </is>
      </c>
      <c r="N4977" s="12" t="n">
        <v>1</v>
      </c>
      <c r="O4977" s="12" t="n">
        <v>1</v>
      </c>
      <c r="P4977" s="12" t="n">
        <v>480</v>
      </c>
      <c r="Q4977" s="12" t="n">
        <v>3</v>
      </c>
      <c r="R4977" s="12" t="n">
        <v>5</v>
      </c>
      <c r="S4977" s="12" t="inlineStr">
        <is>
          <t>Duct bank</t>
        </is>
      </c>
      <c r="T4977" s="16" t="n">
        <v>622</v>
      </c>
      <c r="U4977" s="16" t="n">
        <v>168</v>
      </c>
      <c r="V4977" s="16">
        <f>ROUNDUP((T4977+U4977+2*'Read Me'!$B$13)*(1+'Read Me'!$B$12),-1)</f>
        <v/>
      </c>
      <c r="W4977" s="16">
        <f>V4977*N4977*O4977</f>
        <v/>
      </c>
      <c r="X4977" s="12">
        <f>IF(LEFT(I4977,2)="MV",2*N4977*IF(L4977="1/C",O4977,1),0)</f>
        <v/>
      </c>
      <c r="Y4977" s="12">
        <f>IF(OR(LEFT(K4977,4)="LVAX",LEFT(K4977,6)="MV15AX",LEFT(K4977,4)="CTAX",LEFT(K4977,2)="W|"),2*N4977*O4977,0)</f>
        <v/>
      </c>
      <c r="Z4977" s="12" t="inlineStr">
        <is>
          <t>fixture-to-fixture run included</t>
        </is>
      </c>
      <c r="AA4977" s="12">
        <f>N4977*O4977</f>
        <v/>
      </c>
    </row>
    <row r="4978">
      <c r="A4978" s="12" t="inlineStr">
        <is>
          <t>I-P-0076</t>
        </is>
      </c>
      <c r="B4978" s="12" t="inlineStr">
        <is>
          <t>I</t>
        </is>
      </c>
      <c r="C4978" s="12" t="inlineStr">
        <is>
          <t>Modular / portable power</t>
        </is>
      </c>
      <c r="D4978" s="12" t="inlineStr">
        <is>
          <t>Motor 1 of 5, 30 kW (VFD output)</t>
        </is>
      </c>
      <c r="E4978" s="12" t="inlineStr"/>
      <c r="F4978" s="12" t="inlineStr">
        <is>
          <t>PCM: power control module</t>
        </is>
      </c>
      <c r="G4978" s="12" t="inlineStr"/>
      <c r="H4978" s="12" t="inlineStr">
        <is>
          <t>RICE 6 radiators (5)</t>
        </is>
      </c>
      <c r="I4978" s="12" t="inlineStr">
        <is>
          <t>LV 600 V</t>
        </is>
      </c>
      <c r="J4978" s="12" t="inlineStr">
        <is>
          <t>VFD cable 600 V 3/C Cu XHHW-2, 3 symmetrical grounds, overall Cu tape shield, TC-ER</t>
        </is>
      </c>
      <c r="K4978" s="12" t="inlineStr">
        <is>
          <t>VFD|3/C+3G|6</t>
        </is>
      </c>
      <c r="L4978" s="12" t="inlineStr">
        <is>
          <t>3/C+3G</t>
        </is>
      </c>
      <c r="M4978" s="12" t="inlineStr">
        <is>
          <t>6</t>
        </is>
      </c>
      <c r="N4978" s="12" t="n">
        <v>1</v>
      </c>
      <c r="O4978" s="12" t="n">
        <v>1</v>
      </c>
      <c r="P4978" s="12" t="n">
        <v>480</v>
      </c>
      <c r="Q4978" s="12" t="n">
        <v>30</v>
      </c>
      <c r="R4978" s="12" t="n">
        <v>42</v>
      </c>
      <c r="S4978" s="12" t="inlineStr">
        <is>
          <t>Tray</t>
        </is>
      </c>
      <c r="T4978" s="16" t="n">
        <v>80</v>
      </c>
      <c r="U4978" s="16" t="n">
        <v>150</v>
      </c>
      <c r="V4978" s="16">
        <f>ROUNDUP((T4978+U4978+2*'Read Me'!$B$13)*(1+'Read Me'!$B$12),-1)</f>
        <v/>
      </c>
      <c r="W4978" s="16">
        <f>V4978*N4978*O4978</f>
        <v/>
      </c>
      <c r="X4978" s="12">
        <f>IF(LEFT(I4978,2)="MV",2*N4978*IF(L4978="1/C",O4978,1),0)</f>
        <v/>
      </c>
      <c r="Y4978" s="12">
        <f>IF(OR(LEFT(K4978,4)="LVAX",LEFT(K4978,6)="MV15AX",LEFT(K4978,4)="CTAX",LEFT(K4978,2)="W|"),2*N4978*O4978,0)</f>
        <v/>
      </c>
      <c r="Z4978" s="12" t="inlineStr">
        <is>
          <t>VD 1.9 %</t>
        </is>
      </c>
      <c r="AA4978" s="12">
        <f>N4978*O4978</f>
        <v/>
      </c>
    </row>
    <row r="4979">
      <c r="A4979" s="12" t="inlineStr">
        <is>
          <t>I-P-0077</t>
        </is>
      </c>
      <c r="B4979" s="12" t="inlineStr">
        <is>
          <t>I</t>
        </is>
      </c>
      <c r="C4979" s="12" t="inlineStr">
        <is>
          <t>Modular / portable power</t>
        </is>
      </c>
      <c r="D4979" s="12" t="inlineStr">
        <is>
          <t>Motor 2 of 5, 30 kW (VFD output)</t>
        </is>
      </c>
      <c r="E4979" s="12" t="inlineStr"/>
      <c r="F4979" s="12" t="inlineStr">
        <is>
          <t>PCM: power control module</t>
        </is>
      </c>
      <c r="G4979" s="12" t="inlineStr"/>
      <c r="H4979" s="12" t="inlineStr">
        <is>
          <t>RICE 6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6" t="n">
        <v>80</v>
      </c>
      <c r="U4979" s="16" t="n">
        <v>150</v>
      </c>
      <c r="V4979" s="16">
        <f>ROUNDUP((T4979+U4979+2*'Read Me'!$B$13)*(1+'Read Me'!$B$12),-1)</f>
        <v/>
      </c>
      <c r="W4979" s="16">
        <f>V4979*N4979*O4979</f>
        <v/>
      </c>
      <c r="X4979" s="12">
        <f>IF(LEFT(I4979,2)="MV",2*N4979*IF(L4979="1/C",O4979,1),0)</f>
        <v/>
      </c>
      <c r="Y4979" s="12">
        <f>IF(OR(LEFT(K4979,4)="LVAX",LEFT(K4979,6)="MV15AX",LEFT(K4979,4)="CTAX",LEFT(K4979,2)="W|"),2*N4979*O4979,0)</f>
        <v/>
      </c>
      <c r="Z4979" s="12" t="inlineStr">
        <is>
          <t>VD 1.9 %</t>
        </is>
      </c>
      <c r="AA4979" s="12">
        <f>N4979*O4979</f>
        <v/>
      </c>
    </row>
    <row r="4980">
      <c r="A4980" s="12" t="inlineStr">
        <is>
          <t>I-P-0078</t>
        </is>
      </c>
      <c r="B4980" s="12" t="inlineStr">
        <is>
          <t>I</t>
        </is>
      </c>
      <c r="C4980" s="12" t="inlineStr">
        <is>
          <t>Modular / portable power</t>
        </is>
      </c>
      <c r="D4980" s="12" t="inlineStr">
        <is>
          <t>Motor 3 of 5, 30 kW (VFD output)</t>
        </is>
      </c>
      <c r="E4980" s="12" t="inlineStr"/>
      <c r="F4980" s="12" t="inlineStr">
        <is>
          <t>PCM: power control module</t>
        </is>
      </c>
      <c r="G4980" s="12" t="inlineStr"/>
      <c r="H4980" s="12" t="inlineStr">
        <is>
          <t>RICE 6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6" t="n">
        <v>80</v>
      </c>
      <c r="U4980" s="16" t="n">
        <v>150</v>
      </c>
      <c r="V4980" s="16">
        <f>ROUNDUP((T4980+U4980+2*'Read Me'!$B$13)*(1+'Read Me'!$B$12),-1)</f>
        <v/>
      </c>
      <c r="W4980" s="16">
        <f>V4980*N4980*O4980</f>
        <v/>
      </c>
      <c r="X4980" s="12">
        <f>IF(LEFT(I4980,2)="MV",2*N4980*IF(L4980="1/C",O4980,1),0)</f>
        <v/>
      </c>
      <c r="Y4980" s="12">
        <f>IF(OR(LEFT(K4980,4)="LVAX",LEFT(K4980,6)="MV15AX",LEFT(K4980,4)="CTAX",LEFT(K4980,2)="W|"),2*N4980*O4980,0)</f>
        <v/>
      </c>
      <c r="Z4980" s="12" t="inlineStr">
        <is>
          <t>VD 1.9 %</t>
        </is>
      </c>
      <c r="AA4980" s="12">
        <f>N4980*O4980</f>
        <v/>
      </c>
    </row>
    <row r="4981">
      <c r="A4981" s="12" t="inlineStr">
        <is>
          <t>I-P-0079</t>
        </is>
      </c>
      <c r="B4981" s="12" t="inlineStr">
        <is>
          <t>I</t>
        </is>
      </c>
      <c r="C4981" s="12" t="inlineStr">
        <is>
          <t>Modular / portable power</t>
        </is>
      </c>
      <c r="D4981" s="12" t="inlineStr">
        <is>
          <t>Motor 4 of 5, 30 kW (VFD output)</t>
        </is>
      </c>
      <c r="E4981" s="12" t="inlineStr"/>
      <c r="F4981" s="12" t="inlineStr">
        <is>
          <t>PCM: power control module</t>
        </is>
      </c>
      <c r="G4981" s="12" t="inlineStr"/>
      <c r="H4981" s="12" t="inlineStr">
        <is>
          <t>RICE 6 radiators (5)</t>
        </is>
      </c>
      <c r="I4981" s="12" t="inlineStr">
        <is>
          <t>LV 600 V</t>
        </is>
      </c>
      <c r="J4981" s="12" t="inlineStr">
        <is>
          <t>VFD cable 600 V 3/C Cu XHHW-2, 3 symmetrical grounds, overall Cu tape shield, TC-ER</t>
        </is>
      </c>
      <c r="K4981" s="12" t="inlineStr">
        <is>
          <t>VFD|3/C+3G|6</t>
        </is>
      </c>
      <c r="L4981" s="12" t="inlineStr">
        <is>
          <t>3/C+3G</t>
        </is>
      </c>
      <c r="M4981" s="12" t="inlineStr">
        <is>
          <t>6</t>
        </is>
      </c>
      <c r="N4981" s="12" t="n">
        <v>1</v>
      </c>
      <c r="O4981" s="12" t="n">
        <v>1</v>
      </c>
      <c r="P4981" s="12" t="n">
        <v>480</v>
      </c>
      <c r="Q4981" s="12" t="n">
        <v>30</v>
      </c>
      <c r="R4981" s="12" t="n">
        <v>42</v>
      </c>
      <c r="S4981" s="12" t="inlineStr">
        <is>
          <t>Tray</t>
        </is>
      </c>
      <c r="T4981" s="16" t="n">
        <v>80</v>
      </c>
      <c r="U4981" s="16" t="n">
        <v>150</v>
      </c>
      <c r="V4981" s="16">
        <f>ROUNDUP((T4981+U4981+2*'Read Me'!$B$13)*(1+'Read Me'!$B$12),-1)</f>
        <v/>
      </c>
      <c r="W4981" s="16">
        <f>V4981*N4981*O4981</f>
        <v/>
      </c>
      <c r="X4981" s="12">
        <f>IF(LEFT(I4981,2)="MV",2*N4981*IF(L4981="1/C",O4981,1),0)</f>
        <v/>
      </c>
      <c r="Y4981" s="12">
        <f>IF(OR(LEFT(K4981,4)="LVAX",LEFT(K4981,6)="MV15AX",LEFT(K4981,4)="CTAX",LEFT(K4981,2)="W|"),2*N4981*O4981,0)</f>
        <v/>
      </c>
      <c r="Z4981" s="12" t="inlineStr">
        <is>
          <t>VD 1.9 %</t>
        </is>
      </c>
      <c r="AA4981" s="12">
        <f>N4981*O4981</f>
        <v/>
      </c>
    </row>
    <row r="4982">
      <c r="A4982" s="12" t="inlineStr">
        <is>
          <t>I-P-0080</t>
        </is>
      </c>
      <c r="B4982" s="12" t="inlineStr">
        <is>
          <t>I</t>
        </is>
      </c>
      <c r="C4982" s="12" t="inlineStr">
        <is>
          <t>Modular / portable power</t>
        </is>
      </c>
      <c r="D4982" s="12" t="inlineStr">
        <is>
          <t>Motor 5 of 5, 30 kW (VFD output)</t>
        </is>
      </c>
      <c r="E4982" s="12" t="inlineStr"/>
      <c r="F4982" s="12" t="inlineStr">
        <is>
          <t>PCM: power control module</t>
        </is>
      </c>
      <c r="G4982" s="12" t="inlineStr"/>
      <c r="H4982" s="12" t="inlineStr">
        <is>
          <t>RICE 6 radiators (5)</t>
        </is>
      </c>
      <c r="I4982" s="12" t="inlineStr">
        <is>
          <t>LV 600 V</t>
        </is>
      </c>
      <c r="J4982" s="12" t="inlineStr">
        <is>
          <t>VFD cable 600 V 3/C Cu XHHW-2, 3 symmetrical grounds, overall Cu tape shield, TC-ER</t>
        </is>
      </c>
      <c r="K4982" s="12" t="inlineStr">
        <is>
          <t>VFD|3/C+3G|6</t>
        </is>
      </c>
      <c r="L4982" s="12" t="inlineStr">
        <is>
          <t>3/C+3G</t>
        </is>
      </c>
      <c r="M4982" s="12" t="inlineStr">
        <is>
          <t>6</t>
        </is>
      </c>
      <c r="N4982" s="12" t="n">
        <v>1</v>
      </c>
      <c r="O4982" s="12" t="n">
        <v>1</v>
      </c>
      <c r="P4982" s="12" t="n">
        <v>480</v>
      </c>
      <c r="Q4982" s="12" t="n">
        <v>30</v>
      </c>
      <c r="R4982" s="12" t="n">
        <v>42</v>
      </c>
      <c r="S4982" s="12" t="inlineStr">
        <is>
          <t>Tray</t>
        </is>
      </c>
      <c r="T4982" s="16" t="n">
        <v>80</v>
      </c>
      <c r="U4982" s="16" t="n">
        <v>150</v>
      </c>
      <c r="V4982" s="16">
        <f>ROUNDUP((T4982+U4982+2*'Read Me'!$B$13)*(1+'Read Me'!$B$12),-1)</f>
        <v/>
      </c>
      <c r="W4982" s="16">
        <f>V4982*N4982*O4982</f>
        <v/>
      </c>
      <c r="X4982" s="12">
        <f>IF(LEFT(I4982,2)="MV",2*N4982*IF(L4982="1/C",O4982,1),0)</f>
        <v/>
      </c>
      <c r="Y4982" s="12">
        <f>IF(OR(LEFT(K4982,4)="LVAX",LEFT(K4982,6)="MV15AX",LEFT(K4982,4)="CTAX",LEFT(K4982,2)="W|"),2*N4982*O4982,0)</f>
        <v/>
      </c>
      <c r="Z4982" s="12" t="inlineStr">
        <is>
          <t>VD 1.9 %</t>
        </is>
      </c>
      <c r="AA4982" s="12">
        <f>N4982*O4982</f>
        <v/>
      </c>
    </row>
    <row r="4983">
      <c r="A4983" s="12" t="inlineStr">
        <is>
          <t>I-P-0081</t>
        </is>
      </c>
      <c r="B4983" s="12" t="inlineStr">
        <is>
          <t>I</t>
        </is>
      </c>
      <c r="C4983" s="12" t="inlineStr">
        <is>
          <t>Modular / portable power</t>
        </is>
      </c>
      <c r="D4983" s="12" t="inlineStr">
        <is>
          <t>Motor 1 of 1, 15 kW</t>
        </is>
      </c>
      <c r="E4983" s="12" t="inlineStr"/>
      <c r="F4983" s="12" t="inlineStr">
        <is>
          <t>PCM: power control module</t>
        </is>
      </c>
      <c r="G4983" s="12" t="inlineStr"/>
      <c r="H4983" s="12" t="inlineStr">
        <is>
          <t>RICE 7 SCR + oxidation catalyst and stack</t>
        </is>
      </c>
      <c r="I4983" s="12" t="inlineStr">
        <is>
          <t>LV 600 V</t>
        </is>
      </c>
      <c r="J4983" s="12" t="inlineStr">
        <is>
          <t>Type TC-ER 600 V 3/C Cu XHHW-2 + ground, PVC jacket</t>
        </is>
      </c>
      <c r="K4983" s="12" t="inlineStr">
        <is>
          <t>LV|3/C+G|8</t>
        </is>
      </c>
      <c r="L4983" s="12" t="inlineStr">
        <is>
          <t>3/C+G</t>
        </is>
      </c>
      <c r="M4983" s="12" t="inlineStr">
        <is>
          <t>8</t>
        </is>
      </c>
      <c r="N4983" s="12" t="n">
        <v>1</v>
      </c>
      <c r="O4983" s="12" t="n">
        <v>1</v>
      </c>
      <c r="P4983" s="12" t="n">
        <v>480</v>
      </c>
      <c r="Q4983" s="12" t="n">
        <v>15</v>
      </c>
      <c r="R4983" s="12" t="n">
        <v>21.2</v>
      </c>
      <c r="S4983" s="12" t="inlineStr">
        <is>
          <t>Duct bank</t>
        </is>
      </c>
      <c r="T4983" s="16" t="n">
        <v>322</v>
      </c>
      <c r="U4983" s="16" t="n">
        <v>140</v>
      </c>
      <c r="V4983" s="16">
        <f>ROUNDUP((T4983+U4983+2*'Read Me'!$B$13)*(1+'Read Me'!$B$12),-1)</f>
        <v/>
      </c>
      <c r="W4983" s="16">
        <f>V4983*N4983*O4983</f>
        <v/>
      </c>
      <c r="X4983" s="12">
        <f>IF(LEFT(I4983,2)="MV",2*N4983*IF(L4983="1/C",O4983,1),0)</f>
        <v/>
      </c>
      <c r="Y4983" s="12">
        <f>IF(OR(LEFT(K4983,4)="LVAX",LEFT(K4983,6)="MV15AX",LEFT(K4983,4)="CTAX",LEFT(K4983,2)="W|"),2*N4983*O4983,0)</f>
        <v/>
      </c>
      <c r="Z4983" s="12" t="inlineStr">
        <is>
          <t>VD 3.0 %</t>
        </is>
      </c>
      <c r="AA4983" s="12">
        <f>N4983*O4983</f>
        <v/>
      </c>
    </row>
    <row r="4984">
      <c r="A4984" s="12" t="inlineStr">
        <is>
          <t>I-P-0082</t>
        </is>
      </c>
      <c r="B4984" s="12" t="inlineStr">
        <is>
          <t>I</t>
        </is>
      </c>
      <c r="C4984" s="12" t="inlineStr">
        <is>
          <t>Modular / portable power</t>
        </is>
      </c>
      <c r="D4984" s="12" t="inlineStr">
        <is>
          <t>Area / platform lighting circuit 1 (6 fixtures)</t>
        </is>
      </c>
      <c r="E4984" s="12" t="inlineStr"/>
      <c r="F4984" s="12" t="inlineStr">
        <is>
          <t>PCM: power control module</t>
        </is>
      </c>
      <c r="G4984" s="12" t="inlineStr"/>
      <c r="H4984" s="12" t="inlineStr">
        <is>
          <t>RICE 7 SCR + oxidation catalyst and stack</t>
        </is>
      </c>
      <c r="I4984" s="12" t="inlineStr">
        <is>
          <t>LV 600 V</t>
        </is>
      </c>
      <c r="J4984" s="12" t="inlineStr">
        <is>
          <t>Type TC-ER 600 V 3/C Cu XHHW-2 + ground, PVC jacket</t>
        </is>
      </c>
      <c r="K4984" s="12" t="inlineStr">
        <is>
          <t>LV|3/C+G|10</t>
        </is>
      </c>
      <c r="L4984" s="12" t="inlineStr">
        <is>
          <t>3/C+G</t>
        </is>
      </c>
      <c r="M4984" s="12" t="inlineStr">
        <is>
          <t>10</t>
        </is>
      </c>
      <c r="N4984" s="12" t="n">
        <v>1</v>
      </c>
      <c r="O4984" s="12" t="n">
        <v>1</v>
      </c>
      <c r="P4984" s="12" t="n">
        <v>480</v>
      </c>
      <c r="Q4984" s="12" t="n">
        <v>3</v>
      </c>
      <c r="R4984" s="12" t="n">
        <v>5</v>
      </c>
      <c r="S4984" s="12" t="inlineStr">
        <is>
          <t>Duct bank</t>
        </is>
      </c>
      <c r="T4984" s="16" t="n">
        <v>622</v>
      </c>
      <c r="U4984" s="16" t="n">
        <v>140</v>
      </c>
      <c r="V4984" s="16">
        <f>ROUNDUP((T4984+U4984+2*'Read Me'!$B$13)*(1+'Read Me'!$B$12),-1)</f>
        <v/>
      </c>
      <c r="W4984" s="16">
        <f>V4984*N4984*O4984</f>
        <v/>
      </c>
      <c r="X4984" s="12">
        <f>IF(LEFT(I4984,2)="MV",2*N4984*IF(L4984="1/C",O4984,1),0)</f>
        <v/>
      </c>
      <c r="Y4984" s="12">
        <f>IF(OR(LEFT(K4984,4)="LVAX",LEFT(K4984,6)="MV15AX",LEFT(K4984,4)="CTAX",LEFT(K4984,2)="W|"),2*N4984*O4984,0)</f>
        <v/>
      </c>
      <c r="Z4984" s="12" t="inlineStr">
        <is>
          <t>fixture-to-fixture run included</t>
        </is>
      </c>
      <c r="AA4984" s="12">
        <f>N4984*O4984</f>
        <v/>
      </c>
    </row>
    <row r="4985">
      <c r="A4985" s="12" t="inlineStr">
        <is>
          <t>I-P-0083</t>
        </is>
      </c>
      <c r="B4985" s="12" t="inlineStr">
        <is>
          <t>I</t>
        </is>
      </c>
      <c r="C4985" s="12" t="inlineStr">
        <is>
          <t>Modular / portable power</t>
        </is>
      </c>
      <c r="D4985" s="12" t="inlineStr">
        <is>
          <t>Motor 1 of 5, 30 kW (VFD output)</t>
        </is>
      </c>
      <c r="E4985" s="12" t="inlineStr"/>
      <c r="F4985" s="12" t="inlineStr">
        <is>
          <t>PCM: power control module</t>
        </is>
      </c>
      <c r="G4985" s="12" t="inlineStr"/>
      <c r="H4985" s="12" t="inlineStr">
        <is>
          <t>RICE 7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6" t="n">
        <v>80</v>
      </c>
      <c r="U4985" s="16" t="n">
        <v>122</v>
      </c>
      <c r="V4985" s="16">
        <f>ROUNDUP((T4985+U4985+2*'Read Me'!$B$13)*(1+'Read Me'!$B$12),-1)</f>
        <v/>
      </c>
      <c r="W4985" s="16">
        <f>V4985*N4985*O4985</f>
        <v/>
      </c>
      <c r="X4985" s="12">
        <f>IF(LEFT(I4985,2)="MV",2*N4985*IF(L4985="1/C",O4985,1),0)</f>
        <v/>
      </c>
      <c r="Y4985" s="12">
        <f>IF(OR(LEFT(K4985,4)="LVAX",LEFT(K4985,6)="MV15AX",LEFT(K4985,4)="CTAX",LEFT(K4985,2)="W|"),2*N4985*O4985,0)</f>
        <v/>
      </c>
      <c r="Z4985" s="12" t="inlineStr">
        <is>
          <t>VD 1.7 %</t>
        </is>
      </c>
      <c r="AA4985" s="12">
        <f>N4985*O4985</f>
        <v/>
      </c>
    </row>
    <row r="4986">
      <c r="A4986" s="12" t="inlineStr">
        <is>
          <t>I-P-0084</t>
        </is>
      </c>
      <c r="B4986" s="12" t="inlineStr">
        <is>
          <t>I</t>
        </is>
      </c>
      <c r="C4986" s="12" t="inlineStr">
        <is>
          <t>Modular / portable power</t>
        </is>
      </c>
      <c r="D4986" s="12" t="inlineStr">
        <is>
          <t>Motor 2 of 5, 30 kW (VFD output)</t>
        </is>
      </c>
      <c r="E4986" s="12" t="inlineStr"/>
      <c r="F4986" s="12" t="inlineStr">
        <is>
          <t>PCM: power control module</t>
        </is>
      </c>
      <c r="G4986" s="12" t="inlineStr"/>
      <c r="H4986" s="12" t="inlineStr">
        <is>
          <t>RICE 7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6" t="n">
        <v>80</v>
      </c>
      <c r="U4986" s="16" t="n">
        <v>122</v>
      </c>
      <c r="V4986" s="16">
        <f>ROUNDUP((T4986+U4986+2*'Read Me'!$B$13)*(1+'Read Me'!$B$12),-1)</f>
        <v/>
      </c>
      <c r="W4986" s="16">
        <f>V4986*N4986*O4986</f>
        <v/>
      </c>
      <c r="X4986" s="12">
        <f>IF(LEFT(I4986,2)="MV",2*N4986*IF(L4986="1/C",O4986,1),0)</f>
        <v/>
      </c>
      <c r="Y4986" s="12">
        <f>IF(OR(LEFT(K4986,4)="LVAX",LEFT(K4986,6)="MV15AX",LEFT(K4986,4)="CTAX",LEFT(K4986,2)="W|"),2*N4986*O4986,0)</f>
        <v/>
      </c>
      <c r="Z4986" s="12" t="inlineStr">
        <is>
          <t>VD 1.7 %</t>
        </is>
      </c>
      <c r="AA4986" s="12">
        <f>N4986*O4986</f>
        <v/>
      </c>
    </row>
    <row r="4987">
      <c r="A4987" s="12" t="inlineStr">
        <is>
          <t>I-P-0085</t>
        </is>
      </c>
      <c r="B4987" s="12" t="inlineStr">
        <is>
          <t>I</t>
        </is>
      </c>
      <c r="C4987" s="12" t="inlineStr">
        <is>
          <t>Modular / portable power</t>
        </is>
      </c>
      <c r="D4987" s="12" t="inlineStr">
        <is>
          <t>Motor 3 of 5, 30 kW (VFD output)</t>
        </is>
      </c>
      <c r="E4987" s="12" t="inlineStr"/>
      <c r="F4987" s="12" t="inlineStr">
        <is>
          <t>PCM: power control module</t>
        </is>
      </c>
      <c r="G4987" s="12" t="inlineStr"/>
      <c r="H4987" s="12" t="inlineStr">
        <is>
          <t>RICE 7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6" t="n">
        <v>80</v>
      </c>
      <c r="U4987" s="16" t="n">
        <v>122</v>
      </c>
      <c r="V4987" s="16">
        <f>ROUNDUP((T4987+U4987+2*'Read Me'!$B$13)*(1+'Read Me'!$B$12),-1)</f>
        <v/>
      </c>
      <c r="W4987" s="16">
        <f>V4987*N4987*O4987</f>
        <v/>
      </c>
      <c r="X4987" s="12">
        <f>IF(LEFT(I4987,2)="MV",2*N4987*IF(L4987="1/C",O4987,1),0)</f>
        <v/>
      </c>
      <c r="Y4987" s="12">
        <f>IF(OR(LEFT(K4987,4)="LVAX",LEFT(K4987,6)="MV15AX",LEFT(K4987,4)="CTAX",LEFT(K4987,2)="W|"),2*N4987*O4987,0)</f>
        <v/>
      </c>
      <c r="Z4987" s="12" t="inlineStr">
        <is>
          <t>VD 1.7 %</t>
        </is>
      </c>
      <c r="AA4987" s="12">
        <f>N4987*O4987</f>
        <v/>
      </c>
    </row>
    <row r="4988">
      <c r="A4988" s="12" t="inlineStr">
        <is>
          <t>I-P-0086</t>
        </is>
      </c>
      <c r="B4988" s="12" t="inlineStr">
        <is>
          <t>I</t>
        </is>
      </c>
      <c r="C4988" s="12" t="inlineStr">
        <is>
          <t>Modular / portable power</t>
        </is>
      </c>
      <c r="D4988" s="12" t="inlineStr">
        <is>
          <t>Motor 4 of 5, 30 kW (VFD output)</t>
        </is>
      </c>
      <c r="E4988" s="12" t="inlineStr"/>
      <c r="F4988" s="12" t="inlineStr">
        <is>
          <t>PCM: power control module</t>
        </is>
      </c>
      <c r="G4988" s="12" t="inlineStr"/>
      <c r="H4988" s="12" t="inlineStr">
        <is>
          <t>RICE 7 radiators (5)</t>
        </is>
      </c>
      <c r="I4988" s="12" t="inlineStr">
        <is>
          <t>LV 600 V</t>
        </is>
      </c>
      <c r="J4988" s="12" t="inlineStr">
        <is>
          <t>VFD cable 600 V 3/C Cu XHHW-2, 3 symmetrical grounds, overall Cu tape shield, TC-ER</t>
        </is>
      </c>
      <c r="K4988" s="12" t="inlineStr">
        <is>
          <t>VFD|3/C+3G|6</t>
        </is>
      </c>
      <c r="L4988" s="12" t="inlineStr">
        <is>
          <t>3/C+3G</t>
        </is>
      </c>
      <c r="M4988" s="12" t="inlineStr">
        <is>
          <t>6</t>
        </is>
      </c>
      <c r="N4988" s="12" t="n">
        <v>1</v>
      </c>
      <c r="O4988" s="12" t="n">
        <v>1</v>
      </c>
      <c r="P4988" s="12" t="n">
        <v>480</v>
      </c>
      <c r="Q4988" s="12" t="n">
        <v>30</v>
      </c>
      <c r="R4988" s="12" t="n">
        <v>42</v>
      </c>
      <c r="S4988" s="12" t="inlineStr">
        <is>
          <t>Tray</t>
        </is>
      </c>
      <c r="T4988" s="16" t="n">
        <v>80</v>
      </c>
      <c r="U4988" s="16" t="n">
        <v>122</v>
      </c>
      <c r="V4988" s="16">
        <f>ROUNDUP((T4988+U4988+2*'Read Me'!$B$13)*(1+'Read Me'!$B$12),-1)</f>
        <v/>
      </c>
      <c r="W4988" s="16">
        <f>V4988*N4988*O4988</f>
        <v/>
      </c>
      <c r="X4988" s="12">
        <f>IF(LEFT(I4988,2)="MV",2*N4988*IF(L4988="1/C",O4988,1),0)</f>
        <v/>
      </c>
      <c r="Y4988" s="12">
        <f>IF(OR(LEFT(K4988,4)="LVAX",LEFT(K4988,6)="MV15AX",LEFT(K4988,4)="CTAX",LEFT(K4988,2)="W|"),2*N4988*O4988,0)</f>
        <v/>
      </c>
      <c r="Z4988" s="12" t="inlineStr">
        <is>
          <t>VD 1.7 %</t>
        </is>
      </c>
      <c r="AA4988" s="12">
        <f>N4988*O4988</f>
        <v/>
      </c>
    </row>
    <row r="4989">
      <c r="A4989" s="12" t="inlineStr">
        <is>
          <t>I-P-0087</t>
        </is>
      </c>
      <c r="B4989" s="12" t="inlineStr">
        <is>
          <t>I</t>
        </is>
      </c>
      <c r="C4989" s="12" t="inlineStr">
        <is>
          <t>Modular / portable power</t>
        </is>
      </c>
      <c r="D4989" s="12" t="inlineStr">
        <is>
          <t>Motor 5 of 5, 30 kW (VFD output)</t>
        </is>
      </c>
      <c r="E4989" s="12" t="inlineStr"/>
      <c r="F4989" s="12" t="inlineStr">
        <is>
          <t>PCM: power control module</t>
        </is>
      </c>
      <c r="G4989" s="12" t="inlineStr"/>
      <c r="H4989" s="12" t="inlineStr">
        <is>
          <t>RICE 7 radiators (5)</t>
        </is>
      </c>
      <c r="I4989" s="12" t="inlineStr">
        <is>
          <t>LV 600 V</t>
        </is>
      </c>
      <c r="J4989" s="12" t="inlineStr">
        <is>
          <t>VFD cable 600 V 3/C Cu XHHW-2, 3 symmetrical grounds, overall Cu tape shield, TC-ER</t>
        </is>
      </c>
      <c r="K4989" s="12" t="inlineStr">
        <is>
          <t>VFD|3/C+3G|6</t>
        </is>
      </c>
      <c r="L4989" s="12" t="inlineStr">
        <is>
          <t>3/C+3G</t>
        </is>
      </c>
      <c r="M4989" s="12" t="inlineStr">
        <is>
          <t>6</t>
        </is>
      </c>
      <c r="N4989" s="12" t="n">
        <v>1</v>
      </c>
      <c r="O4989" s="12" t="n">
        <v>1</v>
      </c>
      <c r="P4989" s="12" t="n">
        <v>480</v>
      </c>
      <c r="Q4989" s="12" t="n">
        <v>30</v>
      </c>
      <c r="R4989" s="12" t="n">
        <v>42</v>
      </c>
      <c r="S4989" s="12" t="inlineStr">
        <is>
          <t>Tray</t>
        </is>
      </c>
      <c r="T4989" s="16" t="n">
        <v>80</v>
      </c>
      <c r="U4989" s="16" t="n">
        <v>122</v>
      </c>
      <c r="V4989" s="16">
        <f>ROUNDUP((T4989+U4989+2*'Read Me'!$B$13)*(1+'Read Me'!$B$12),-1)</f>
        <v/>
      </c>
      <c r="W4989" s="16">
        <f>V4989*N4989*O4989</f>
        <v/>
      </c>
      <c r="X4989" s="12">
        <f>IF(LEFT(I4989,2)="MV",2*N4989*IF(L4989="1/C",O4989,1),0)</f>
        <v/>
      </c>
      <c r="Y4989" s="12">
        <f>IF(OR(LEFT(K4989,4)="LVAX",LEFT(K4989,6)="MV15AX",LEFT(K4989,4)="CTAX",LEFT(K4989,2)="W|"),2*N4989*O4989,0)</f>
        <v/>
      </c>
      <c r="Z4989" s="12" t="inlineStr">
        <is>
          <t>VD 1.7 %</t>
        </is>
      </c>
      <c r="AA4989" s="12">
        <f>N4989*O4989</f>
        <v/>
      </c>
    </row>
    <row r="4990">
      <c r="A4990" s="12" t="inlineStr">
        <is>
          <t>I-P-0088</t>
        </is>
      </c>
      <c r="B4990" s="12" t="inlineStr">
        <is>
          <t>I</t>
        </is>
      </c>
      <c r="C4990" s="12" t="inlineStr">
        <is>
          <t>Modular / portable power</t>
        </is>
      </c>
      <c r="D4990" s="12" t="inlineStr">
        <is>
          <t>Motor 1 of 1, 15 kW</t>
        </is>
      </c>
      <c r="E4990" s="12" t="inlineStr"/>
      <c r="F4990" s="12" t="inlineStr">
        <is>
          <t>PCM: power control module</t>
        </is>
      </c>
      <c r="G4990" s="12" t="inlineStr"/>
      <c r="H4990" s="12" t="inlineStr">
        <is>
          <t>RICE 8 SCR + oxidation catalyst and stack</t>
        </is>
      </c>
      <c r="I4990" s="12" t="inlineStr">
        <is>
          <t>LV 600 V</t>
        </is>
      </c>
      <c r="J4990" s="12" t="inlineStr">
        <is>
          <t>Type TC-ER 600 V 3/C Cu XHHW-2 + ground, PVC jacket</t>
        </is>
      </c>
      <c r="K4990" s="12" t="inlineStr">
        <is>
          <t>LV|3/C+G|8</t>
        </is>
      </c>
      <c r="L4990" s="12" t="inlineStr">
        <is>
          <t>3/C+G</t>
        </is>
      </c>
      <c r="M4990" s="12" t="inlineStr">
        <is>
          <t>8</t>
        </is>
      </c>
      <c r="N4990" s="12" t="n">
        <v>1</v>
      </c>
      <c r="O4990" s="12" t="n">
        <v>1</v>
      </c>
      <c r="P4990" s="12" t="n">
        <v>480</v>
      </c>
      <c r="Q4990" s="12" t="n">
        <v>15</v>
      </c>
      <c r="R4990" s="12" t="n">
        <v>21.2</v>
      </c>
      <c r="S4990" s="12" t="inlineStr">
        <is>
          <t>Duct bank</t>
        </is>
      </c>
      <c r="T4990" s="16" t="n">
        <v>322</v>
      </c>
      <c r="U4990" s="16" t="n">
        <v>112</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I-P-0089</t>
        </is>
      </c>
      <c r="B4991" s="12" t="inlineStr">
        <is>
          <t>I</t>
        </is>
      </c>
      <c r="C4991" s="12" t="inlineStr">
        <is>
          <t>Modular / portable power</t>
        </is>
      </c>
      <c r="D4991" s="12" t="inlineStr">
        <is>
          <t>Area / platform lighting circuit 1 (6 fixtures)</t>
        </is>
      </c>
      <c r="E4991" s="12" t="inlineStr"/>
      <c r="F4991" s="12" t="inlineStr">
        <is>
          <t>PCM: power control module</t>
        </is>
      </c>
      <c r="G4991" s="12" t="inlineStr"/>
      <c r="H4991" s="12" t="inlineStr">
        <is>
          <t>RICE 8 SCR + oxidation catalyst and stack</t>
        </is>
      </c>
      <c r="I4991" s="12" t="inlineStr">
        <is>
          <t>LV 600 V</t>
        </is>
      </c>
      <c r="J4991" s="12" t="inlineStr">
        <is>
          <t>Type TC-ER 600 V 3/C Cu XHHW-2 + ground, PVC jacket</t>
        </is>
      </c>
      <c r="K4991" s="12" t="inlineStr">
        <is>
          <t>LV|3/C+G|10</t>
        </is>
      </c>
      <c r="L4991" s="12" t="inlineStr">
        <is>
          <t>3/C+G</t>
        </is>
      </c>
      <c r="M4991" s="12" t="inlineStr">
        <is>
          <t>10</t>
        </is>
      </c>
      <c r="N4991" s="12" t="n">
        <v>1</v>
      </c>
      <c r="O4991" s="12" t="n">
        <v>1</v>
      </c>
      <c r="P4991" s="12" t="n">
        <v>480</v>
      </c>
      <c r="Q4991" s="12" t="n">
        <v>3</v>
      </c>
      <c r="R4991" s="12" t="n">
        <v>5</v>
      </c>
      <c r="S4991" s="12" t="inlineStr">
        <is>
          <t>Duct bank</t>
        </is>
      </c>
      <c r="T4991" s="16" t="n">
        <v>622</v>
      </c>
      <c r="U4991" s="16" t="n">
        <v>112</v>
      </c>
      <c r="V4991" s="16">
        <f>ROUNDUP((T4991+U4991+2*'Read Me'!$B$13)*(1+'Read Me'!$B$12),-1)</f>
        <v/>
      </c>
      <c r="W4991" s="16">
        <f>V4991*N4991*O4991</f>
        <v/>
      </c>
      <c r="X4991" s="12">
        <f>IF(LEFT(I4991,2)="MV",2*N4991*IF(L4991="1/C",O4991,1),0)</f>
        <v/>
      </c>
      <c r="Y4991" s="12">
        <f>IF(OR(LEFT(K4991,4)="LVAX",LEFT(K4991,6)="MV15AX",LEFT(K4991,4)="CTAX",LEFT(K4991,2)="W|"),2*N4991*O4991,0)</f>
        <v/>
      </c>
      <c r="Z4991" s="12" t="inlineStr">
        <is>
          <t>fixture-to-fixture run included</t>
        </is>
      </c>
      <c r="AA4991" s="12">
        <f>N4991*O4991</f>
        <v/>
      </c>
    </row>
    <row r="4992">
      <c r="A4992" s="12" t="inlineStr">
        <is>
          <t>I-P-0090</t>
        </is>
      </c>
      <c r="B4992" s="12" t="inlineStr">
        <is>
          <t>I</t>
        </is>
      </c>
      <c r="C4992" s="12" t="inlineStr">
        <is>
          <t>Modular / portable power</t>
        </is>
      </c>
      <c r="D4992" s="12" t="inlineStr">
        <is>
          <t>Motor 1 of 5, 30 kW (VFD output)</t>
        </is>
      </c>
      <c r="E4992" s="12" t="inlineStr"/>
      <c r="F4992" s="12" t="inlineStr">
        <is>
          <t>PCM: power control module</t>
        </is>
      </c>
      <c r="G4992" s="12" t="inlineStr"/>
      <c r="H4992" s="12" t="inlineStr">
        <is>
          <t>RICE 8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6" t="n">
        <v>80</v>
      </c>
      <c r="U4992" s="16" t="n">
        <v>94</v>
      </c>
      <c r="V4992" s="16">
        <f>ROUNDUP((T4992+U4992+2*'Read Me'!$B$13)*(1+'Read Me'!$B$12),-1)</f>
        <v/>
      </c>
      <c r="W4992" s="16">
        <f>V4992*N4992*O4992</f>
        <v/>
      </c>
      <c r="X4992" s="12">
        <f>IF(LEFT(I4992,2)="MV",2*N4992*IF(L4992="1/C",O4992,1),0)</f>
        <v/>
      </c>
      <c r="Y4992" s="12">
        <f>IF(OR(LEFT(K4992,4)="LVAX",LEFT(K4992,6)="MV15AX",LEFT(K4992,4)="CTAX",LEFT(K4992,2)="W|"),2*N4992*O4992,0)</f>
        <v/>
      </c>
      <c r="Z4992" s="12" t="inlineStr">
        <is>
          <t>VD 1.4 %</t>
        </is>
      </c>
      <c r="AA4992" s="12">
        <f>N4992*O4992</f>
        <v/>
      </c>
    </row>
    <row r="4993">
      <c r="A4993" s="12" t="inlineStr">
        <is>
          <t>I-P-0091</t>
        </is>
      </c>
      <c r="B4993" s="12" t="inlineStr">
        <is>
          <t>I</t>
        </is>
      </c>
      <c r="C4993" s="12" t="inlineStr">
        <is>
          <t>Modular / portable power</t>
        </is>
      </c>
      <c r="D4993" s="12" t="inlineStr">
        <is>
          <t>Motor 2 of 5, 30 kW (VFD output)</t>
        </is>
      </c>
      <c r="E4993" s="12" t="inlineStr"/>
      <c r="F4993" s="12" t="inlineStr">
        <is>
          <t>PCM: power control module</t>
        </is>
      </c>
      <c r="G4993" s="12" t="inlineStr"/>
      <c r="H4993" s="12" t="inlineStr">
        <is>
          <t>RICE 8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6" t="n">
        <v>80</v>
      </c>
      <c r="U4993" s="16" t="n">
        <v>94</v>
      </c>
      <c r="V4993" s="16">
        <f>ROUNDUP((T4993+U4993+2*'Read Me'!$B$13)*(1+'Read Me'!$B$12),-1)</f>
        <v/>
      </c>
      <c r="W4993" s="16">
        <f>V4993*N4993*O4993</f>
        <v/>
      </c>
      <c r="X4993" s="12">
        <f>IF(LEFT(I4993,2)="MV",2*N4993*IF(L4993="1/C",O4993,1),0)</f>
        <v/>
      </c>
      <c r="Y4993" s="12">
        <f>IF(OR(LEFT(K4993,4)="LVAX",LEFT(K4993,6)="MV15AX",LEFT(K4993,4)="CTAX",LEFT(K4993,2)="W|"),2*N4993*O4993,0)</f>
        <v/>
      </c>
      <c r="Z4993" s="12" t="inlineStr">
        <is>
          <t>VD 1.4 %</t>
        </is>
      </c>
      <c r="AA4993" s="12">
        <f>N4993*O4993</f>
        <v/>
      </c>
    </row>
    <row r="4994">
      <c r="A4994" s="12" t="inlineStr">
        <is>
          <t>I-P-0092</t>
        </is>
      </c>
      <c r="B4994" s="12" t="inlineStr">
        <is>
          <t>I</t>
        </is>
      </c>
      <c r="C4994" s="12" t="inlineStr">
        <is>
          <t>Modular / portable power</t>
        </is>
      </c>
      <c r="D4994" s="12" t="inlineStr">
        <is>
          <t>Motor 3 of 5, 30 kW (VFD output)</t>
        </is>
      </c>
      <c r="E4994" s="12" t="inlineStr"/>
      <c r="F4994" s="12" t="inlineStr">
        <is>
          <t>PCM: power control module</t>
        </is>
      </c>
      <c r="G4994" s="12" t="inlineStr"/>
      <c r="H4994" s="12" t="inlineStr">
        <is>
          <t>RICE 8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6" t="n">
        <v>80</v>
      </c>
      <c r="U4994" s="16" t="n">
        <v>94</v>
      </c>
      <c r="V4994" s="16">
        <f>ROUNDUP((T4994+U4994+2*'Read Me'!$B$13)*(1+'Read Me'!$B$12),-1)</f>
        <v/>
      </c>
      <c r="W4994" s="16">
        <f>V4994*N4994*O4994</f>
        <v/>
      </c>
      <c r="X4994" s="12">
        <f>IF(LEFT(I4994,2)="MV",2*N4994*IF(L4994="1/C",O4994,1),0)</f>
        <v/>
      </c>
      <c r="Y4994" s="12">
        <f>IF(OR(LEFT(K4994,4)="LVAX",LEFT(K4994,6)="MV15AX",LEFT(K4994,4)="CTAX",LEFT(K4994,2)="W|"),2*N4994*O4994,0)</f>
        <v/>
      </c>
      <c r="Z4994" s="12" t="inlineStr">
        <is>
          <t>VD 1.4 %</t>
        </is>
      </c>
      <c r="AA4994" s="12">
        <f>N4994*O4994</f>
        <v/>
      </c>
    </row>
    <row r="4995">
      <c r="A4995" s="12" t="inlineStr">
        <is>
          <t>I-P-0093</t>
        </is>
      </c>
      <c r="B4995" s="12" t="inlineStr">
        <is>
          <t>I</t>
        </is>
      </c>
      <c r="C4995" s="12" t="inlineStr">
        <is>
          <t>Modular / portable power</t>
        </is>
      </c>
      <c r="D4995" s="12" t="inlineStr">
        <is>
          <t>Motor 4 of 5, 30 kW (VFD output)</t>
        </is>
      </c>
      <c r="E4995" s="12" t="inlineStr"/>
      <c r="F4995" s="12" t="inlineStr">
        <is>
          <t>PCM: power control module</t>
        </is>
      </c>
      <c r="G4995" s="12" t="inlineStr"/>
      <c r="H4995" s="12" t="inlineStr">
        <is>
          <t>RICE 8 radiators (5)</t>
        </is>
      </c>
      <c r="I4995" s="12" t="inlineStr">
        <is>
          <t>LV 600 V</t>
        </is>
      </c>
      <c r="J4995" s="12" t="inlineStr">
        <is>
          <t>VFD cable 600 V 3/C Cu XHHW-2, 3 symmetrical grounds, overall Cu tape shield, TC-ER</t>
        </is>
      </c>
      <c r="K4995" s="12" t="inlineStr">
        <is>
          <t>VFD|3/C+3G|6</t>
        </is>
      </c>
      <c r="L4995" s="12" t="inlineStr">
        <is>
          <t>3/C+3G</t>
        </is>
      </c>
      <c r="M4995" s="12" t="inlineStr">
        <is>
          <t>6</t>
        </is>
      </c>
      <c r="N4995" s="12" t="n">
        <v>1</v>
      </c>
      <c r="O4995" s="12" t="n">
        <v>1</v>
      </c>
      <c r="P4995" s="12" t="n">
        <v>480</v>
      </c>
      <c r="Q4995" s="12" t="n">
        <v>30</v>
      </c>
      <c r="R4995" s="12" t="n">
        <v>42</v>
      </c>
      <c r="S4995" s="12" t="inlineStr">
        <is>
          <t>Tray</t>
        </is>
      </c>
      <c r="T4995" s="16" t="n">
        <v>80</v>
      </c>
      <c r="U4995" s="16" t="n">
        <v>94</v>
      </c>
      <c r="V4995" s="16">
        <f>ROUNDUP((T4995+U4995+2*'Read Me'!$B$13)*(1+'Read Me'!$B$12),-1)</f>
        <v/>
      </c>
      <c r="W4995" s="16">
        <f>V4995*N4995*O4995</f>
        <v/>
      </c>
      <c r="X4995" s="12">
        <f>IF(LEFT(I4995,2)="MV",2*N4995*IF(L4995="1/C",O4995,1),0)</f>
        <v/>
      </c>
      <c r="Y4995" s="12">
        <f>IF(OR(LEFT(K4995,4)="LVAX",LEFT(K4995,6)="MV15AX",LEFT(K4995,4)="CTAX",LEFT(K4995,2)="W|"),2*N4995*O4995,0)</f>
        <v/>
      </c>
      <c r="Z4995" s="12" t="inlineStr">
        <is>
          <t>VD 1.4 %</t>
        </is>
      </c>
      <c r="AA4995" s="12">
        <f>N4995*O4995</f>
        <v/>
      </c>
    </row>
    <row r="4996">
      <c r="A4996" s="12" t="inlineStr">
        <is>
          <t>I-P-0094</t>
        </is>
      </c>
      <c r="B4996" s="12" t="inlineStr">
        <is>
          <t>I</t>
        </is>
      </c>
      <c r="C4996" s="12" t="inlineStr">
        <is>
          <t>Modular / portable power</t>
        </is>
      </c>
      <c r="D4996" s="12" t="inlineStr">
        <is>
          <t>Motor 5 of 5, 30 kW (VFD output)</t>
        </is>
      </c>
      <c r="E4996" s="12" t="inlineStr"/>
      <c r="F4996" s="12" t="inlineStr">
        <is>
          <t>PCM: power control module</t>
        </is>
      </c>
      <c r="G4996" s="12" t="inlineStr"/>
      <c r="H4996" s="12" t="inlineStr">
        <is>
          <t>RICE 8 radiators (5)</t>
        </is>
      </c>
      <c r="I4996" s="12" t="inlineStr">
        <is>
          <t>LV 600 V</t>
        </is>
      </c>
      <c r="J4996" s="12" t="inlineStr">
        <is>
          <t>VFD cable 600 V 3/C Cu XHHW-2, 3 symmetrical grounds, overall Cu tape shield, TC-ER</t>
        </is>
      </c>
      <c r="K4996" s="12" t="inlineStr">
        <is>
          <t>VFD|3/C+3G|6</t>
        </is>
      </c>
      <c r="L4996" s="12" t="inlineStr">
        <is>
          <t>3/C+3G</t>
        </is>
      </c>
      <c r="M4996" s="12" t="inlineStr">
        <is>
          <t>6</t>
        </is>
      </c>
      <c r="N4996" s="12" t="n">
        <v>1</v>
      </c>
      <c r="O4996" s="12" t="n">
        <v>1</v>
      </c>
      <c r="P4996" s="12" t="n">
        <v>480</v>
      </c>
      <c r="Q4996" s="12" t="n">
        <v>30</v>
      </c>
      <c r="R4996" s="12" t="n">
        <v>42</v>
      </c>
      <c r="S4996" s="12" t="inlineStr">
        <is>
          <t>Tray</t>
        </is>
      </c>
      <c r="T4996" s="16" t="n">
        <v>80</v>
      </c>
      <c r="U4996" s="16" t="n">
        <v>94</v>
      </c>
      <c r="V4996" s="16">
        <f>ROUNDUP((T4996+U4996+2*'Read Me'!$B$13)*(1+'Read Me'!$B$12),-1)</f>
        <v/>
      </c>
      <c r="W4996" s="16">
        <f>V4996*N4996*O4996</f>
        <v/>
      </c>
      <c r="X4996" s="12">
        <f>IF(LEFT(I4996,2)="MV",2*N4996*IF(L4996="1/C",O4996,1),0)</f>
        <v/>
      </c>
      <c r="Y4996" s="12">
        <f>IF(OR(LEFT(K4996,4)="LVAX",LEFT(K4996,6)="MV15AX",LEFT(K4996,4)="CTAX",LEFT(K4996,2)="W|"),2*N4996*O4996,0)</f>
        <v/>
      </c>
      <c r="Z4996" s="12" t="inlineStr">
        <is>
          <t>VD 1.4 %</t>
        </is>
      </c>
      <c r="AA4996" s="12">
        <f>N4996*O4996</f>
        <v/>
      </c>
    </row>
    <row r="4997">
      <c r="A4997" s="12" t="inlineStr">
        <is>
          <t>I-P-0095</t>
        </is>
      </c>
      <c r="B4997" s="12" t="inlineStr">
        <is>
          <t>I</t>
        </is>
      </c>
      <c r="C4997" s="12" t="inlineStr">
        <is>
          <t>Modular / portable power</t>
        </is>
      </c>
      <c r="D4997" s="12" t="inlineStr">
        <is>
          <t>LV panel / distribution feeder</t>
        </is>
      </c>
      <c r="E4997" s="12" t="inlineStr"/>
      <c r="F4997" s="12" t="inlineStr">
        <is>
          <t>PCM: power control module</t>
        </is>
      </c>
      <c r="G4997" s="12" t="inlineStr"/>
      <c r="H4997" s="12" t="inlineStr">
        <is>
          <t>RICE CEMS</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30</v>
      </c>
      <c r="R4997" s="12" t="n">
        <v>42.5</v>
      </c>
      <c r="S4997" s="12" t="inlineStr">
        <is>
          <t>Duct bank</t>
        </is>
      </c>
      <c r="T4997" s="16" t="n">
        <v>260</v>
      </c>
      <c r="U4997" s="16" t="n">
        <v>131</v>
      </c>
      <c r="V4997" s="16">
        <f>ROUNDUP((T4997+U4997+2*'Read Me'!$B$13)*(1+'Read Me'!$B$12),-1)</f>
        <v/>
      </c>
      <c r="W4997" s="16">
        <f>V4997*N4997*O4997</f>
        <v/>
      </c>
      <c r="X4997" s="12">
        <f>IF(LEFT(I4997,2)="MV",2*N4997*IF(L4997="1/C",O4997,1),0)</f>
        <v/>
      </c>
      <c r="Y4997" s="12">
        <f>IF(OR(LEFT(K4997,4)="LVAX",LEFT(K4997,6)="MV15AX",LEFT(K4997,4)="CTAX",LEFT(K4997,2)="W|"),2*N4997*O4997,0)</f>
        <v/>
      </c>
      <c r="Z4997" s="12" t="inlineStr">
        <is>
          <t>VD 2.0 %</t>
        </is>
      </c>
      <c r="AA4997" s="12">
        <f>N4997*O4997</f>
        <v/>
      </c>
    </row>
    <row r="4998">
      <c r="A4998" s="12" t="inlineStr">
        <is>
          <t>I-P-0096</t>
        </is>
      </c>
      <c r="B4998" s="12" t="inlineStr">
        <is>
          <t>I</t>
        </is>
      </c>
      <c r="C4998" s="12" t="inlineStr">
        <is>
          <t>Modular / portable power</t>
        </is>
      </c>
      <c r="D4998" s="12" t="inlineStr">
        <is>
          <t>LV power feeder</t>
        </is>
      </c>
      <c r="E4998" s="12" t="inlineStr"/>
      <c r="F4998" s="12" t="inlineStr">
        <is>
          <t>PCM: power control module</t>
        </is>
      </c>
      <c r="G4998" s="12" t="inlineStr">
        <is>
          <t>RICE</t>
        </is>
      </c>
      <c r="H4998" s="12" t="inlineStr">
        <is>
          <t>RICE engine hall (8 engines)</t>
        </is>
      </c>
      <c r="I4998" s="12" t="inlineStr">
        <is>
          <t>LV 600 V</t>
        </is>
      </c>
      <c r="J4998" s="12" t="inlineStr">
        <is>
          <t>Type TC-ER 600 V 3/C Cu XHHW-2 + ground, PVC jacket</t>
        </is>
      </c>
      <c r="K4998" s="12" t="inlineStr">
        <is>
          <t>LV|3/C+G|8</t>
        </is>
      </c>
      <c r="L4998" s="12" t="inlineStr">
        <is>
          <t>3/C+G</t>
        </is>
      </c>
      <c r="M4998" s="12" t="inlineStr">
        <is>
          <t>8</t>
        </is>
      </c>
      <c r="N4998" s="12" t="n">
        <v>1</v>
      </c>
      <c r="O4998" s="12" t="n">
        <v>1</v>
      </c>
      <c r="P4998" s="12" t="n">
        <v>480</v>
      </c>
      <c r="Q4998" s="12" t="n">
        <v>15</v>
      </c>
      <c r="R4998" s="12" t="n">
        <v>21.2</v>
      </c>
      <c r="S4998" s="12" t="inlineStr">
        <is>
          <t>Duct bank</t>
        </is>
      </c>
      <c r="T4998" s="16" t="n">
        <v>367</v>
      </c>
      <c r="U4998" s="16" t="n">
        <v>95</v>
      </c>
      <c r="V4998" s="16">
        <f>ROUNDUP((T4998+U4998+2*'Read Me'!$B$13)*(1+'Read Me'!$B$12),-1)</f>
        <v/>
      </c>
      <c r="W4998" s="16">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I-P-0097</t>
        </is>
      </c>
      <c r="B4999" s="12" t="inlineStr">
        <is>
          <t>I</t>
        </is>
      </c>
      <c r="C4999" s="12" t="inlineStr">
        <is>
          <t>Modular / portable power</t>
        </is>
      </c>
      <c r="D4999" s="12" t="inlineStr">
        <is>
          <t>Motor 1 of 6, 22 kW</t>
        </is>
      </c>
      <c r="E4999" s="12" t="inlineStr"/>
      <c r="F4999" s="12" t="inlineStr">
        <is>
          <t>PCM: power control module</t>
        </is>
      </c>
      <c r="G4999" s="12" t="inlineStr">
        <is>
          <t>RICE-1</t>
        </is>
      </c>
      <c r="H4999" s="12" t="inlineStr">
        <is>
          <t>RICE engine-generator 1</t>
        </is>
      </c>
      <c r="I4999" s="12" t="inlineStr">
        <is>
          <t>LV 600 V</t>
        </is>
      </c>
      <c r="J4999" s="12" t="inlineStr">
        <is>
          <t>Type TC-ER 600 V 3/C Cu XHHW-2 + ground, PVC jacket</t>
        </is>
      </c>
      <c r="K4999" s="12" t="inlineStr">
        <is>
          <t>LV|3/C+G|4</t>
        </is>
      </c>
      <c r="L4999" s="12" t="inlineStr">
        <is>
          <t>3/C+G</t>
        </is>
      </c>
      <c r="M4999" s="12" t="inlineStr">
        <is>
          <t>4</t>
        </is>
      </c>
      <c r="N4999" s="12" t="n">
        <v>1</v>
      </c>
      <c r="O4999" s="12" t="n">
        <v>1</v>
      </c>
      <c r="P4999" s="12" t="n">
        <v>480</v>
      </c>
      <c r="Q4999" s="12" t="n">
        <v>22</v>
      </c>
      <c r="R4999" s="12" t="n">
        <v>31.1</v>
      </c>
      <c r="S4999" s="12" t="inlineStr">
        <is>
          <t>Duct bank</t>
        </is>
      </c>
      <c r="T4999" s="16" t="n">
        <v>550</v>
      </c>
      <c r="U4999" s="16" t="n">
        <v>137</v>
      </c>
      <c r="V4999" s="16">
        <f>ROUNDUP((T4999+U4999+2*'Read Me'!$B$13)*(1+'Read Me'!$B$12),-1)</f>
        <v/>
      </c>
      <c r="W4999" s="16">
        <f>V4999*N4999*O4999</f>
        <v/>
      </c>
      <c r="X4999" s="12">
        <f>IF(LEFT(I4999,2)="MV",2*N4999*IF(L4999="1/C",O4999,1),0)</f>
        <v/>
      </c>
      <c r="Y4999" s="12">
        <f>IF(OR(LEFT(K4999,4)="LVAX",LEFT(K4999,6)="MV15AX",LEFT(K4999,4)="CTAX",LEFT(K4999,2)="W|"),2*N4999*O4999,0)</f>
        <v/>
      </c>
      <c r="Z4999" s="12" t="inlineStr">
        <is>
          <t>VD 2.6 %</t>
        </is>
      </c>
      <c r="AA4999" s="12">
        <f>N4999*O4999</f>
        <v/>
      </c>
    </row>
    <row r="5000">
      <c r="A5000" s="12" t="inlineStr">
        <is>
          <t>I-P-0098</t>
        </is>
      </c>
      <c r="B5000" s="12" t="inlineStr">
        <is>
          <t>I</t>
        </is>
      </c>
      <c r="C5000" s="12" t="inlineStr">
        <is>
          <t>Modular / portable power</t>
        </is>
      </c>
      <c r="D5000" s="12" t="inlineStr">
        <is>
          <t>Motor 2 of 6, 22 kW</t>
        </is>
      </c>
      <c r="E5000" s="12" t="inlineStr"/>
      <c r="F5000" s="12" t="inlineStr">
        <is>
          <t>PCM: power control module</t>
        </is>
      </c>
      <c r="G5000" s="12" t="inlineStr">
        <is>
          <t>RICE-1</t>
        </is>
      </c>
      <c r="H5000" s="12" t="inlineStr">
        <is>
          <t>RICE engine-generator 1</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6" t="n">
        <v>550</v>
      </c>
      <c r="U5000" s="16" t="n">
        <v>137</v>
      </c>
      <c r="V5000" s="16">
        <f>ROUNDUP((T5000+U5000+2*'Read Me'!$B$13)*(1+'Read Me'!$B$12),-1)</f>
        <v/>
      </c>
      <c r="W5000" s="16">
        <f>V5000*N5000*O5000</f>
        <v/>
      </c>
      <c r="X5000" s="12">
        <f>IF(LEFT(I5000,2)="MV",2*N5000*IF(L5000="1/C",O5000,1),0)</f>
        <v/>
      </c>
      <c r="Y5000" s="12">
        <f>IF(OR(LEFT(K5000,4)="LVAX",LEFT(K5000,6)="MV15AX",LEFT(K5000,4)="CTAX",LEFT(K5000,2)="W|"),2*N5000*O5000,0)</f>
        <v/>
      </c>
      <c r="Z5000" s="12" t="inlineStr">
        <is>
          <t>VD 2.6 %</t>
        </is>
      </c>
      <c r="AA5000" s="12">
        <f>N5000*O5000</f>
        <v/>
      </c>
    </row>
    <row r="5001">
      <c r="A5001" s="12" t="inlineStr">
        <is>
          <t>I-P-0099</t>
        </is>
      </c>
      <c r="B5001" s="12" t="inlineStr">
        <is>
          <t>I</t>
        </is>
      </c>
      <c r="C5001" s="12" t="inlineStr">
        <is>
          <t>Modular / portable power</t>
        </is>
      </c>
      <c r="D5001" s="12" t="inlineStr">
        <is>
          <t>Motor 3 of 6, 22 kW</t>
        </is>
      </c>
      <c r="E5001" s="12" t="inlineStr"/>
      <c r="F5001" s="12" t="inlineStr">
        <is>
          <t>PCM: power control module</t>
        </is>
      </c>
      <c r="G5001" s="12" t="inlineStr">
        <is>
          <t>RICE-1</t>
        </is>
      </c>
      <c r="H5001" s="12" t="inlineStr">
        <is>
          <t>RICE engine-generator 1</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6" t="n">
        <v>550</v>
      </c>
      <c r="U5001" s="16" t="n">
        <v>137</v>
      </c>
      <c r="V5001" s="16">
        <f>ROUNDUP((T5001+U5001+2*'Read Me'!$B$13)*(1+'Read Me'!$B$12),-1)</f>
        <v/>
      </c>
      <c r="W5001" s="16">
        <f>V5001*N5001*O5001</f>
        <v/>
      </c>
      <c r="X5001" s="12">
        <f>IF(LEFT(I5001,2)="MV",2*N5001*IF(L5001="1/C",O5001,1),0)</f>
        <v/>
      </c>
      <c r="Y5001" s="12">
        <f>IF(OR(LEFT(K5001,4)="LVAX",LEFT(K5001,6)="MV15AX",LEFT(K5001,4)="CTAX",LEFT(K5001,2)="W|"),2*N5001*O5001,0)</f>
        <v/>
      </c>
      <c r="Z5001" s="12" t="inlineStr">
        <is>
          <t>VD 2.6 %</t>
        </is>
      </c>
      <c r="AA5001" s="12">
        <f>N5001*O5001</f>
        <v/>
      </c>
    </row>
    <row r="5002">
      <c r="A5002" s="12" t="inlineStr">
        <is>
          <t>I-P-0100</t>
        </is>
      </c>
      <c r="B5002" s="12" t="inlineStr">
        <is>
          <t>I</t>
        </is>
      </c>
      <c r="C5002" s="12" t="inlineStr">
        <is>
          <t>Modular / portable power</t>
        </is>
      </c>
      <c r="D5002" s="12" t="inlineStr">
        <is>
          <t>Motor 4 of 6, 22 kW</t>
        </is>
      </c>
      <c r="E5002" s="12" t="inlineStr"/>
      <c r="F5002" s="12" t="inlineStr">
        <is>
          <t>PCM: power control module</t>
        </is>
      </c>
      <c r="G5002" s="12" t="inlineStr">
        <is>
          <t>RICE-1</t>
        </is>
      </c>
      <c r="H5002" s="12" t="inlineStr">
        <is>
          <t>RICE engine-generator 1</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6" t="n">
        <v>550</v>
      </c>
      <c r="U5002" s="16" t="n">
        <v>137</v>
      </c>
      <c r="V5002" s="16">
        <f>ROUNDUP((T5002+U5002+2*'Read Me'!$B$13)*(1+'Read Me'!$B$12),-1)</f>
        <v/>
      </c>
      <c r="W5002" s="16">
        <f>V5002*N5002*O5002</f>
        <v/>
      </c>
      <c r="X5002" s="12">
        <f>IF(LEFT(I5002,2)="MV",2*N5002*IF(L5002="1/C",O5002,1),0)</f>
        <v/>
      </c>
      <c r="Y5002" s="12">
        <f>IF(OR(LEFT(K5002,4)="LVAX",LEFT(K5002,6)="MV15AX",LEFT(K5002,4)="CTAX",LEFT(K5002,2)="W|"),2*N5002*O5002,0)</f>
        <v/>
      </c>
      <c r="Z5002" s="12" t="inlineStr">
        <is>
          <t>VD 2.6 %</t>
        </is>
      </c>
      <c r="AA5002" s="12">
        <f>N5002*O5002</f>
        <v/>
      </c>
    </row>
    <row r="5003">
      <c r="A5003" s="12" t="inlineStr">
        <is>
          <t>I-P-0101</t>
        </is>
      </c>
      <c r="B5003" s="12" t="inlineStr">
        <is>
          <t>I</t>
        </is>
      </c>
      <c r="C5003" s="12" t="inlineStr">
        <is>
          <t>Modular / portable power</t>
        </is>
      </c>
      <c r="D5003" s="12" t="inlineStr">
        <is>
          <t>Motor 5 of 6, 22 kW</t>
        </is>
      </c>
      <c r="E5003" s="12" t="inlineStr"/>
      <c r="F5003" s="12" t="inlineStr">
        <is>
          <t>PCM: power control module</t>
        </is>
      </c>
      <c r="G5003" s="12" t="inlineStr">
        <is>
          <t>RICE-1</t>
        </is>
      </c>
      <c r="H5003" s="12" t="inlineStr">
        <is>
          <t>RICE engine-generator 1</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550</v>
      </c>
      <c r="U5003" s="16" t="n">
        <v>137</v>
      </c>
      <c r="V5003" s="16">
        <f>ROUNDUP((T5003+U5003+2*'Read Me'!$B$13)*(1+'Read Me'!$B$12),-1)</f>
        <v/>
      </c>
      <c r="W5003" s="16">
        <f>V5003*N5003*O5003</f>
        <v/>
      </c>
      <c r="X5003" s="12">
        <f>IF(LEFT(I5003,2)="MV",2*N5003*IF(L5003="1/C",O5003,1),0)</f>
        <v/>
      </c>
      <c r="Y5003" s="12">
        <f>IF(OR(LEFT(K5003,4)="LVAX",LEFT(K5003,6)="MV15AX",LEFT(K5003,4)="CTAX",LEFT(K5003,2)="W|"),2*N5003*O5003,0)</f>
        <v/>
      </c>
      <c r="Z5003" s="12" t="inlineStr">
        <is>
          <t>VD 2.6 %</t>
        </is>
      </c>
      <c r="AA5003" s="12">
        <f>N5003*O5003</f>
        <v/>
      </c>
    </row>
    <row r="5004">
      <c r="A5004" s="12" t="inlineStr">
        <is>
          <t>I-P-0102</t>
        </is>
      </c>
      <c r="B5004" s="12" t="inlineStr">
        <is>
          <t>I</t>
        </is>
      </c>
      <c r="C5004" s="12" t="inlineStr">
        <is>
          <t>Modular / portable power</t>
        </is>
      </c>
      <c r="D5004" s="12" t="inlineStr">
        <is>
          <t>Motor 6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550</v>
      </c>
      <c r="U5004" s="16" t="n">
        <v>137</v>
      </c>
      <c r="V5004" s="16">
        <f>ROUNDUP((T5004+U5004+2*'Read Me'!$B$13)*(1+'Read Me'!$B$12),-1)</f>
        <v/>
      </c>
      <c r="W5004" s="16">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I-P-0103</t>
        </is>
      </c>
      <c r="B5005" s="12" t="inlineStr">
        <is>
          <t>I</t>
        </is>
      </c>
      <c r="C5005" s="12" t="inlineStr">
        <is>
          <t>Modular / portable power</t>
        </is>
      </c>
      <c r="D5005" s="12" t="inlineStr">
        <is>
          <t>480 V welding receptacle 1</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LV|3/C+G|1/0</t>
        </is>
      </c>
      <c r="L5005" s="12" t="inlineStr">
        <is>
          <t>3/C+G</t>
        </is>
      </c>
      <c r="M5005" s="12" t="inlineStr">
        <is>
          <t>1/0</t>
        </is>
      </c>
      <c r="N5005" s="12" t="n">
        <v>1</v>
      </c>
      <c r="O5005" s="12" t="n">
        <v>1</v>
      </c>
      <c r="P5005" s="12" t="n">
        <v>480</v>
      </c>
      <c r="Q5005" s="12" t="n">
        <v>60</v>
      </c>
      <c r="R5005" s="12" t="n">
        <v>76</v>
      </c>
      <c r="S5005" s="12" t="inlineStr">
        <is>
          <t>Duct bank</t>
        </is>
      </c>
      <c r="T5005" s="16" t="n">
        <v>550</v>
      </c>
      <c r="U5005" s="16" t="n">
        <v>137</v>
      </c>
      <c r="V5005" s="16">
        <f>ROUNDUP((T5005+U5005+2*'Read Me'!$B$13)*(1+'Read Me'!$B$12),-1)</f>
        <v/>
      </c>
      <c r="W5005" s="16">
        <f>V5005*N5005*O5005</f>
        <v/>
      </c>
      <c r="X5005" s="12">
        <f>IF(LEFT(I5005,2)="MV",2*N5005*IF(L5005="1/C",O5005,1),0)</f>
        <v/>
      </c>
      <c r="Y5005" s="12">
        <f>IF(OR(LEFT(K5005,4)="LVAX",LEFT(K5005,6)="MV15AX",LEFT(K5005,4)="CTAX",LEFT(K5005,2)="W|"),2*N5005*O5005,0)</f>
        <v/>
      </c>
      <c r="Z5005" s="12" t="inlineStr">
        <is>
          <t>VD 2.5 %</t>
        </is>
      </c>
      <c r="AA5005" s="12">
        <f>N5005*O5005</f>
        <v/>
      </c>
    </row>
    <row r="5006">
      <c r="A5006" s="12" t="inlineStr">
        <is>
          <t>I-P-0104</t>
        </is>
      </c>
      <c r="B5006" s="12" t="inlineStr">
        <is>
          <t>I</t>
        </is>
      </c>
      <c r="C5006" s="12" t="inlineStr">
        <is>
          <t>Modular / portable power</t>
        </is>
      </c>
      <c r="D5006" s="12" t="inlineStr">
        <is>
          <t>480 V welding receptacle 2</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LV|3/C+G|1/0</t>
        </is>
      </c>
      <c r="L5006" s="12" t="inlineStr">
        <is>
          <t>3/C+G</t>
        </is>
      </c>
      <c r="M5006" s="12" t="inlineStr">
        <is>
          <t>1/0</t>
        </is>
      </c>
      <c r="N5006" s="12" t="n">
        <v>1</v>
      </c>
      <c r="O5006" s="12" t="n">
        <v>1</v>
      </c>
      <c r="P5006" s="12" t="n">
        <v>480</v>
      </c>
      <c r="Q5006" s="12" t="n">
        <v>60</v>
      </c>
      <c r="R5006" s="12" t="n">
        <v>76</v>
      </c>
      <c r="S5006" s="12" t="inlineStr">
        <is>
          <t>Duct bank</t>
        </is>
      </c>
      <c r="T5006" s="16" t="n">
        <v>550</v>
      </c>
      <c r="U5006" s="16" t="n">
        <v>137</v>
      </c>
      <c r="V5006" s="16">
        <f>ROUNDUP((T5006+U5006+2*'Read Me'!$B$13)*(1+'Read Me'!$B$12),-1)</f>
        <v/>
      </c>
      <c r="W5006" s="16">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I-P-0105</t>
        </is>
      </c>
      <c r="B5007" s="12" t="inlineStr">
        <is>
          <t>I</t>
        </is>
      </c>
      <c r="C5007" s="12" t="inlineStr">
        <is>
          <t>Modular / portable power</t>
        </is>
      </c>
      <c r="D5007" s="12" t="inlineStr">
        <is>
          <t>480 V welding receptacle 3</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60</v>
      </c>
      <c r="R5007" s="12" t="n">
        <v>76</v>
      </c>
      <c r="S5007" s="12" t="inlineStr">
        <is>
          <t>Duct bank</t>
        </is>
      </c>
      <c r="T5007" s="16" t="n">
        <v>550</v>
      </c>
      <c r="U5007" s="16" t="n">
        <v>137</v>
      </c>
      <c r="V5007" s="16">
        <f>ROUNDUP((T5007+U5007+2*'Read Me'!$B$13)*(1+'Read Me'!$B$12),-1)</f>
        <v/>
      </c>
      <c r="W5007" s="16">
        <f>V5007*N5007*O5007</f>
        <v/>
      </c>
      <c r="X5007" s="12">
        <f>IF(LEFT(I5007,2)="MV",2*N5007*IF(L5007="1/C",O5007,1),0)</f>
        <v/>
      </c>
      <c r="Y5007" s="12">
        <f>IF(OR(LEFT(K5007,4)="LVAX",LEFT(K5007,6)="MV15AX",LEFT(K5007,4)="CTAX",LEFT(K5007,2)="W|"),2*N5007*O5007,0)</f>
        <v/>
      </c>
      <c r="Z5007" s="12" t="inlineStr">
        <is>
          <t>VD 2.5 %</t>
        </is>
      </c>
      <c r="AA5007" s="12">
        <f>N5007*O5007</f>
        <v/>
      </c>
    </row>
    <row r="5008">
      <c r="A5008" s="12" t="inlineStr">
        <is>
          <t>I-P-0106</t>
        </is>
      </c>
      <c r="B5008" s="12" t="inlineStr">
        <is>
          <t>I</t>
        </is>
      </c>
      <c r="C5008" s="12" t="inlineStr">
        <is>
          <t>Modular / portable power</t>
        </is>
      </c>
      <c r="D5008" s="12" t="inlineStr">
        <is>
          <t>480 V welding receptacle 4</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60</v>
      </c>
      <c r="R5008" s="12" t="n">
        <v>76</v>
      </c>
      <c r="S5008" s="12" t="inlineStr">
        <is>
          <t>Duct bank</t>
        </is>
      </c>
      <c r="T5008" s="16" t="n">
        <v>550</v>
      </c>
      <c r="U5008" s="16" t="n">
        <v>137</v>
      </c>
      <c r="V5008" s="16">
        <f>ROUNDUP((T5008+U5008+2*'Read Me'!$B$13)*(1+'Read Me'!$B$12),-1)</f>
        <v/>
      </c>
      <c r="W5008" s="16">
        <f>V5008*N5008*O5008</f>
        <v/>
      </c>
      <c r="X5008" s="12">
        <f>IF(LEFT(I5008,2)="MV",2*N5008*IF(L5008="1/C",O5008,1),0)</f>
        <v/>
      </c>
      <c r="Y5008" s="12">
        <f>IF(OR(LEFT(K5008,4)="LVAX",LEFT(K5008,6)="MV15AX",LEFT(K5008,4)="CTAX",LEFT(K5008,2)="W|"),2*N5008*O5008,0)</f>
        <v/>
      </c>
      <c r="Z5008" s="12" t="inlineStr">
        <is>
          <t>VD 2.5 %</t>
        </is>
      </c>
      <c r="AA5008" s="12">
        <f>N5008*O5008</f>
        <v/>
      </c>
    </row>
    <row r="5009">
      <c r="A5009" s="12" t="inlineStr">
        <is>
          <t>I-P-0107</t>
        </is>
      </c>
      <c r="B5009" s="12" t="inlineStr">
        <is>
          <t>I</t>
        </is>
      </c>
      <c r="C5009" s="12" t="inlineStr">
        <is>
          <t>Modular / portable power</t>
        </is>
      </c>
      <c r="D5009" s="12" t="inlineStr">
        <is>
          <t>Motor 1 of 6, 22 kW</t>
        </is>
      </c>
      <c r="E5009" s="12" t="inlineStr"/>
      <c r="F5009" s="12" t="inlineStr">
        <is>
          <t>PCM: power control module</t>
        </is>
      </c>
      <c r="G5009" s="12" t="inlineStr">
        <is>
          <t>RICE-2</t>
        </is>
      </c>
      <c r="H5009" s="12" t="inlineStr">
        <is>
          <t>RICE engine-generator 2</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6" t="n">
        <v>550</v>
      </c>
      <c r="U5009" s="16" t="n">
        <v>109</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I-P-0108</t>
        </is>
      </c>
      <c r="B5010" s="12" t="inlineStr">
        <is>
          <t>I</t>
        </is>
      </c>
      <c r="C5010" s="12" t="inlineStr">
        <is>
          <t>Modular / portable power</t>
        </is>
      </c>
      <c r="D5010" s="12" t="inlineStr">
        <is>
          <t>Motor 2 of 6, 22 kW</t>
        </is>
      </c>
      <c r="E5010" s="12" t="inlineStr"/>
      <c r="F5010" s="12" t="inlineStr">
        <is>
          <t>PCM: power control module</t>
        </is>
      </c>
      <c r="G5010" s="12" t="inlineStr">
        <is>
          <t>RICE-2</t>
        </is>
      </c>
      <c r="H5010" s="12" t="inlineStr">
        <is>
          <t>RICE engine-generator 2</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6" t="n">
        <v>550</v>
      </c>
      <c r="U5010" s="16" t="n">
        <v>109</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I-P-0109</t>
        </is>
      </c>
      <c r="B5011" s="12" t="inlineStr">
        <is>
          <t>I</t>
        </is>
      </c>
      <c r="C5011" s="12" t="inlineStr">
        <is>
          <t>Modular / portable power</t>
        </is>
      </c>
      <c r="D5011" s="12" t="inlineStr">
        <is>
          <t>Motor 3 of 6, 22 kW</t>
        </is>
      </c>
      <c r="E5011" s="12" t="inlineStr"/>
      <c r="F5011" s="12" t="inlineStr">
        <is>
          <t>PCM: power control module</t>
        </is>
      </c>
      <c r="G5011" s="12" t="inlineStr">
        <is>
          <t>RICE-2</t>
        </is>
      </c>
      <c r="H5011" s="12" t="inlineStr">
        <is>
          <t>RICE engine-generator 2</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6" t="n">
        <v>550</v>
      </c>
      <c r="U5011" s="16" t="n">
        <v>109</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I-P-0110</t>
        </is>
      </c>
      <c r="B5012" s="12" t="inlineStr">
        <is>
          <t>I</t>
        </is>
      </c>
      <c r="C5012" s="12" t="inlineStr">
        <is>
          <t>Modular / portable power</t>
        </is>
      </c>
      <c r="D5012" s="12" t="inlineStr">
        <is>
          <t>Motor 4 of 6, 22 kW</t>
        </is>
      </c>
      <c r="E5012" s="12" t="inlineStr"/>
      <c r="F5012" s="12" t="inlineStr">
        <is>
          <t>PCM: power control module</t>
        </is>
      </c>
      <c r="G5012" s="12" t="inlineStr">
        <is>
          <t>RICE-2</t>
        </is>
      </c>
      <c r="H5012" s="12" t="inlineStr">
        <is>
          <t>RICE engine-generator 2</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6" t="n">
        <v>550</v>
      </c>
      <c r="U5012" s="16" t="n">
        <v>109</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I-P-0111</t>
        </is>
      </c>
      <c r="B5013" s="12" t="inlineStr">
        <is>
          <t>I</t>
        </is>
      </c>
      <c r="C5013" s="12" t="inlineStr">
        <is>
          <t>Modular / portable power</t>
        </is>
      </c>
      <c r="D5013" s="12" t="inlineStr">
        <is>
          <t>Motor 5 of 6, 22 kW</t>
        </is>
      </c>
      <c r="E5013" s="12" t="inlineStr"/>
      <c r="F5013" s="12" t="inlineStr">
        <is>
          <t>PCM: power control module</t>
        </is>
      </c>
      <c r="G5013" s="12" t="inlineStr">
        <is>
          <t>RICE-2</t>
        </is>
      </c>
      <c r="H5013" s="12" t="inlineStr">
        <is>
          <t>RICE engine-generator 2</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6" t="n">
        <v>550</v>
      </c>
      <c r="U5013" s="16" t="n">
        <v>109</v>
      </c>
      <c r="V5013" s="16">
        <f>ROUNDUP((T5013+U5013+2*'Read Me'!$B$13)*(1+'Read Me'!$B$12),-1)</f>
        <v/>
      </c>
      <c r="W5013" s="16">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I-P-0112</t>
        </is>
      </c>
      <c r="B5014" s="12" t="inlineStr">
        <is>
          <t>I</t>
        </is>
      </c>
      <c r="C5014" s="12" t="inlineStr">
        <is>
          <t>Modular / portable power</t>
        </is>
      </c>
      <c r="D5014" s="12" t="inlineStr">
        <is>
          <t>Motor 6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6" t="n">
        <v>550</v>
      </c>
      <c r="U5014" s="16" t="n">
        <v>109</v>
      </c>
      <c r="V5014" s="16">
        <f>ROUNDUP((T5014+U5014+2*'Read Me'!$B$13)*(1+'Read Me'!$B$12),-1)</f>
        <v/>
      </c>
      <c r="W5014" s="16">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I-P-0113</t>
        </is>
      </c>
      <c r="B5015" s="12" t="inlineStr">
        <is>
          <t>I</t>
        </is>
      </c>
      <c r="C5015" s="12" t="inlineStr">
        <is>
          <t>Modular / portable power</t>
        </is>
      </c>
      <c r="D5015" s="12" t="inlineStr">
        <is>
          <t>480 V welding receptacle 1</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LV|3/C+G|1/0</t>
        </is>
      </c>
      <c r="L5015" s="12" t="inlineStr">
        <is>
          <t>3/C+G</t>
        </is>
      </c>
      <c r="M5015" s="12" t="inlineStr">
        <is>
          <t>1/0</t>
        </is>
      </c>
      <c r="N5015" s="12" t="n">
        <v>1</v>
      </c>
      <c r="O5015" s="12" t="n">
        <v>1</v>
      </c>
      <c r="P5015" s="12" t="n">
        <v>480</v>
      </c>
      <c r="Q5015" s="12" t="n">
        <v>60</v>
      </c>
      <c r="R5015" s="12" t="n">
        <v>76</v>
      </c>
      <c r="S5015" s="12" t="inlineStr">
        <is>
          <t>Duct bank</t>
        </is>
      </c>
      <c r="T5015" s="16" t="n">
        <v>550</v>
      </c>
      <c r="U5015" s="16" t="n">
        <v>109</v>
      </c>
      <c r="V5015" s="16">
        <f>ROUNDUP((T5015+U5015+2*'Read Me'!$B$13)*(1+'Read Me'!$B$12),-1)</f>
        <v/>
      </c>
      <c r="W5015" s="16">
        <f>V5015*N5015*O5015</f>
        <v/>
      </c>
      <c r="X5015" s="12">
        <f>IF(LEFT(I5015,2)="MV",2*N5015*IF(L5015="1/C",O5015,1),0)</f>
        <v/>
      </c>
      <c r="Y5015" s="12">
        <f>IF(OR(LEFT(K5015,4)="LVAX",LEFT(K5015,6)="MV15AX",LEFT(K5015,4)="CTAX",LEFT(K5015,2)="W|"),2*N5015*O5015,0)</f>
        <v/>
      </c>
      <c r="Z5015" s="12" t="inlineStr">
        <is>
          <t>VD 2.4 %</t>
        </is>
      </c>
      <c r="AA5015" s="12">
        <f>N5015*O5015</f>
        <v/>
      </c>
    </row>
    <row r="5016">
      <c r="A5016" s="12" t="inlineStr">
        <is>
          <t>I-P-0114</t>
        </is>
      </c>
      <c r="B5016" s="12" t="inlineStr">
        <is>
          <t>I</t>
        </is>
      </c>
      <c r="C5016" s="12" t="inlineStr">
        <is>
          <t>Modular / portable power</t>
        </is>
      </c>
      <c r="D5016" s="12" t="inlineStr">
        <is>
          <t>480 V welding receptacle 2</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LV|3/C+G|1/0</t>
        </is>
      </c>
      <c r="L5016" s="12" t="inlineStr">
        <is>
          <t>3/C+G</t>
        </is>
      </c>
      <c r="M5016" s="12" t="inlineStr">
        <is>
          <t>1/0</t>
        </is>
      </c>
      <c r="N5016" s="12" t="n">
        <v>1</v>
      </c>
      <c r="O5016" s="12" t="n">
        <v>1</v>
      </c>
      <c r="P5016" s="12" t="n">
        <v>480</v>
      </c>
      <c r="Q5016" s="12" t="n">
        <v>60</v>
      </c>
      <c r="R5016" s="12" t="n">
        <v>76</v>
      </c>
      <c r="S5016" s="12" t="inlineStr">
        <is>
          <t>Duct bank</t>
        </is>
      </c>
      <c r="T5016" s="16" t="n">
        <v>550</v>
      </c>
      <c r="U5016" s="16" t="n">
        <v>109</v>
      </c>
      <c r="V5016" s="16">
        <f>ROUNDUP((T5016+U5016+2*'Read Me'!$B$13)*(1+'Read Me'!$B$12),-1)</f>
        <v/>
      </c>
      <c r="W5016" s="16">
        <f>V5016*N5016*O5016</f>
        <v/>
      </c>
      <c r="X5016" s="12">
        <f>IF(LEFT(I5016,2)="MV",2*N5016*IF(L5016="1/C",O5016,1),0)</f>
        <v/>
      </c>
      <c r="Y5016" s="12">
        <f>IF(OR(LEFT(K5016,4)="LVAX",LEFT(K5016,6)="MV15AX",LEFT(K5016,4)="CTAX",LEFT(K5016,2)="W|"),2*N5016*O5016,0)</f>
        <v/>
      </c>
      <c r="Z5016" s="12" t="inlineStr">
        <is>
          <t>VD 2.4 %</t>
        </is>
      </c>
      <c r="AA5016" s="12">
        <f>N5016*O5016</f>
        <v/>
      </c>
    </row>
    <row r="5017">
      <c r="A5017" s="12" t="inlineStr">
        <is>
          <t>I-P-0115</t>
        </is>
      </c>
      <c r="B5017" s="12" t="inlineStr">
        <is>
          <t>I</t>
        </is>
      </c>
      <c r="C5017" s="12" t="inlineStr">
        <is>
          <t>Modular / portable power</t>
        </is>
      </c>
      <c r="D5017" s="12" t="inlineStr">
        <is>
          <t>480 V welding receptacle 3</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60</v>
      </c>
      <c r="R5017" s="12" t="n">
        <v>76</v>
      </c>
      <c r="S5017" s="12" t="inlineStr">
        <is>
          <t>Duct bank</t>
        </is>
      </c>
      <c r="T5017" s="16" t="n">
        <v>550</v>
      </c>
      <c r="U5017" s="16" t="n">
        <v>109</v>
      </c>
      <c r="V5017" s="16">
        <f>ROUNDUP((T5017+U5017+2*'Read Me'!$B$13)*(1+'Read Me'!$B$12),-1)</f>
        <v/>
      </c>
      <c r="W5017" s="16">
        <f>V5017*N5017*O5017</f>
        <v/>
      </c>
      <c r="X5017" s="12">
        <f>IF(LEFT(I5017,2)="MV",2*N5017*IF(L5017="1/C",O5017,1),0)</f>
        <v/>
      </c>
      <c r="Y5017" s="12">
        <f>IF(OR(LEFT(K5017,4)="LVAX",LEFT(K5017,6)="MV15AX",LEFT(K5017,4)="CTAX",LEFT(K5017,2)="W|"),2*N5017*O5017,0)</f>
        <v/>
      </c>
      <c r="Z5017" s="12" t="inlineStr">
        <is>
          <t>VD 2.4 %</t>
        </is>
      </c>
      <c r="AA5017" s="12">
        <f>N5017*O5017</f>
        <v/>
      </c>
    </row>
    <row r="5018">
      <c r="A5018" s="12" t="inlineStr">
        <is>
          <t>I-P-0116</t>
        </is>
      </c>
      <c r="B5018" s="12" t="inlineStr">
        <is>
          <t>I</t>
        </is>
      </c>
      <c r="C5018" s="12" t="inlineStr">
        <is>
          <t>Modular / portable power</t>
        </is>
      </c>
      <c r="D5018" s="12" t="inlineStr">
        <is>
          <t>480 V welding receptacle 4</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60</v>
      </c>
      <c r="R5018" s="12" t="n">
        <v>76</v>
      </c>
      <c r="S5018" s="12" t="inlineStr">
        <is>
          <t>Duct bank</t>
        </is>
      </c>
      <c r="T5018" s="16" t="n">
        <v>550</v>
      </c>
      <c r="U5018" s="16" t="n">
        <v>109</v>
      </c>
      <c r="V5018" s="16">
        <f>ROUNDUP((T5018+U5018+2*'Read Me'!$B$13)*(1+'Read Me'!$B$12),-1)</f>
        <v/>
      </c>
      <c r="W5018" s="16">
        <f>V5018*N5018*O5018</f>
        <v/>
      </c>
      <c r="X5018" s="12">
        <f>IF(LEFT(I5018,2)="MV",2*N5018*IF(L5018="1/C",O5018,1),0)</f>
        <v/>
      </c>
      <c r="Y5018" s="12">
        <f>IF(OR(LEFT(K5018,4)="LVAX",LEFT(K5018,6)="MV15AX",LEFT(K5018,4)="CTAX",LEFT(K5018,2)="W|"),2*N5018*O5018,0)</f>
        <v/>
      </c>
      <c r="Z5018" s="12" t="inlineStr">
        <is>
          <t>VD 2.4 %</t>
        </is>
      </c>
      <c r="AA5018" s="12">
        <f>N5018*O5018</f>
        <v/>
      </c>
    </row>
    <row r="5019">
      <c r="A5019" s="12" t="inlineStr">
        <is>
          <t>I-P-0117</t>
        </is>
      </c>
      <c r="B5019" s="12" t="inlineStr">
        <is>
          <t>I</t>
        </is>
      </c>
      <c r="C5019" s="12" t="inlineStr">
        <is>
          <t>Modular / portable power</t>
        </is>
      </c>
      <c r="D5019" s="12" t="inlineStr">
        <is>
          <t>Motor 1 of 6, 22 kW</t>
        </is>
      </c>
      <c r="E5019" s="12" t="inlineStr"/>
      <c r="F5019" s="12" t="inlineStr">
        <is>
          <t>PCM: power control module</t>
        </is>
      </c>
      <c r="G5019" s="12" t="inlineStr">
        <is>
          <t>RICE-3</t>
        </is>
      </c>
      <c r="H5019" s="12" t="inlineStr">
        <is>
          <t>RICE engine-generator 3</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6" t="n">
        <v>550</v>
      </c>
      <c r="U5019" s="16" t="n">
        <v>81</v>
      </c>
      <c r="V5019" s="16">
        <f>ROUNDUP((T5019+U5019+2*'Read Me'!$B$13)*(1+'Read Me'!$B$12),-1)</f>
        <v/>
      </c>
      <c r="W5019" s="16">
        <f>V5019*N5019*O5019</f>
        <v/>
      </c>
      <c r="X5019" s="12">
        <f>IF(LEFT(I5019,2)="MV",2*N5019*IF(L5019="1/C",O5019,1),0)</f>
        <v/>
      </c>
      <c r="Y5019" s="12">
        <f>IF(OR(LEFT(K5019,4)="LVAX",LEFT(K5019,6)="MV15AX",LEFT(K5019,4)="CTAX",LEFT(K5019,2)="W|"),2*N5019*O5019,0)</f>
        <v/>
      </c>
      <c r="Z5019" s="12" t="inlineStr">
        <is>
          <t>VD 2.4 %</t>
        </is>
      </c>
      <c r="AA5019" s="12">
        <f>N5019*O5019</f>
        <v/>
      </c>
    </row>
    <row r="5020">
      <c r="A5020" s="12" t="inlineStr">
        <is>
          <t>I-P-0118</t>
        </is>
      </c>
      <c r="B5020" s="12" t="inlineStr">
        <is>
          <t>I</t>
        </is>
      </c>
      <c r="C5020" s="12" t="inlineStr">
        <is>
          <t>Modular / portable power</t>
        </is>
      </c>
      <c r="D5020" s="12" t="inlineStr">
        <is>
          <t>Motor 2 of 6, 22 kW</t>
        </is>
      </c>
      <c r="E5020" s="12" t="inlineStr"/>
      <c r="F5020" s="12" t="inlineStr">
        <is>
          <t>PCM: power control module</t>
        </is>
      </c>
      <c r="G5020" s="12" t="inlineStr">
        <is>
          <t>RICE-3</t>
        </is>
      </c>
      <c r="H5020" s="12" t="inlineStr">
        <is>
          <t>RICE engine-generator 3</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6" t="n">
        <v>550</v>
      </c>
      <c r="U5020" s="16" t="n">
        <v>81</v>
      </c>
      <c r="V5020" s="16">
        <f>ROUNDUP((T5020+U5020+2*'Read Me'!$B$13)*(1+'Read Me'!$B$12),-1)</f>
        <v/>
      </c>
      <c r="W5020" s="16">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I-P-0119</t>
        </is>
      </c>
      <c r="B5021" s="12" t="inlineStr">
        <is>
          <t>I</t>
        </is>
      </c>
      <c r="C5021" s="12" t="inlineStr">
        <is>
          <t>Modular / portable power</t>
        </is>
      </c>
      <c r="D5021" s="12" t="inlineStr">
        <is>
          <t>Motor 3 of 6, 22 kW</t>
        </is>
      </c>
      <c r="E5021" s="12" t="inlineStr"/>
      <c r="F5021" s="12" t="inlineStr">
        <is>
          <t>PCM: power control module</t>
        </is>
      </c>
      <c r="G5021" s="12" t="inlineStr">
        <is>
          <t>RICE-3</t>
        </is>
      </c>
      <c r="H5021" s="12" t="inlineStr">
        <is>
          <t>RICE engine-generator 3</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6" t="n">
        <v>550</v>
      </c>
      <c r="U5021" s="16" t="n">
        <v>81</v>
      </c>
      <c r="V5021" s="16">
        <f>ROUNDUP((T5021+U5021+2*'Read Me'!$B$13)*(1+'Read Me'!$B$12),-1)</f>
        <v/>
      </c>
      <c r="W5021" s="16">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I-P-0120</t>
        </is>
      </c>
      <c r="B5022" s="12" t="inlineStr">
        <is>
          <t>I</t>
        </is>
      </c>
      <c r="C5022" s="12" t="inlineStr">
        <is>
          <t>Modular / portable power</t>
        </is>
      </c>
      <c r="D5022" s="12" t="inlineStr">
        <is>
          <t>Motor 4 of 6, 22 kW</t>
        </is>
      </c>
      <c r="E5022" s="12" t="inlineStr"/>
      <c r="F5022" s="12" t="inlineStr">
        <is>
          <t>PCM: power control module</t>
        </is>
      </c>
      <c r="G5022" s="12" t="inlineStr">
        <is>
          <t>RICE-3</t>
        </is>
      </c>
      <c r="H5022" s="12" t="inlineStr">
        <is>
          <t>RICE engine-generator 3</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6" t="n">
        <v>550</v>
      </c>
      <c r="U5022" s="16" t="n">
        <v>81</v>
      </c>
      <c r="V5022" s="16">
        <f>ROUNDUP((T5022+U5022+2*'Read Me'!$B$13)*(1+'Read Me'!$B$12),-1)</f>
        <v/>
      </c>
      <c r="W5022" s="16">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I-P-0121</t>
        </is>
      </c>
      <c r="B5023" s="12" t="inlineStr">
        <is>
          <t>I</t>
        </is>
      </c>
      <c r="C5023" s="12" t="inlineStr">
        <is>
          <t>Modular / portable power</t>
        </is>
      </c>
      <c r="D5023" s="12" t="inlineStr">
        <is>
          <t>Motor 5 of 6, 22 kW</t>
        </is>
      </c>
      <c r="E5023" s="12" t="inlineStr"/>
      <c r="F5023" s="12" t="inlineStr">
        <is>
          <t>PCM: power control module</t>
        </is>
      </c>
      <c r="G5023" s="12" t="inlineStr">
        <is>
          <t>RICE-3</t>
        </is>
      </c>
      <c r="H5023" s="12" t="inlineStr">
        <is>
          <t>RICE engine-generator 3</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6" t="n">
        <v>550</v>
      </c>
      <c r="U5023" s="16" t="n">
        <v>81</v>
      </c>
      <c r="V5023" s="16">
        <f>ROUNDUP((T5023+U5023+2*'Read Me'!$B$13)*(1+'Read Me'!$B$12),-1)</f>
        <v/>
      </c>
      <c r="W5023" s="16">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I-P-0122</t>
        </is>
      </c>
      <c r="B5024" s="12" t="inlineStr">
        <is>
          <t>I</t>
        </is>
      </c>
      <c r="C5024" s="12" t="inlineStr">
        <is>
          <t>Modular / portable power</t>
        </is>
      </c>
      <c r="D5024" s="12" t="inlineStr">
        <is>
          <t>Motor 6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6" t="n">
        <v>550</v>
      </c>
      <c r="U5024" s="16" t="n">
        <v>81</v>
      </c>
      <c r="V5024" s="16">
        <f>ROUNDUP((T5024+U5024+2*'Read Me'!$B$13)*(1+'Read Me'!$B$12),-1)</f>
        <v/>
      </c>
      <c r="W5024" s="16">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I-P-0123</t>
        </is>
      </c>
      <c r="B5025" s="12" t="inlineStr">
        <is>
          <t>I</t>
        </is>
      </c>
      <c r="C5025" s="12" t="inlineStr">
        <is>
          <t>Modular / portable power</t>
        </is>
      </c>
      <c r="D5025" s="12" t="inlineStr">
        <is>
          <t>480 V welding receptacle 1</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LV|3/C+G|1</t>
        </is>
      </c>
      <c r="L5025" s="12" t="inlineStr">
        <is>
          <t>3/C+G</t>
        </is>
      </c>
      <c r="M5025" s="12" t="inlineStr">
        <is>
          <t>1</t>
        </is>
      </c>
      <c r="N5025" s="12" t="n">
        <v>1</v>
      </c>
      <c r="O5025" s="12" t="n">
        <v>1</v>
      </c>
      <c r="P5025" s="12" t="n">
        <v>480</v>
      </c>
      <c r="Q5025" s="12" t="n">
        <v>60</v>
      </c>
      <c r="R5025" s="12" t="n">
        <v>76</v>
      </c>
      <c r="S5025" s="12" t="inlineStr">
        <is>
          <t>Duct bank</t>
        </is>
      </c>
      <c r="T5025" s="16" t="n">
        <v>550</v>
      </c>
      <c r="U5025" s="16" t="n">
        <v>81</v>
      </c>
      <c r="V5025" s="16">
        <f>ROUNDUP((T5025+U5025+2*'Read Me'!$B$13)*(1+'Read Me'!$B$12),-1)</f>
        <v/>
      </c>
      <c r="W5025" s="16">
        <f>V5025*N5025*O5025</f>
        <v/>
      </c>
      <c r="X5025" s="12">
        <f>IF(LEFT(I5025,2)="MV",2*N5025*IF(L5025="1/C",O5025,1),0)</f>
        <v/>
      </c>
      <c r="Y5025" s="12">
        <f>IF(OR(LEFT(K5025,4)="LVAX",LEFT(K5025,6)="MV15AX",LEFT(K5025,4)="CTAX",LEFT(K5025,2)="W|"),2*N5025*O5025,0)</f>
        <v/>
      </c>
      <c r="Z5025" s="12" t="inlineStr">
        <is>
          <t>VD 2.9 %</t>
        </is>
      </c>
      <c r="AA5025" s="12">
        <f>N5025*O5025</f>
        <v/>
      </c>
    </row>
    <row r="5026">
      <c r="A5026" s="12" t="inlineStr">
        <is>
          <t>I-P-0124</t>
        </is>
      </c>
      <c r="B5026" s="12" t="inlineStr">
        <is>
          <t>I</t>
        </is>
      </c>
      <c r="C5026" s="12" t="inlineStr">
        <is>
          <t>Modular / portable power</t>
        </is>
      </c>
      <c r="D5026" s="12" t="inlineStr">
        <is>
          <t>480 V welding receptacle 2</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6" t="n">
        <v>550</v>
      </c>
      <c r="U5026" s="16" t="n">
        <v>81</v>
      </c>
      <c r="V5026" s="16">
        <f>ROUNDUP((T5026+U5026+2*'Read Me'!$B$13)*(1+'Read Me'!$B$12),-1)</f>
        <v/>
      </c>
      <c r="W5026" s="16">
        <f>V5026*N5026*O5026</f>
        <v/>
      </c>
      <c r="X5026" s="12">
        <f>IF(LEFT(I5026,2)="MV",2*N5026*IF(L5026="1/C",O5026,1),0)</f>
        <v/>
      </c>
      <c r="Y5026" s="12">
        <f>IF(OR(LEFT(K5026,4)="LVAX",LEFT(K5026,6)="MV15AX",LEFT(K5026,4)="CTAX",LEFT(K5026,2)="W|"),2*N5026*O5026,0)</f>
        <v/>
      </c>
      <c r="Z5026" s="12" t="inlineStr">
        <is>
          <t>VD 2.9 %</t>
        </is>
      </c>
      <c r="AA5026" s="12">
        <f>N5026*O5026</f>
        <v/>
      </c>
    </row>
    <row r="5027">
      <c r="A5027" s="12" t="inlineStr">
        <is>
          <t>I-P-0125</t>
        </is>
      </c>
      <c r="B5027" s="12" t="inlineStr">
        <is>
          <t>I</t>
        </is>
      </c>
      <c r="C5027" s="12" t="inlineStr">
        <is>
          <t>Modular / portable power</t>
        </is>
      </c>
      <c r="D5027" s="12" t="inlineStr">
        <is>
          <t>480 V welding receptacle 3</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6" t="n">
        <v>550</v>
      </c>
      <c r="U5027" s="16" t="n">
        <v>81</v>
      </c>
      <c r="V5027" s="16">
        <f>ROUNDUP((T5027+U5027+2*'Read Me'!$B$13)*(1+'Read Me'!$B$12),-1)</f>
        <v/>
      </c>
      <c r="W5027" s="16">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I-P-0126</t>
        </is>
      </c>
      <c r="B5028" s="12" t="inlineStr">
        <is>
          <t>I</t>
        </is>
      </c>
      <c r="C5028" s="12" t="inlineStr">
        <is>
          <t>Modular / portable power</t>
        </is>
      </c>
      <c r="D5028" s="12" t="inlineStr">
        <is>
          <t>480 V welding receptacle 4</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6" t="n">
        <v>550</v>
      </c>
      <c r="U5028" s="16" t="n">
        <v>81</v>
      </c>
      <c r="V5028" s="16">
        <f>ROUNDUP((T5028+U5028+2*'Read Me'!$B$13)*(1+'Read Me'!$B$12),-1)</f>
        <v/>
      </c>
      <c r="W5028" s="16">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I-P-0127</t>
        </is>
      </c>
      <c r="B5029" s="12" t="inlineStr">
        <is>
          <t>I</t>
        </is>
      </c>
      <c r="C5029" s="12" t="inlineStr">
        <is>
          <t>Modular / portable power</t>
        </is>
      </c>
      <c r="D5029" s="12" t="inlineStr">
        <is>
          <t>Motor 1 of 6, 22 kW</t>
        </is>
      </c>
      <c r="E5029" s="12" t="inlineStr"/>
      <c r="F5029" s="12" t="inlineStr">
        <is>
          <t>PCM: power control module</t>
        </is>
      </c>
      <c r="G5029" s="12" t="inlineStr">
        <is>
          <t>RICE-4</t>
        </is>
      </c>
      <c r="H5029" s="12" t="inlineStr">
        <is>
          <t>RICE engine-generator 4</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6" t="n">
        <v>550</v>
      </c>
      <c r="U5029" s="16" t="n">
        <v>53</v>
      </c>
      <c r="V5029" s="16">
        <f>ROUNDUP((T5029+U5029+2*'Read Me'!$B$13)*(1+'Read Me'!$B$12),-1)</f>
        <v/>
      </c>
      <c r="W5029" s="16">
        <f>V5029*N5029*O5029</f>
        <v/>
      </c>
      <c r="X5029" s="12">
        <f>IF(LEFT(I5029,2)="MV",2*N5029*IF(L5029="1/C",O5029,1),0)</f>
        <v/>
      </c>
      <c r="Y5029" s="12">
        <f>IF(OR(LEFT(K5029,4)="LVAX",LEFT(K5029,6)="MV15AX",LEFT(K5029,4)="CTAX",LEFT(K5029,2)="W|"),2*N5029*O5029,0)</f>
        <v/>
      </c>
      <c r="Z5029" s="12" t="inlineStr">
        <is>
          <t>VD 2.3 %</t>
        </is>
      </c>
      <c r="AA5029" s="12">
        <f>N5029*O5029</f>
        <v/>
      </c>
    </row>
    <row r="5030">
      <c r="A5030" s="12" t="inlineStr">
        <is>
          <t>I-P-0128</t>
        </is>
      </c>
      <c r="B5030" s="12" t="inlineStr">
        <is>
          <t>I</t>
        </is>
      </c>
      <c r="C5030" s="12" t="inlineStr">
        <is>
          <t>Modular / portable power</t>
        </is>
      </c>
      <c r="D5030" s="12" t="inlineStr">
        <is>
          <t>Motor 2 of 6, 22 kW</t>
        </is>
      </c>
      <c r="E5030" s="12" t="inlineStr"/>
      <c r="F5030" s="12" t="inlineStr">
        <is>
          <t>PCM: power control module</t>
        </is>
      </c>
      <c r="G5030" s="12" t="inlineStr">
        <is>
          <t>RICE-4</t>
        </is>
      </c>
      <c r="H5030" s="12" t="inlineStr">
        <is>
          <t>RICE engine-generator 4</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6" t="n">
        <v>550</v>
      </c>
      <c r="U5030" s="16" t="n">
        <v>53</v>
      </c>
      <c r="V5030" s="16">
        <f>ROUNDUP((T5030+U5030+2*'Read Me'!$B$13)*(1+'Read Me'!$B$12),-1)</f>
        <v/>
      </c>
      <c r="W5030" s="16">
        <f>V5030*N5030*O5030</f>
        <v/>
      </c>
      <c r="X5030" s="12">
        <f>IF(LEFT(I5030,2)="MV",2*N5030*IF(L5030="1/C",O5030,1),0)</f>
        <v/>
      </c>
      <c r="Y5030" s="12">
        <f>IF(OR(LEFT(K5030,4)="LVAX",LEFT(K5030,6)="MV15AX",LEFT(K5030,4)="CTAX",LEFT(K5030,2)="W|"),2*N5030*O5030,0)</f>
        <v/>
      </c>
      <c r="Z5030" s="12" t="inlineStr">
        <is>
          <t>VD 2.3 %</t>
        </is>
      </c>
      <c r="AA5030" s="12">
        <f>N5030*O5030</f>
        <v/>
      </c>
    </row>
    <row r="5031">
      <c r="A5031" s="12" t="inlineStr">
        <is>
          <t>I-P-0129</t>
        </is>
      </c>
      <c r="B5031" s="12" t="inlineStr">
        <is>
          <t>I</t>
        </is>
      </c>
      <c r="C5031" s="12" t="inlineStr">
        <is>
          <t>Modular / portable power</t>
        </is>
      </c>
      <c r="D5031" s="12" t="inlineStr">
        <is>
          <t>Motor 3 of 6, 22 kW</t>
        </is>
      </c>
      <c r="E5031" s="12" t="inlineStr"/>
      <c r="F5031" s="12" t="inlineStr">
        <is>
          <t>PCM: power control module</t>
        </is>
      </c>
      <c r="G5031" s="12" t="inlineStr">
        <is>
          <t>RICE-4</t>
        </is>
      </c>
      <c r="H5031" s="12" t="inlineStr">
        <is>
          <t>RICE engine-generator 4</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22</v>
      </c>
      <c r="R5031" s="12" t="n">
        <v>31.1</v>
      </c>
      <c r="S5031" s="12" t="inlineStr">
        <is>
          <t>Duct bank</t>
        </is>
      </c>
      <c r="T5031" s="16" t="n">
        <v>550</v>
      </c>
      <c r="U5031" s="16" t="n">
        <v>53</v>
      </c>
      <c r="V5031" s="16">
        <f>ROUNDUP((T5031+U5031+2*'Read Me'!$B$13)*(1+'Read Me'!$B$12),-1)</f>
        <v/>
      </c>
      <c r="W5031" s="16">
        <f>V5031*N5031*O5031</f>
        <v/>
      </c>
      <c r="X5031" s="12">
        <f>IF(LEFT(I5031,2)="MV",2*N5031*IF(L5031="1/C",O5031,1),0)</f>
        <v/>
      </c>
      <c r="Y5031" s="12">
        <f>IF(OR(LEFT(K5031,4)="LVAX",LEFT(K5031,6)="MV15AX",LEFT(K5031,4)="CTAX",LEFT(K5031,2)="W|"),2*N5031*O5031,0)</f>
        <v/>
      </c>
      <c r="Z5031" s="12" t="inlineStr">
        <is>
          <t>VD 2.3 %</t>
        </is>
      </c>
      <c r="AA5031" s="12">
        <f>N5031*O5031</f>
        <v/>
      </c>
    </row>
    <row r="5032">
      <c r="A5032" s="12" t="inlineStr">
        <is>
          <t>I-P-0130</t>
        </is>
      </c>
      <c r="B5032" s="12" t="inlineStr">
        <is>
          <t>I</t>
        </is>
      </c>
      <c r="C5032" s="12" t="inlineStr">
        <is>
          <t>Modular / portable power</t>
        </is>
      </c>
      <c r="D5032" s="12" t="inlineStr">
        <is>
          <t>Motor 4 of 6, 22 kW</t>
        </is>
      </c>
      <c r="E5032" s="12" t="inlineStr"/>
      <c r="F5032" s="12" t="inlineStr">
        <is>
          <t>PCM: power control module</t>
        </is>
      </c>
      <c r="G5032" s="12" t="inlineStr">
        <is>
          <t>RICE-4</t>
        </is>
      </c>
      <c r="H5032" s="12" t="inlineStr">
        <is>
          <t>RICE engine-generator 4</t>
        </is>
      </c>
      <c r="I5032" s="12" t="inlineStr">
        <is>
          <t>LV 600 V</t>
        </is>
      </c>
      <c r="J5032" s="12" t="inlineStr">
        <is>
          <t>Type TC-ER 600 V 3/C Cu XHHW-2 + ground, PVC jacket</t>
        </is>
      </c>
      <c r="K5032" s="12" t="inlineStr">
        <is>
          <t>LV|3/C+G|4</t>
        </is>
      </c>
      <c r="L5032" s="12" t="inlineStr">
        <is>
          <t>3/C+G</t>
        </is>
      </c>
      <c r="M5032" s="12" t="inlineStr">
        <is>
          <t>4</t>
        </is>
      </c>
      <c r="N5032" s="12" t="n">
        <v>1</v>
      </c>
      <c r="O5032" s="12" t="n">
        <v>1</v>
      </c>
      <c r="P5032" s="12" t="n">
        <v>480</v>
      </c>
      <c r="Q5032" s="12" t="n">
        <v>22</v>
      </c>
      <c r="R5032" s="12" t="n">
        <v>31.1</v>
      </c>
      <c r="S5032" s="12" t="inlineStr">
        <is>
          <t>Duct bank</t>
        </is>
      </c>
      <c r="T5032" s="16" t="n">
        <v>550</v>
      </c>
      <c r="U5032" s="16" t="n">
        <v>53</v>
      </c>
      <c r="V5032" s="16">
        <f>ROUNDUP((T5032+U5032+2*'Read Me'!$B$13)*(1+'Read Me'!$B$12),-1)</f>
        <v/>
      </c>
      <c r="W5032" s="16">
        <f>V5032*N5032*O5032</f>
        <v/>
      </c>
      <c r="X5032" s="12">
        <f>IF(LEFT(I5032,2)="MV",2*N5032*IF(L5032="1/C",O5032,1),0)</f>
        <v/>
      </c>
      <c r="Y5032" s="12">
        <f>IF(OR(LEFT(K5032,4)="LVAX",LEFT(K5032,6)="MV15AX",LEFT(K5032,4)="CTAX",LEFT(K5032,2)="W|"),2*N5032*O5032,0)</f>
        <v/>
      </c>
      <c r="Z5032" s="12" t="inlineStr">
        <is>
          <t>VD 2.3 %</t>
        </is>
      </c>
      <c r="AA5032" s="12">
        <f>N5032*O5032</f>
        <v/>
      </c>
    </row>
    <row r="5033">
      <c r="A5033" s="12" t="inlineStr">
        <is>
          <t>I-P-0131</t>
        </is>
      </c>
      <c r="B5033" s="12" t="inlineStr">
        <is>
          <t>I</t>
        </is>
      </c>
      <c r="C5033" s="12" t="inlineStr">
        <is>
          <t>Modular / portable power</t>
        </is>
      </c>
      <c r="D5033" s="12" t="inlineStr">
        <is>
          <t>Motor 5 of 6, 22 kW</t>
        </is>
      </c>
      <c r="E5033" s="12" t="inlineStr"/>
      <c r="F5033" s="12" t="inlineStr">
        <is>
          <t>PCM: power control module</t>
        </is>
      </c>
      <c r="G5033" s="12" t="inlineStr">
        <is>
          <t>RICE-4</t>
        </is>
      </c>
      <c r="H5033" s="12" t="inlineStr">
        <is>
          <t>RICE engine-generator 4</t>
        </is>
      </c>
      <c r="I5033" s="12" t="inlineStr">
        <is>
          <t>LV 600 V</t>
        </is>
      </c>
      <c r="J5033" s="12" t="inlineStr">
        <is>
          <t>Type TC-ER 600 V 3/C Cu XHHW-2 + ground, PVC jacket</t>
        </is>
      </c>
      <c r="K5033" s="12" t="inlineStr">
        <is>
          <t>LV|3/C+G|4</t>
        </is>
      </c>
      <c r="L5033" s="12" t="inlineStr">
        <is>
          <t>3/C+G</t>
        </is>
      </c>
      <c r="M5033" s="12" t="inlineStr">
        <is>
          <t>4</t>
        </is>
      </c>
      <c r="N5033" s="12" t="n">
        <v>1</v>
      </c>
      <c r="O5033" s="12" t="n">
        <v>1</v>
      </c>
      <c r="P5033" s="12" t="n">
        <v>480</v>
      </c>
      <c r="Q5033" s="12" t="n">
        <v>22</v>
      </c>
      <c r="R5033" s="12" t="n">
        <v>31.1</v>
      </c>
      <c r="S5033" s="12" t="inlineStr">
        <is>
          <t>Duct bank</t>
        </is>
      </c>
      <c r="T5033" s="16" t="n">
        <v>550</v>
      </c>
      <c r="U5033" s="16" t="n">
        <v>53</v>
      </c>
      <c r="V5033" s="16">
        <f>ROUNDUP((T5033+U5033+2*'Read Me'!$B$13)*(1+'Read Me'!$B$12),-1)</f>
        <v/>
      </c>
      <c r="W5033" s="16">
        <f>V5033*N5033*O5033</f>
        <v/>
      </c>
      <c r="X5033" s="12">
        <f>IF(LEFT(I5033,2)="MV",2*N5033*IF(L5033="1/C",O5033,1),0)</f>
        <v/>
      </c>
      <c r="Y5033" s="12">
        <f>IF(OR(LEFT(K5033,4)="LVAX",LEFT(K5033,6)="MV15AX",LEFT(K5033,4)="CTAX",LEFT(K5033,2)="W|"),2*N5033*O5033,0)</f>
        <v/>
      </c>
      <c r="Z5033" s="12" t="inlineStr">
        <is>
          <t>VD 2.3 %</t>
        </is>
      </c>
      <c r="AA5033" s="12">
        <f>N5033*O5033</f>
        <v/>
      </c>
    </row>
    <row r="5034">
      <c r="A5034" s="12" t="inlineStr">
        <is>
          <t>I-P-0132</t>
        </is>
      </c>
      <c r="B5034" s="12" t="inlineStr">
        <is>
          <t>I</t>
        </is>
      </c>
      <c r="C5034" s="12" t="inlineStr">
        <is>
          <t>Modular / portable power</t>
        </is>
      </c>
      <c r="D5034" s="12" t="inlineStr">
        <is>
          <t>Motor 6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6" t="n">
        <v>550</v>
      </c>
      <c r="U5034" s="16" t="n">
        <v>53</v>
      </c>
      <c r="V5034" s="16">
        <f>ROUNDUP((T5034+U5034+2*'Read Me'!$B$13)*(1+'Read Me'!$B$12),-1)</f>
        <v/>
      </c>
      <c r="W5034" s="16">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I-P-0133</t>
        </is>
      </c>
      <c r="B5035" s="12" t="inlineStr">
        <is>
          <t>I</t>
        </is>
      </c>
      <c r="C5035" s="12" t="inlineStr">
        <is>
          <t>Modular / portable power</t>
        </is>
      </c>
      <c r="D5035" s="12" t="inlineStr">
        <is>
          <t>480 V welding receptacle 1</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LV|3/C+G|1</t>
        </is>
      </c>
      <c r="L5035" s="12" t="inlineStr">
        <is>
          <t>3/C+G</t>
        </is>
      </c>
      <c r="M5035" s="12" t="inlineStr">
        <is>
          <t>1</t>
        </is>
      </c>
      <c r="N5035" s="12" t="n">
        <v>1</v>
      </c>
      <c r="O5035" s="12" t="n">
        <v>1</v>
      </c>
      <c r="P5035" s="12" t="n">
        <v>480</v>
      </c>
      <c r="Q5035" s="12" t="n">
        <v>60</v>
      </c>
      <c r="R5035" s="12" t="n">
        <v>76</v>
      </c>
      <c r="S5035" s="12" t="inlineStr">
        <is>
          <t>Duct bank</t>
        </is>
      </c>
      <c r="T5035" s="16" t="n">
        <v>550</v>
      </c>
      <c r="U5035" s="16" t="n">
        <v>53</v>
      </c>
      <c r="V5035" s="16">
        <f>ROUNDUP((T5035+U5035+2*'Read Me'!$B$13)*(1+'Read Me'!$B$12),-1)</f>
        <v/>
      </c>
      <c r="W5035" s="16">
        <f>V5035*N5035*O5035</f>
        <v/>
      </c>
      <c r="X5035" s="12">
        <f>IF(LEFT(I5035,2)="MV",2*N5035*IF(L5035="1/C",O5035,1),0)</f>
        <v/>
      </c>
      <c r="Y5035" s="12">
        <f>IF(OR(LEFT(K5035,4)="LVAX",LEFT(K5035,6)="MV15AX",LEFT(K5035,4)="CTAX",LEFT(K5035,2)="W|"),2*N5035*O5035,0)</f>
        <v/>
      </c>
      <c r="Z5035" s="12" t="inlineStr">
        <is>
          <t>VD 2.8 %</t>
        </is>
      </c>
      <c r="AA5035" s="12">
        <f>N5035*O5035</f>
        <v/>
      </c>
    </row>
    <row r="5036">
      <c r="A5036" s="12" t="inlineStr">
        <is>
          <t>I-P-0134</t>
        </is>
      </c>
      <c r="B5036" s="12" t="inlineStr">
        <is>
          <t>I</t>
        </is>
      </c>
      <c r="C5036" s="12" t="inlineStr">
        <is>
          <t>Modular / portable power</t>
        </is>
      </c>
      <c r="D5036" s="12" t="inlineStr">
        <is>
          <t>480 V welding receptacle 2</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LV|3/C+G|1</t>
        </is>
      </c>
      <c r="L5036" s="12" t="inlineStr">
        <is>
          <t>3/C+G</t>
        </is>
      </c>
      <c r="M5036" s="12" t="inlineStr">
        <is>
          <t>1</t>
        </is>
      </c>
      <c r="N5036" s="12" t="n">
        <v>1</v>
      </c>
      <c r="O5036" s="12" t="n">
        <v>1</v>
      </c>
      <c r="P5036" s="12" t="n">
        <v>480</v>
      </c>
      <c r="Q5036" s="12" t="n">
        <v>60</v>
      </c>
      <c r="R5036" s="12" t="n">
        <v>76</v>
      </c>
      <c r="S5036" s="12" t="inlineStr">
        <is>
          <t>Duct bank</t>
        </is>
      </c>
      <c r="T5036" s="16" t="n">
        <v>550</v>
      </c>
      <c r="U5036" s="16" t="n">
        <v>53</v>
      </c>
      <c r="V5036" s="16">
        <f>ROUNDUP((T5036+U5036+2*'Read Me'!$B$13)*(1+'Read Me'!$B$12),-1)</f>
        <v/>
      </c>
      <c r="W5036" s="16">
        <f>V5036*N5036*O5036</f>
        <v/>
      </c>
      <c r="X5036" s="12">
        <f>IF(LEFT(I5036,2)="MV",2*N5036*IF(L5036="1/C",O5036,1),0)</f>
        <v/>
      </c>
      <c r="Y5036" s="12">
        <f>IF(OR(LEFT(K5036,4)="LVAX",LEFT(K5036,6)="MV15AX",LEFT(K5036,4)="CTAX",LEFT(K5036,2)="W|"),2*N5036*O5036,0)</f>
        <v/>
      </c>
      <c r="Z5036" s="12" t="inlineStr">
        <is>
          <t>VD 2.8 %</t>
        </is>
      </c>
      <c r="AA5036" s="12">
        <f>N5036*O5036</f>
        <v/>
      </c>
    </row>
    <row r="5037">
      <c r="A5037" s="12" t="inlineStr">
        <is>
          <t>I-P-0135</t>
        </is>
      </c>
      <c r="B5037" s="12" t="inlineStr">
        <is>
          <t>I</t>
        </is>
      </c>
      <c r="C5037" s="12" t="inlineStr">
        <is>
          <t>Modular / portable power</t>
        </is>
      </c>
      <c r="D5037" s="12" t="inlineStr">
        <is>
          <t>480 V welding receptacle 3</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LV|3/C+G|1</t>
        </is>
      </c>
      <c r="L5037" s="12" t="inlineStr">
        <is>
          <t>3/C+G</t>
        </is>
      </c>
      <c r="M5037" s="12" t="inlineStr">
        <is>
          <t>1</t>
        </is>
      </c>
      <c r="N5037" s="12" t="n">
        <v>1</v>
      </c>
      <c r="O5037" s="12" t="n">
        <v>1</v>
      </c>
      <c r="P5037" s="12" t="n">
        <v>480</v>
      </c>
      <c r="Q5037" s="12" t="n">
        <v>60</v>
      </c>
      <c r="R5037" s="12" t="n">
        <v>76</v>
      </c>
      <c r="S5037" s="12" t="inlineStr">
        <is>
          <t>Duct bank</t>
        </is>
      </c>
      <c r="T5037" s="16" t="n">
        <v>550</v>
      </c>
      <c r="U5037" s="16" t="n">
        <v>53</v>
      </c>
      <c r="V5037" s="16">
        <f>ROUNDUP((T5037+U5037+2*'Read Me'!$B$13)*(1+'Read Me'!$B$12),-1)</f>
        <v/>
      </c>
      <c r="W5037" s="16">
        <f>V5037*N5037*O5037</f>
        <v/>
      </c>
      <c r="X5037" s="12">
        <f>IF(LEFT(I5037,2)="MV",2*N5037*IF(L5037="1/C",O5037,1),0)</f>
        <v/>
      </c>
      <c r="Y5037" s="12">
        <f>IF(OR(LEFT(K5037,4)="LVAX",LEFT(K5037,6)="MV15AX",LEFT(K5037,4)="CTAX",LEFT(K5037,2)="W|"),2*N5037*O5037,0)</f>
        <v/>
      </c>
      <c r="Z5037" s="12" t="inlineStr">
        <is>
          <t>VD 2.8 %</t>
        </is>
      </c>
      <c r="AA5037" s="12">
        <f>N5037*O5037</f>
        <v/>
      </c>
    </row>
    <row r="5038">
      <c r="A5038" s="12" t="inlineStr">
        <is>
          <t>I-P-0136</t>
        </is>
      </c>
      <c r="B5038" s="12" t="inlineStr">
        <is>
          <t>I</t>
        </is>
      </c>
      <c r="C5038" s="12" t="inlineStr">
        <is>
          <t>Modular / portable power</t>
        </is>
      </c>
      <c r="D5038" s="12" t="inlineStr">
        <is>
          <t>480 V welding receptacle 4</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LV|3/C+G|1</t>
        </is>
      </c>
      <c r="L5038" s="12" t="inlineStr">
        <is>
          <t>3/C+G</t>
        </is>
      </c>
      <c r="M5038" s="12" t="inlineStr">
        <is>
          <t>1</t>
        </is>
      </c>
      <c r="N5038" s="12" t="n">
        <v>1</v>
      </c>
      <c r="O5038" s="12" t="n">
        <v>1</v>
      </c>
      <c r="P5038" s="12" t="n">
        <v>480</v>
      </c>
      <c r="Q5038" s="12" t="n">
        <v>60</v>
      </c>
      <c r="R5038" s="12" t="n">
        <v>76</v>
      </c>
      <c r="S5038" s="12" t="inlineStr">
        <is>
          <t>Duct bank</t>
        </is>
      </c>
      <c r="T5038" s="16" t="n">
        <v>550</v>
      </c>
      <c r="U5038" s="16" t="n">
        <v>53</v>
      </c>
      <c r="V5038" s="16">
        <f>ROUNDUP((T5038+U5038+2*'Read Me'!$B$13)*(1+'Read Me'!$B$12),-1)</f>
        <v/>
      </c>
      <c r="W5038" s="16">
        <f>V5038*N5038*O5038</f>
        <v/>
      </c>
      <c r="X5038" s="12">
        <f>IF(LEFT(I5038,2)="MV",2*N5038*IF(L5038="1/C",O5038,1),0)</f>
        <v/>
      </c>
      <c r="Y5038" s="12">
        <f>IF(OR(LEFT(K5038,4)="LVAX",LEFT(K5038,6)="MV15AX",LEFT(K5038,4)="CTAX",LEFT(K5038,2)="W|"),2*N5038*O5038,0)</f>
        <v/>
      </c>
      <c r="Z5038" s="12" t="inlineStr">
        <is>
          <t>VD 2.8 %</t>
        </is>
      </c>
      <c r="AA5038" s="12">
        <f>N5038*O5038</f>
        <v/>
      </c>
    </row>
    <row r="5039">
      <c r="A5039" s="12" t="inlineStr">
        <is>
          <t>I-P-0137</t>
        </is>
      </c>
      <c r="B5039" s="12" t="inlineStr">
        <is>
          <t>I</t>
        </is>
      </c>
      <c r="C5039" s="12" t="inlineStr">
        <is>
          <t>Modular / portable power</t>
        </is>
      </c>
      <c r="D5039" s="12" t="inlineStr">
        <is>
          <t>Motor 1 of 6, 22 kW</t>
        </is>
      </c>
      <c r="E5039" s="12" t="inlineStr"/>
      <c r="F5039" s="12" t="inlineStr">
        <is>
          <t>PCM: power control module</t>
        </is>
      </c>
      <c r="G5039" s="12" t="inlineStr">
        <is>
          <t>RICE-5</t>
        </is>
      </c>
      <c r="H5039" s="12" t="inlineStr">
        <is>
          <t>RICE engine-generator 5</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6" t="n">
        <v>367</v>
      </c>
      <c r="U5039" s="16" t="n">
        <v>208</v>
      </c>
      <c r="V5039" s="16">
        <f>ROUNDUP((T5039+U5039+2*'Read Me'!$B$13)*(1+'Read Me'!$B$12),-1)</f>
        <v/>
      </c>
      <c r="W5039" s="16">
        <f>V5039*N5039*O5039</f>
        <v/>
      </c>
      <c r="X5039" s="12">
        <f>IF(LEFT(I5039,2)="MV",2*N5039*IF(L5039="1/C",O5039,1),0)</f>
        <v/>
      </c>
      <c r="Y5039" s="12">
        <f>IF(OR(LEFT(K5039,4)="LVAX",LEFT(K5039,6)="MV15AX",LEFT(K5039,4)="CTAX",LEFT(K5039,2)="W|"),2*N5039*O5039,0)</f>
        <v/>
      </c>
      <c r="Z5039" s="12" t="inlineStr">
        <is>
          <t>VD 2.2 %</t>
        </is>
      </c>
      <c r="AA5039" s="12">
        <f>N5039*O5039</f>
        <v/>
      </c>
    </row>
    <row r="5040">
      <c r="A5040" s="12" t="inlineStr">
        <is>
          <t>I-P-0138</t>
        </is>
      </c>
      <c r="B5040" s="12" t="inlineStr">
        <is>
          <t>I</t>
        </is>
      </c>
      <c r="C5040" s="12" t="inlineStr">
        <is>
          <t>Modular / portable power</t>
        </is>
      </c>
      <c r="D5040" s="12" t="inlineStr">
        <is>
          <t>Motor 2 of 6, 22 kW</t>
        </is>
      </c>
      <c r="E5040" s="12" t="inlineStr"/>
      <c r="F5040" s="12" t="inlineStr">
        <is>
          <t>PCM: power control module</t>
        </is>
      </c>
      <c r="G5040" s="12" t="inlineStr">
        <is>
          <t>RICE-5</t>
        </is>
      </c>
      <c r="H5040" s="12" t="inlineStr">
        <is>
          <t>RICE engine-generator 5</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6" t="n">
        <v>367</v>
      </c>
      <c r="U5040" s="16" t="n">
        <v>208</v>
      </c>
      <c r="V5040" s="16">
        <f>ROUNDUP((T5040+U5040+2*'Read Me'!$B$13)*(1+'Read Me'!$B$12),-1)</f>
        <v/>
      </c>
      <c r="W5040" s="16">
        <f>V5040*N5040*O5040</f>
        <v/>
      </c>
      <c r="X5040" s="12">
        <f>IF(LEFT(I5040,2)="MV",2*N5040*IF(L5040="1/C",O5040,1),0)</f>
        <v/>
      </c>
      <c r="Y5040" s="12">
        <f>IF(OR(LEFT(K5040,4)="LVAX",LEFT(K5040,6)="MV15AX",LEFT(K5040,4)="CTAX",LEFT(K5040,2)="W|"),2*N5040*O5040,0)</f>
        <v/>
      </c>
      <c r="Z5040" s="12" t="inlineStr">
        <is>
          <t>VD 2.2 %</t>
        </is>
      </c>
      <c r="AA5040" s="12">
        <f>N5040*O5040</f>
        <v/>
      </c>
    </row>
    <row r="5041">
      <c r="A5041" s="12" t="inlineStr">
        <is>
          <t>I-P-0139</t>
        </is>
      </c>
      <c r="B5041" s="12" t="inlineStr">
        <is>
          <t>I</t>
        </is>
      </c>
      <c r="C5041" s="12" t="inlineStr">
        <is>
          <t>Modular / portable power</t>
        </is>
      </c>
      <c r="D5041" s="12" t="inlineStr">
        <is>
          <t>Motor 3 of 6, 22 kW</t>
        </is>
      </c>
      <c r="E5041" s="12" t="inlineStr"/>
      <c r="F5041" s="12" t="inlineStr">
        <is>
          <t>PCM: power control module</t>
        </is>
      </c>
      <c r="G5041" s="12" t="inlineStr">
        <is>
          <t>RICE-5</t>
        </is>
      </c>
      <c r="H5041" s="12" t="inlineStr">
        <is>
          <t>RICE engine-generator 5</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6" t="n">
        <v>367</v>
      </c>
      <c r="U5041" s="16" t="n">
        <v>208</v>
      </c>
      <c r="V5041" s="16">
        <f>ROUNDUP((T5041+U5041+2*'Read Me'!$B$13)*(1+'Read Me'!$B$12),-1)</f>
        <v/>
      </c>
      <c r="W5041" s="16">
        <f>V5041*N5041*O5041</f>
        <v/>
      </c>
      <c r="X5041" s="12">
        <f>IF(LEFT(I5041,2)="MV",2*N5041*IF(L5041="1/C",O5041,1),0)</f>
        <v/>
      </c>
      <c r="Y5041" s="12">
        <f>IF(OR(LEFT(K5041,4)="LVAX",LEFT(K5041,6)="MV15AX",LEFT(K5041,4)="CTAX",LEFT(K5041,2)="W|"),2*N5041*O5041,0)</f>
        <v/>
      </c>
      <c r="Z5041" s="12" t="inlineStr">
        <is>
          <t>VD 2.2 %</t>
        </is>
      </c>
      <c r="AA5041" s="12">
        <f>N5041*O5041</f>
        <v/>
      </c>
    </row>
    <row r="5042">
      <c r="A5042" s="12" t="inlineStr">
        <is>
          <t>I-P-0140</t>
        </is>
      </c>
      <c r="B5042" s="12" t="inlineStr">
        <is>
          <t>I</t>
        </is>
      </c>
      <c r="C5042" s="12" t="inlineStr">
        <is>
          <t>Modular / portable power</t>
        </is>
      </c>
      <c r="D5042" s="12" t="inlineStr">
        <is>
          <t>Motor 4 of 6, 22 kW</t>
        </is>
      </c>
      <c r="E5042" s="12" t="inlineStr"/>
      <c r="F5042" s="12" t="inlineStr">
        <is>
          <t>PCM: power control module</t>
        </is>
      </c>
      <c r="G5042" s="12" t="inlineStr">
        <is>
          <t>RICE-5</t>
        </is>
      </c>
      <c r="H5042" s="12" t="inlineStr">
        <is>
          <t>RICE engine-generator 5</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6" t="n">
        <v>367</v>
      </c>
      <c r="U5042" s="16" t="n">
        <v>208</v>
      </c>
      <c r="V5042" s="16">
        <f>ROUNDUP((T5042+U5042+2*'Read Me'!$B$13)*(1+'Read Me'!$B$12),-1)</f>
        <v/>
      </c>
      <c r="W5042" s="16">
        <f>V5042*N5042*O5042</f>
        <v/>
      </c>
      <c r="X5042" s="12">
        <f>IF(LEFT(I5042,2)="MV",2*N5042*IF(L5042="1/C",O5042,1),0)</f>
        <v/>
      </c>
      <c r="Y5042" s="12">
        <f>IF(OR(LEFT(K5042,4)="LVAX",LEFT(K5042,6)="MV15AX",LEFT(K5042,4)="CTAX",LEFT(K5042,2)="W|"),2*N5042*O5042,0)</f>
        <v/>
      </c>
      <c r="Z5042" s="12" t="inlineStr">
        <is>
          <t>VD 2.2 %</t>
        </is>
      </c>
      <c r="AA5042" s="12">
        <f>N5042*O5042</f>
        <v/>
      </c>
    </row>
    <row r="5043">
      <c r="A5043" s="12" t="inlineStr">
        <is>
          <t>I-P-0141</t>
        </is>
      </c>
      <c r="B5043" s="12" t="inlineStr">
        <is>
          <t>I</t>
        </is>
      </c>
      <c r="C5043" s="12" t="inlineStr">
        <is>
          <t>Modular / portable power</t>
        </is>
      </c>
      <c r="D5043" s="12" t="inlineStr">
        <is>
          <t>Motor 5 of 6, 22 kW</t>
        </is>
      </c>
      <c r="E5043" s="12" t="inlineStr"/>
      <c r="F5043" s="12" t="inlineStr">
        <is>
          <t>PCM: power control module</t>
        </is>
      </c>
      <c r="G5043" s="12" t="inlineStr">
        <is>
          <t>RICE-5</t>
        </is>
      </c>
      <c r="H5043" s="12" t="inlineStr">
        <is>
          <t>RICE engine-generator 5</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6" t="n">
        <v>367</v>
      </c>
      <c r="U5043" s="16" t="n">
        <v>208</v>
      </c>
      <c r="V5043" s="16">
        <f>ROUNDUP((T5043+U5043+2*'Read Me'!$B$13)*(1+'Read Me'!$B$12),-1)</f>
        <v/>
      </c>
      <c r="W5043" s="16">
        <f>V5043*N5043*O5043</f>
        <v/>
      </c>
      <c r="X5043" s="12">
        <f>IF(LEFT(I5043,2)="MV",2*N5043*IF(L5043="1/C",O5043,1),0)</f>
        <v/>
      </c>
      <c r="Y5043" s="12">
        <f>IF(OR(LEFT(K5043,4)="LVAX",LEFT(K5043,6)="MV15AX",LEFT(K5043,4)="CTAX",LEFT(K5043,2)="W|"),2*N5043*O5043,0)</f>
        <v/>
      </c>
      <c r="Z5043" s="12" t="inlineStr">
        <is>
          <t>VD 2.2 %</t>
        </is>
      </c>
      <c r="AA5043" s="12">
        <f>N5043*O5043</f>
        <v/>
      </c>
    </row>
    <row r="5044">
      <c r="A5044" s="12" t="inlineStr">
        <is>
          <t>I-P-0142</t>
        </is>
      </c>
      <c r="B5044" s="12" t="inlineStr">
        <is>
          <t>I</t>
        </is>
      </c>
      <c r="C5044" s="12" t="inlineStr">
        <is>
          <t>Modular / portable power</t>
        </is>
      </c>
      <c r="D5044" s="12" t="inlineStr">
        <is>
          <t>Motor 6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6" t="n">
        <v>367</v>
      </c>
      <c r="U5044" s="16" t="n">
        <v>208</v>
      </c>
      <c r="V5044" s="16">
        <f>ROUNDUP((T5044+U5044+2*'Read Me'!$B$13)*(1+'Read Me'!$B$12),-1)</f>
        <v/>
      </c>
      <c r="W5044" s="16">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I-P-0143</t>
        </is>
      </c>
      <c r="B5045" s="12" t="inlineStr">
        <is>
          <t>I</t>
        </is>
      </c>
      <c r="C5045" s="12" t="inlineStr">
        <is>
          <t>Modular / portable power</t>
        </is>
      </c>
      <c r="D5045" s="12" t="inlineStr">
        <is>
          <t>480 V welding receptacle 1</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LV|3/C+G|1</t>
        </is>
      </c>
      <c r="L5045" s="12" t="inlineStr">
        <is>
          <t>3/C+G</t>
        </is>
      </c>
      <c r="M5045" s="12" t="inlineStr">
        <is>
          <t>1</t>
        </is>
      </c>
      <c r="N5045" s="12" t="n">
        <v>1</v>
      </c>
      <c r="O5045" s="12" t="n">
        <v>1</v>
      </c>
      <c r="P5045" s="12" t="n">
        <v>480</v>
      </c>
      <c r="Q5045" s="12" t="n">
        <v>60</v>
      </c>
      <c r="R5045" s="12" t="n">
        <v>76</v>
      </c>
      <c r="S5045" s="12" t="inlineStr">
        <is>
          <t>Duct bank</t>
        </is>
      </c>
      <c r="T5045" s="16" t="n">
        <v>367</v>
      </c>
      <c r="U5045" s="16" t="n">
        <v>208</v>
      </c>
      <c r="V5045" s="16">
        <f>ROUNDUP((T5045+U5045+2*'Read Me'!$B$13)*(1+'Read Me'!$B$12),-1)</f>
        <v/>
      </c>
      <c r="W5045" s="16">
        <f>V5045*N5045*O5045</f>
        <v/>
      </c>
      <c r="X5045" s="12">
        <f>IF(LEFT(I5045,2)="MV",2*N5045*IF(L5045="1/C",O5045,1),0)</f>
        <v/>
      </c>
      <c r="Y5045" s="12">
        <f>IF(OR(LEFT(K5045,4)="LVAX",LEFT(K5045,6)="MV15AX",LEFT(K5045,4)="CTAX",LEFT(K5045,2)="W|"),2*N5045*O5045,0)</f>
        <v/>
      </c>
      <c r="Z5045" s="12" t="inlineStr">
        <is>
          <t>VD 2.7 %</t>
        </is>
      </c>
      <c r="AA5045" s="12">
        <f>N5045*O5045</f>
        <v/>
      </c>
    </row>
    <row r="5046">
      <c r="A5046" s="12" t="inlineStr">
        <is>
          <t>I-P-0144</t>
        </is>
      </c>
      <c r="B5046" s="12" t="inlineStr">
        <is>
          <t>I</t>
        </is>
      </c>
      <c r="C5046" s="12" t="inlineStr">
        <is>
          <t>Modular / portable power</t>
        </is>
      </c>
      <c r="D5046" s="12" t="inlineStr">
        <is>
          <t>480 V welding receptacle 2</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LV|3/C+G|1</t>
        </is>
      </c>
      <c r="L5046" s="12" t="inlineStr">
        <is>
          <t>3/C+G</t>
        </is>
      </c>
      <c r="M5046" s="12" t="inlineStr">
        <is>
          <t>1</t>
        </is>
      </c>
      <c r="N5046" s="12" t="n">
        <v>1</v>
      </c>
      <c r="O5046" s="12" t="n">
        <v>1</v>
      </c>
      <c r="P5046" s="12" t="n">
        <v>480</v>
      </c>
      <c r="Q5046" s="12" t="n">
        <v>60</v>
      </c>
      <c r="R5046" s="12" t="n">
        <v>76</v>
      </c>
      <c r="S5046" s="12" t="inlineStr">
        <is>
          <t>Duct bank</t>
        </is>
      </c>
      <c r="T5046" s="16" t="n">
        <v>367</v>
      </c>
      <c r="U5046" s="16" t="n">
        <v>208</v>
      </c>
      <c r="V5046" s="16">
        <f>ROUNDUP((T5046+U5046+2*'Read Me'!$B$13)*(1+'Read Me'!$B$12),-1)</f>
        <v/>
      </c>
      <c r="W5046" s="16">
        <f>V5046*N5046*O5046</f>
        <v/>
      </c>
      <c r="X5046" s="12">
        <f>IF(LEFT(I5046,2)="MV",2*N5046*IF(L5046="1/C",O5046,1),0)</f>
        <v/>
      </c>
      <c r="Y5046" s="12">
        <f>IF(OR(LEFT(K5046,4)="LVAX",LEFT(K5046,6)="MV15AX",LEFT(K5046,4)="CTAX",LEFT(K5046,2)="W|"),2*N5046*O5046,0)</f>
        <v/>
      </c>
      <c r="Z5046" s="12" t="inlineStr">
        <is>
          <t>VD 2.7 %</t>
        </is>
      </c>
      <c r="AA5046" s="12">
        <f>N5046*O5046</f>
        <v/>
      </c>
    </row>
    <row r="5047">
      <c r="A5047" s="12" t="inlineStr">
        <is>
          <t>I-P-0145</t>
        </is>
      </c>
      <c r="B5047" s="12" t="inlineStr">
        <is>
          <t>I</t>
        </is>
      </c>
      <c r="C5047" s="12" t="inlineStr">
        <is>
          <t>Modular / portable power</t>
        </is>
      </c>
      <c r="D5047" s="12" t="inlineStr">
        <is>
          <t>480 V welding receptacle 3</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LV|3/C+G|1</t>
        </is>
      </c>
      <c r="L5047" s="12" t="inlineStr">
        <is>
          <t>3/C+G</t>
        </is>
      </c>
      <c r="M5047" s="12" t="inlineStr">
        <is>
          <t>1</t>
        </is>
      </c>
      <c r="N5047" s="12" t="n">
        <v>1</v>
      </c>
      <c r="O5047" s="12" t="n">
        <v>1</v>
      </c>
      <c r="P5047" s="12" t="n">
        <v>480</v>
      </c>
      <c r="Q5047" s="12" t="n">
        <v>60</v>
      </c>
      <c r="R5047" s="12" t="n">
        <v>76</v>
      </c>
      <c r="S5047" s="12" t="inlineStr">
        <is>
          <t>Duct bank</t>
        </is>
      </c>
      <c r="T5047" s="16" t="n">
        <v>367</v>
      </c>
      <c r="U5047" s="16" t="n">
        <v>208</v>
      </c>
      <c r="V5047" s="16">
        <f>ROUNDUP((T5047+U5047+2*'Read Me'!$B$13)*(1+'Read Me'!$B$12),-1)</f>
        <v/>
      </c>
      <c r="W5047" s="16">
        <f>V5047*N5047*O5047</f>
        <v/>
      </c>
      <c r="X5047" s="12">
        <f>IF(LEFT(I5047,2)="MV",2*N5047*IF(L5047="1/C",O5047,1),0)</f>
        <v/>
      </c>
      <c r="Y5047" s="12">
        <f>IF(OR(LEFT(K5047,4)="LVAX",LEFT(K5047,6)="MV15AX",LEFT(K5047,4)="CTAX",LEFT(K5047,2)="W|"),2*N5047*O5047,0)</f>
        <v/>
      </c>
      <c r="Z5047" s="12" t="inlineStr">
        <is>
          <t>VD 2.7 %</t>
        </is>
      </c>
      <c r="AA5047" s="12">
        <f>N5047*O5047</f>
        <v/>
      </c>
    </row>
    <row r="5048">
      <c r="A5048" s="12" t="inlineStr">
        <is>
          <t>I-P-0146</t>
        </is>
      </c>
      <c r="B5048" s="12" t="inlineStr">
        <is>
          <t>I</t>
        </is>
      </c>
      <c r="C5048" s="12" t="inlineStr">
        <is>
          <t>Modular / portable power</t>
        </is>
      </c>
      <c r="D5048" s="12" t="inlineStr">
        <is>
          <t>480 V welding receptacle 4</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LV|3/C+G|1</t>
        </is>
      </c>
      <c r="L5048" s="12" t="inlineStr">
        <is>
          <t>3/C+G</t>
        </is>
      </c>
      <c r="M5048" s="12" t="inlineStr">
        <is>
          <t>1</t>
        </is>
      </c>
      <c r="N5048" s="12" t="n">
        <v>1</v>
      </c>
      <c r="O5048" s="12" t="n">
        <v>1</v>
      </c>
      <c r="P5048" s="12" t="n">
        <v>480</v>
      </c>
      <c r="Q5048" s="12" t="n">
        <v>60</v>
      </c>
      <c r="R5048" s="12" t="n">
        <v>76</v>
      </c>
      <c r="S5048" s="12" t="inlineStr">
        <is>
          <t>Duct bank</t>
        </is>
      </c>
      <c r="T5048" s="16" t="n">
        <v>367</v>
      </c>
      <c r="U5048" s="16" t="n">
        <v>208</v>
      </c>
      <c r="V5048" s="16">
        <f>ROUNDUP((T5048+U5048+2*'Read Me'!$B$13)*(1+'Read Me'!$B$12),-1)</f>
        <v/>
      </c>
      <c r="W5048" s="16">
        <f>V5048*N5048*O5048</f>
        <v/>
      </c>
      <c r="X5048" s="12">
        <f>IF(LEFT(I5048,2)="MV",2*N5048*IF(L5048="1/C",O5048,1),0)</f>
        <v/>
      </c>
      <c r="Y5048" s="12">
        <f>IF(OR(LEFT(K5048,4)="LVAX",LEFT(K5048,6)="MV15AX",LEFT(K5048,4)="CTAX",LEFT(K5048,2)="W|"),2*N5048*O5048,0)</f>
        <v/>
      </c>
      <c r="Z5048" s="12" t="inlineStr">
        <is>
          <t>VD 2.7 %</t>
        </is>
      </c>
      <c r="AA5048" s="12">
        <f>N5048*O5048</f>
        <v/>
      </c>
    </row>
    <row r="5049">
      <c r="A5049" s="12" t="inlineStr">
        <is>
          <t>I-P-0147</t>
        </is>
      </c>
      <c r="B5049" s="12" t="inlineStr">
        <is>
          <t>I</t>
        </is>
      </c>
      <c r="C5049" s="12" t="inlineStr">
        <is>
          <t>Modular / portable power</t>
        </is>
      </c>
      <c r="D5049" s="12" t="inlineStr">
        <is>
          <t>Motor 1 of 6, 22 kW</t>
        </is>
      </c>
      <c r="E5049" s="12" t="inlineStr"/>
      <c r="F5049" s="12" t="inlineStr">
        <is>
          <t>PCM: power control module</t>
        </is>
      </c>
      <c r="G5049" s="12" t="inlineStr">
        <is>
          <t>RICE-6</t>
        </is>
      </c>
      <c r="H5049" s="12" t="inlineStr">
        <is>
          <t>RICE engine-generator 6</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6" t="n">
        <v>367</v>
      </c>
      <c r="U5049" s="16" t="n">
        <v>180</v>
      </c>
      <c r="V5049" s="16">
        <f>ROUNDUP((T5049+U5049+2*'Read Me'!$B$13)*(1+'Read Me'!$B$12),-1)</f>
        <v/>
      </c>
      <c r="W5049" s="16">
        <f>V5049*N5049*O5049</f>
        <v/>
      </c>
      <c r="X5049" s="12">
        <f>IF(LEFT(I5049,2)="MV",2*N5049*IF(L5049="1/C",O5049,1),0)</f>
        <v/>
      </c>
      <c r="Y5049" s="12">
        <f>IF(OR(LEFT(K5049,4)="LVAX",LEFT(K5049,6)="MV15AX",LEFT(K5049,4)="CTAX",LEFT(K5049,2)="W|"),2*N5049*O5049,0)</f>
        <v/>
      </c>
      <c r="Z5049" s="12" t="inlineStr">
        <is>
          <t>VD 2.1 %</t>
        </is>
      </c>
      <c r="AA5049" s="12">
        <f>N5049*O5049</f>
        <v/>
      </c>
    </row>
    <row r="5050">
      <c r="A5050" s="12" t="inlineStr">
        <is>
          <t>I-P-0148</t>
        </is>
      </c>
      <c r="B5050" s="12" t="inlineStr">
        <is>
          <t>I</t>
        </is>
      </c>
      <c r="C5050" s="12" t="inlineStr">
        <is>
          <t>Modular / portable power</t>
        </is>
      </c>
      <c r="D5050" s="12" t="inlineStr">
        <is>
          <t>Motor 2 of 6, 22 kW</t>
        </is>
      </c>
      <c r="E5050" s="12" t="inlineStr"/>
      <c r="F5050" s="12" t="inlineStr">
        <is>
          <t>PCM: power control module</t>
        </is>
      </c>
      <c r="G5050" s="12" t="inlineStr">
        <is>
          <t>RICE-6</t>
        </is>
      </c>
      <c r="H5050" s="12" t="inlineStr">
        <is>
          <t>RICE engine-generator 6</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6" t="n">
        <v>367</v>
      </c>
      <c r="U5050" s="16" t="n">
        <v>180</v>
      </c>
      <c r="V5050" s="16">
        <f>ROUNDUP((T5050+U5050+2*'Read Me'!$B$13)*(1+'Read Me'!$B$12),-1)</f>
        <v/>
      </c>
      <c r="W5050" s="16">
        <f>V5050*N5050*O5050</f>
        <v/>
      </c>
      <c r="X5050" s="12">
        <f>IF(LEFT(I5050,2)="MV",2*N5050*IF(L5050="1/C",O5050,1),0)</f>
        <v/>
      </c>
      <c r="Y5050" s="12">
        <f>IF(OR(LEFT(K5050,4)="LVAX",LEFT(K5050,6)="MV15AX",LEFT(K5050,4)="CTAX",LEFT(K5050,2)="W|"),2*N5050*O5050,0)</f>
        <v/>
      </c>
      <c r="Z5050" s="12" t="inlineStr">
        <is>
          <t>VD 2.1 %</t>
        </is>
      </c>
      <c r="AA5050" s="12">
        <f>N5050*O5050</f>
        <v/>
      </c>
    </row>
    <row r="5051">
      <c r="A5051" s="12" t="inlineStr">
        <is>
          <t>I-P-0149</t>
        </is>
      </c>
      <c r="B5051" s="12" t="inlineStr">
        <is>
          <t>I</t>
        </is>
      </c>
      <c r="C5051" s="12" t="inlineStr">
        <is>
          <t>Modular / portable power</t>
        </is>
      </c>
      <c r="D5051" s="12" t="inlineStr">
        <is>
          <t>Motor 3 of 6, 22 kW</t>
        </is>
      </c>
      <c r="E5051" s="12" t="inlineStr"/>
      <c r="F5051" s="12" t="inlineStr">
        <is>
          <t>PCM: power control module</t>
        </is>
      </c>
      <c r="G5051" s="12" t="inlineStr">
        <is>
          <t>RICE-6</t>
        </is>
      </c>
      <c r="H5051" s="12" t="inlineStr">
        <is>
          <t>RICE engine-generator 6</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6" t="n">
        <v>367</v>
      </c>
      <c r="U5051" s="16" t="n">
        <v>180</v>
      </c>
      <c r="V5051" s="16">
        <f>ROUNDUP((T5051+U5051+2*'Read Me'!$B$13)*(1+'Read Me'!$B$12),-1)</f>
        <v/>
      </c>
      <c r="W5051" s="16">
        <f>V5051*N5051*O5051</f>
        <v/>
      </c>
      <c r="X5051" s="12">
        <f>IF(LEFT(I5051,2)="MV",2*N5051*IF(L5051="1/C",O5051,1),0)</f>
        <v/>
      </c>
      <c r="Y5051" s="12">
        <f>IF(OR(LEFT(K5051,4)="LVAX",LEFT(K5051,6)="MV15AX",LEFT(K5051,4)="CTAX",LEFT(K5051,2)="W|"),2*N5051*O5051,0)</f>
        <v/>
      </c>
      <c r="Z5051" s="12" t="inlineStr">
        <is>
          <t>VD 2.1 %</t>
        </is>
      </c>
      <c r="AA5051" s="12">
        <f>N5051*O5051</f>
        <v/>
      </c>
    </row>
    <row r="5052">
      <c r="A5052" s="12" t="inlineStr">
        <is>
          <t>I-P-0150</t>
        </is>
      </c>
      <c r="B5052" s="12" t="inlineStr">
        <is>
          <t>I</t>
        </is>
      </c>
      <c r="C5052" s="12" t="inlineStr">
        <is>
          <t>Modular / portable power</t>
        </is>
      </c>
      <c r="D5052" s="12" t="inlineStr">
        <is>
          <t>Motor 4 of 6, 22 kW</t>
        </is>
      </c>
      <c r="E5052" s="12" t="inlineStr"/>
      <c r="F5052" s="12" t="inlineStr">
        <is>
          <t>PCM: power control module</t>
        </is>
      </c>
      <c r="G5052" s="12" t="inlineStr">
        <is>
          <t>RICE-6</t>
        </is>
      </c>
      <c r="H5052" s="12" t="inlineStr">
        <is>
          <t>RICE engine-generator 6</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6" t="n">
        <v>367</v>
      </c>
      <c r="U5052" s="16" t="n">
        <v>180</v>
      </c>
      <c r="V5052" s="16">
        <f>ROUNDUP((T5052+U5052+2*'Read Me'!$B$13)*(1+'Read Me'!$B$12),-1)</f>
        <v/>
      </c>
      <c r="W5052" s="16">
        <f>V5052*N5052*O5052</f>
        <v/>
      </c>
      <c r="X5052" s="12">
        <f>IF(LEFT(I5052,2)="MV",2*N5052*IF(L5052="1/C",O5052,1),0)</f>
        <v/>
      </c>
      <c r="Y5052" s="12">
        <f>IF(OR(LEFT(K5052,4)="LVAX",LEFT(K5052,6)="MV15AX",LEFT(K5052,4)="CTAX",LEFT(K5052,2)="W|"),2*N5052*O5052,0)</f>
        <v/>
      </c>
      <c r="Z5052" s="12" t="inlineStr">
        <is>
          <t>VD 2.1 %</t>
        </is>
      </c>
      <c r="AA5052" s="12">
        <f>N5052*O5052</f>
        <v/>
      </c>
    </row>
    <row r="5053">
      <c r="A5053" s="12" t="inlineStr">
        <is>
          <t>I-P-0151</t>
        </is>
      </c>
      <c r="B5053" s="12" t="inlineStr">
        <is>
          <t>I</t>
        </is>
      </c>
      <c r="C5053" s="12" t="inlineStr">
        <is>
          <t>Modular / portable power</t>
        </is>
      </c>
      <c r="D5053" s="12" t="inlineStr">
        <is>
          <t>Motor 5 of 6, 22 kW</t>
        </is>
      </c>
      <c r="E5053" s="12" t="inlineStr"/>
      <c r="F5053" s="12" t="inlineStr">
        <is>
          <t>PCM: power control module</t>
        </is>
      </c>
      <c r="G5053" s="12" t="inlineStr">
        <is>
          <t>RICE-6</t>
        </is>
      </c>
      <c r="H5053" s="12" t="inlineStr">
        <is>
          <t>RICE engine-generator 6</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6" t="n">
        <v>367</v>
      </c>
      <c r="U5053" s="16" t="n">
        <v>180</v>
      </c>
      <c r="V5053" s="16">
        <f>ROUNDUP((T5053+U5053+2*'Read Me'!$B$13)*(1+'Read Me'!$B$12),-1)</f>
        <v/>
      </c>
      <c r="W5053" s="16">
        <f>V5053*N5053*O5053</f>
        <v/>
      </c>
      <c r="X5053" s="12">
        <f>IF(LEFT(I5053,2)="MV",2*N5053*IF(L5053="1/C",O5053,1),0)</f>
        <v/>
      </c>
      <c r="Y5053" s="12">
        <f>IF(OR(LEFT(K5053,4)="LVAX",LEFT(K5053,6)="MV15AX",LEFT(K5053,4)="CTAX",LEFT(K5053,2)="W|"),2*N5053*O5053,0)</f>
        <v/>
      </c>
      <c r="Z5053" s="12" t="inlineStr">
        <is>
          <t>VD 2.1 %</t>
        </is>
      </c>
      <c r="AA5053" s="12">
        <f>N5053*O5053</f>
        <v/>
      </c>
    </row>
    <row r="5054">
      <c r="A5054" s="12" t="inlineStr">
        <is>
          <t>I-P-0152</t>
        </is>
      </c>
      <c r="B5054" s="12" t="inlineStr">
        <is>
          <t>I</t>
        </is>
      </c>
      <c r="C5054" s="12" t="inlineStr">
        <is>
          <t>Modular / portable power</t>
        </is>
      </c>
      <c r="D5054" s="12" t="inlineStr">
        <is>
          <t>Motor 6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6" t="n">
        <v>367</v>
      </c>
      <c r="U5054" s="16" t="n">
        <v>180</v>
      </c>
      <c r="V5054" s="16">
        <f>ROUNDUP((T5054+U5054+2*'Read Me'!$B$13)*(1+'Read Me'!$B$12),-1)</f>
        <v/>
      </c>
      <c r="W5054" s="16">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I-P-0153</t>
        </is>
      </c>
      <c r="B5055" s="12" t="inlineStr">
        <is>
          <t>I</t>
        </is>
      </c>
      <c r="C5055" s="12" t="inlineStr">
        <is>
          <t>Modular / portable power</t>
        </is>
      </c>
      <c r="D5055" s="12" t="inlineStr">
        <is>
          <t>480 V welding receptacle 1</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LV|3/C+G|1</t>
        </is>
      </c>
      <c r="L5055" s="12" t="inlineStr">
        <is>
          <t>3/C+G</t>
        </is>
      </c>
      <c r="M5055" s="12" t="inlineStr">
        <is>
          <t>1</t>
        </is>
      </c>
      <c r="N5055" s="12" t="n">
        <v>1</v>
      </c>
      <c r="O5055" s="12" t="n">
        <v>1</v>
      </c>
      <c r="P5055" s="12" t="n">
        <v>480</v>
      </c>
      <c r="Q5055" s="12" t="n">
        <v>60</v>
      </c>
      <c r="R5055" s="12" t="n">
        <v>76</v>
      </c>
      <c r="S5055" s="12" t="inlineStr">
        <is>
          <t>Duct bank</t>
        </is>
      </c>
      <c r="T5055" s="16" t="n">
        <v>367</v>
      </c>
      <c r="U5055" s="16" t="n">
        <v>180</v>
      </c>
      <c r="V5055" s="16">
        <f>ROUNDUP((T5055+U5055+2*'Read Me'!$B$13)*(1+'Read Me'!$B$12),-1)</f>
        <v/>
      </c>
      <c r="W5055" s="16">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I-P-0154</t>
        </is>
      </c>
      <c r="B5056" s="12" t="inlineStr">
        <is>
          <t>I</t>
        </is>
      </c>
      <c r="C5056" s="12" t="inlineStr">
        <is>
          <t>Modular / portable power</t>
        </is>
      </c>
      <c r="D5056" s="12" t="inlineStr">
        <is>
          <t>480 V welding receptacle 2</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LV|3/C+G|1</t>
        </is>
      </c>
      <c r="L5056" s="12" t="inlineStr">
        <is>
          <t>3/C+G</t>
        </is>
      </c>
      <c r="M5056" s="12" t="inlineStr">
        <is>
          <t>1</t>
        </is>
      </c>
      <c r="N5056" s="12" t="n">
        <v>1</v>
      </c>
      <c r="O5056" s="12" t="n">
        <v>1</v>
      </c>
      <c r="P5056" s="12" t="n">
        <v>480</v>
      </c>
      <c r="Q5056" s="12" t="n">
        <v>60</v>
      </c>
      <c r="R5056" s="12" t="n">
        <v>76</v>
      </c>
      <c r="S5056" s="12" t="inlineStr">
        <is>
          <t>Duct bank</t>
        </is>
      </c>
      <c r="T5056" s="16" t="n">
        <v>367</v>
      </c>
      <c r="U5056" s="16" t="n">
        <v>180</v>
      </c>
      <c r="V5056" s="16">
        <f>ROUNDUP((T5056+U5056+2*'Read Me'!$B$13)*(1+'Read Me'!$B$12),-1)</f>
        <v/>
      </c>
      <c r="W5056" s="16">
        <f>V5056*N5056*O5056</f>
        <v/>
      </c>
      <c r="X5056" s="12">
        <f>IF(LEFT(I5056,2)="MV",2*N5056*IF(L5056="1/C",O5056,1),0)</f>
        <v/>
      </c>
      <c r="Y5056" s="12">
        <f>IF(OR(LEFT(K5056,4)="LVAX",LEFT(K5056,6)="MV15AX",LEFT(K5056,4)="CTAX",LEFT(K5056,2)="W|"),2*N5056*O5056,0)</f>
        <v/>
      </c>
      <c r="Z5056" s="12" t="inlineStr">
        <is>
          <t>VD 2.5 %</t>
        </is>
      </c>
      <c r="AA5056" s="12">
        <f>N5056*O5056</f>
        <v/>
      </c>
    </row>
    <row r="5057">
      <c r="A5057" s="12" t="inlineStr">
        <is>
          <t>I-P-0155</t>
        </is>
      </c>
      <c r="B5057" s="12" t="inlineStr">
        <is>
          <t>I</t>
        </is>
      </c>
      <c r="C5057" s="12" t="inlineStr">
        <is>
          <t>Modular / portable power</t>
        </is>
      </c>
      <c r="D5057" s="12" t="inlineStr">
        <is>
          <t>480 V welding receptacle 3</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LV|3/C+G|1</t>
        </is>
      </c>
      <c r="L5057" s="12" t="inlineStr">
        <is>
          <t>3/C+G</t>
        </is>
      </c>
      <c r="M5057" s="12" t="inlineStr">
        <is>
          <t>1</t>
        </is>
      </c>
      <c r="N5057" s="12" t="n">
        <v>1</v>
      </c>
      <c r="O5057" s="12" t="n">
        <v>1</v>
      </c>
      <c r="P5057" s="12" t="n">
        <v>480</v>
      </c>
      <c r="Q5057" s="12" t="n">
        <v>60</v>
      </c>
      <c r="R5057" s="12" t="n">
        <v>76</v>
      </c>
      <c r="S5057" s="12" t="inlineStr">
        <is>
          <t>Duct bank</t>
        </is>
      </c>
      <c r="T5057" s="16" t="n">
        <v>367</v>
      </c>
      <c r="U5057" s="16" t="n">
        <v>180</v>
      </c>
      <c r="V5057" s="16">
        <f>ROUNDUP((T5057+U5057+2*'Read Me'!$B$13)*(1+'Read Me'!$B$12),-1)</f>
        <v/>
      </c>
      <c r="W5057" s="16">
        <f>V5057*N5057*O5057</f>
        <v/>
      </c>
      <c r="X5057" s="12">
        <f>IF(LEFT(I5057,2)="MV",2*N5057*IF(L5057="1/C",O5057,1),0)</f>
        <v/>
      </c>
      <c r="Y5057" s="12">
        <f>IF(OR(LEFT(K5057,4)="LVAX",LEFT(K5057,6)="MV15AX",LEFT(K5057,4)="CTAX",LEFT(K5057,2)="W|"),2*N5057*O5057,0)</f>
        <v/>
      </c>
      <c r="Z5057" s="12" t="inlineStr">
        <is>
          <t>VD 2.5 %</t>
        </is>
      </c>
      <c r="AA5057" s="12">
        <f>N5057*O5057</f>
        <v/>
      </c>
    </row>
    <row r="5058">
      <c r="A5058" s="12" t="inlineStr">
        <is>
          <t>I-P-0156</t>
        </is>
      </c>
      <c r="B5058" s="12" t="inlineStr">
        <is>
          <t>I</t>
        </is>
      </c>
      <c r="C5058" s="12" t="inlineStr">
        <is>
          <t>Modular / portable power</t>
        </is>
      </c>
      <c r="D5058" s="12" t="inlineStr">
        <is>
          <t>480 V welding receptacle 4</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LV|3/C+G|1</t>
        </is>
      </c>
      <c r="L5058" s="12" t="inlineStr">
        <is>
          <t>3/C+G</t>
        </is>
      </c>
      <c r="M5058" s="12" t="inlineStr">
        <is>
          <t>1</t>
        </is>
      </c>
      <c r="N5058" s="12" t="n">
        <v>1</v>
      </c>
      <c r="O5058" s="12" t="n">
        <v>1</v>
      </c>
      <c r="P5058" s="12" t="n">
        <v>480</v>
      </c>
      <c r="Q5058" s="12" t="n">
        <v>60</v>
      </c>
      <c r="R5058" s="12" t="n">
        <v>76</v>
      </c>
      <c r="S5058" s="12" t="inlineStr">
        <is>
          <t>Duct bank</t>
        </is>
      </c>
      <c r="T5058" s="16" t="n">
        <v>367</v>
      </c>
      <c r="U5058" s="16" t="n">
        <v>180</v>
      </c>
      <c r="V5058" s="16">
        <f>ROUNDUP((T5058+U5058+2*'Read Me'!$B$13)*(1+'Read Me'!$B$12),-1)</f>
        <v/>
      </c>
      <c r="W5058" s="16">
        <f>V5058*N5058*O5058</f>
        <v/>
      </c>
      <c r="X5058" s="12">
        <f>IF(LEFT(I5058,2)="MV",2*N5058*IF(L5058="1/C",O5058,1),0)</f>
        <v/>
      </c>
      <c r="Y5058" s="12">
        <f>IF(OR(LEFT(K5058,4)="LVAX",LEFT(K5058,6)="MV15AX",LEFT(K5058,4)="CTAX",LEFT(K5058,2)="W|"),2*N5058*O5058,0)</f>
        <v/>
      </c>
      <c r="Z5058" s="12" t="inlineStr">
        <is>
          <t>VD 2.5 %</t>
        </is>
      </c>
      <c r="AA5058" s="12">
        <f>N5058*O5058</f>
        <v/>
      </c>
    </row>
    <row r="5059">
      <c r="A5059" s="12" t="inlineStr">
        <is>
          <t>I-P-0157</t>
        </is>
      </c>
      <c r="B5059" s="12" t="inlineStr">
        <is>
          <t>I</t>
        </is>
      </c>
      <c r="C5059" s="12" t="inlineStr">
        <is>
          <t>Modular / portable power</t>
        </is>
      </c>
      <c r="D5059" s="12" t="inlineStr">
        <is>
          <t>Motor 1 of 6, 22 kW</t>
        </is>
      </c>
      <c r="E5059" s="12" t="inlineStr"/>
      <c r="F5059" s="12" t="inlineStr">
        <is>
          <t>PCM: power control module</t>
        </is>
      </c>
      <c r="G5059" s="12" t="inlineStr">
        <is>
          <t>RICE-7</t>
        </is>
      </c>
      <c r="H5059" s="12" t="inlineStr">
        <is>
          <t>RICE engine-generator 7</t>
        </is>
      </c>
      <c r="I5059" s="12" t="inlineStr">
        <is>
          <t>LV 600 V</t>
        </is>
      </c>
      <c r="J5059" s="12" t="inlineStr">
        <is>
          <t>Type TC-ER 600 V 3/C Cu XHHW-2 + ground, PVC jacket</t>
        </is>
      </c>
      <c r="K5059" s="12" t="inlineStr">
        <is>
          <t>LV|3/C+G|8</t>
        </is>
      </c>
      <c r="L5059" s="12" t="inlineStr">
        <is>
          <t>3/C+G</t>
        </is>
      </c>
      <c r="M5059" s="12" t="inlineStr">
        <is>
          <t>8</t>
        </is>
      </c>
      <c r="N5059" s="12" t="n">
        <v>1</v>
      </c>
      <c r="O5059" s="12" t="n">
        <v>1</v>
      </c>
      <c r="P5059" s="12" t="n">
        <v>480</v>
      </c>
      <c r="Q5059" s="12" t="n">
        <v>22</v>
      </c>
      <c r="R5059" s="12" t="n">
        <v>31.1</v>
      </c>
      <c r="S5059" s="12" t="inlineStr">
        <is>
          <t>Tray</t>
        </is>
      </c>
      <c r="T5059" s="16" t="n">
        <v>0</v>
      </c>
      <c r="U5059" s="16" t="n">
        <v>189</v>
      </c>
      <c r="V5059" s="16">
        <f>ROUNDUP((T5059+U5059+2*'Read Me'!$B$13)*(1+'Read Me'!$B$12),-1)</f>
        <v/>
      </c>
      <c r="W5059" s="16">
        <f>V5059*N5059*O5059</f>
        <v/>
      </c>
      <c r="X5059" s="12">
        <f>IF(LEFT(I5059,2)="MV",2*N5059*IF(L5059="1/C",O5059,1),0)</f>
        <v/>
      </c>
      <c r="Y5059" s="12">
        <f>IF(OR(LEFT(K5059,4)="LVAX",LEFT(K5059,6)="MV15AX",LEFT(K5059,4)="CTAX",LEFT(K5059,2)="W|"),2*N5059*O5059,0)</f>
        <v/>
      </c>
      <c r="Z5059" s="12" t="inlineStr">
        <is>
          <t>VD 1.8 %</t>
        </is>
      </c>
      <c r="AA5059" s="12">
        <f>N5059*O5059</f>
        <v/>
      </c>
    </row>
    <row r="5060">
      <c r="A5060" s="12" t="inlineStr">
        <is>
          <t>I-P-0158</t>
        </is>
      </c>
      <c r="B5060" s="12" t="inlineStr">
        <is>
          <t>I</t>
        </is>
      </c>
      <c r="C5060" s="12" t="inlineStr">
        <is>
          <t>Modular / portable power</t>
        </is>
      </c>
      <c r="D5060" s="12" t="inlineStr">
        <is>
          <t>Motor 2 of 6, 22 kW</t>
        </is>
      </c>
      <c r="E5060" s="12" t="inlineStr"/>
      <c r="F5060" s="12" t="inlineStr">
        <is>
          <t>PCM: power control module</t>
        </is>
      </c>
      <c r="G5060" s="12" t="inlineStr">
        <is>
          <t>RICE-7</t>
        </is>
      </c>
      <c r="H5060" s="12" t="inlineStr">
        <is>
          <t>RICE engine-generator 7</t>
        </is>
      </c>
      <c r="I5060" s="12" t="inlineStr">
        <is>
          <t>LV 600 V</t>
        </is>
      </c>
      <c r="J5060" s="12" t="inlineStr">
        <is>
          <t>Type TC-ER 600 V 3/C Cu XHHW-2 + ground, PVC jacket</t>
        </is>
      </c>
      <c r="K5060" s="12" t="inlineStr">
        <is>
          <t>LV|3/C+G|8</t>
        </is>
      </c>
      <c r="L5060" s="12" t="inlineStr">
        <is>
          <t>3/C+G</t>
        </is>
      </c>
      <c r="M5060" s="12" t="inlineStr">
        <is>
          <t>8</t>
        </is>
      </c>
      <c r="N5060" s="12" t="n">
        <v>1</v>
      </c>
      <c r="O5060" s="12" t="n">
        <v>1</v>
      </c>
      <c r="P5060" s="12" t="n">
        <v>480</v>
      </c>
      <c r="Q5060" s="12" t="n">
        <v>22</v>
      </c>
      <c r="R5060" s="12" t="n">
        <v>31.1</v>
      </c>
      <c r="S5060" s="12" t="inlineStr">
        <is>
          <t>Tray</t>
        </is>
      </c>
      <c r="T5060" s="16" t="n">
        <v>0</v>
      </c>
      <c r="U5060" s="16" t="n">
        <v>189</v>
      </c>
      <c r="V5060" s="16">
        <f>ROUNDUP((T5060+U5060+2*'Read Me'!$B$13)*(1+'Read Me'!$B$12),-1)</f>
        <v/>
      </c>
      <c r="W5060" s="16">
        <f>V5060*N5060*O5060</f>
        <v/>
      </c>
      <c r="X5060" s="12">
        <f>IF(LEFT(I5060,2)="MV",2*N5060*IF(L5060="1/C",O5060,1),0)</f>
        <v/>
      </c>
      <c r="Y5060" s="12">
        <f>IF(OR(LEFT(K5060,4)="LVAX",LEFT(K5060,6)="MV15AX",LEFT(K5060,4)="CTAX",LEFT(K5060,2)="W|"),2*N5060*O5060,0)</f>
        <v/>
      </c>
      <c r="Z5060" s="12" t="inlineStr">
        <is>
          <t>VD 1.8 %</t>
        </is>
      </c>
      <c r="AA5060" s="12">
        <f>N5060*O5060</f>
        <v/>
      </c>
    </row>
    <row r="5061">
      <c r="A5061" s="12" t="inlineStr">
        <is>
          <t>I-P-0159</t>
        </is>
      </c>
      <c r="B5061" s="12" t="inlineStr">
        <is>
          <t>I</t>
        </is>
      </c>
      <c r="C5061" s="12" t="inlineStr">
        <is>
          <t>Modular / portable power</t>
        </is>
      </c>
      <c r="D5061" s="12" t="inlineStr">
        <is>
          <t>Motor 3 of 6, 22 kW</t>
        </is>
      </c>
      <c r="E5061" s="12" t="inlineStr"/>
      <c r="F5061" s="12" t="inlineStr">
        <is>
          <t>PCM: power control module</t>
        </is>
      </c>
      <c r="G5061" s="12" t="inlineStr">
        <is>
          <t>RICE-7</t>
        </is>
      </c>
      <c r="H5061" s="12" t="inlineStr">
        <is>
          <t>RICE engine-generator 7</t>
        </is>
      </c>
      <c r="I5061" s="12" t="inlineStr">
        <is>
          <t>LV 600 V</t>
        </is>
      </c>
      <c r="J5061" s="12" t="inlineStr">
        <is>
          <t>Type TC-ER 600 V 3/C Cu XHHW-2 + ground, PVC jacket</t>
        </is>
      </c>
      <c r="K5061" s="12" t="inlineStr">
        <is>
          <t>LV|3/C+G|8</t>
        </is>
      </c>
      <c r="L5061" s="12" t="inlineStr">
        <is>
          <t>3/C+G</t>
        </is>
      </c>
      <c r="M5061" s="12" t="inlineStr">
        <is>
          <t>8</t>
        </is>
      </c>
      <c r="N5061" s="12" t="n">
        <v>1</v>
      </c>
      <c r="O5061" s="12" t="n">
        <v>1</v>
      </c>
      <c r="P5061" s="12" t="n">
        <v>480</v>
      </c>
      <c r="Q5061" s="12" t="n">
        <v>22</v>
      </c>
      <c r="R5061" s="12" t="n">
        <v>31.1</v>
      </c>
      <c r="S5061" s="12" t="inlineStr">
        <is>
          <t>Tray</t>
        </is>
      </c>
      <c r="T5061" s="16" t="n">
        <v>0</v>
      </c>
      <c r="U5061" s="16" t="n">
        <v>189</v>
      </c>
      <c r="V5061" s="16">
        <f>ROUNDUP((T5061+U5061+2*'Read Me'!$B$13)*(1+'Read Me'!$B$12),-1)</f>
        <v/>
      </c>
      <c r="W5061" s="16">
        <f>V5061*N5061*O5061</f>
        <v/>
      </c>
      <c r="X5061" s="12">
        <f>IF(LEFT(I5061,2)="MV",2*N5061*IF(L5061="1/C",O5061,1),0)</f>
        <v/>
      </c>
      <c r="Y5061" s="12">
        <f>IF(OR(LEFT(K5061,4)="LVAX",LEFT(K5061,6)="MV15AX",LEFT(K5061,4)="CTAX",LEFT(K5061,2)="W|"),2*N5061*O5061,0)</f>
        <v/>
      </c>
      <c r="Z5061" s="12" t="inlineStr">
        <is>
          <t>VD 1.8 %</t>
        </is>
      </c>
      <c r="AA5061" s="12">
        <f>N5061*O5061</f>
        <v/>
      </c>
    </row>
    <row r="5062">
      <c r="A5062" s="12" t="inlineStr">
        <is>
          <t>I-P-0160</t>
        </is>
      </c>
      <c r="B5062" s="12" t="inlineStr">
        <is>
          <t>I</t>
        </is>
      </c>
      <c r="C5062" s="12" t="inlineStr">
        <is>
          <t>Modular / portable power</t>
        </is>
      </c>
      <c r="D5062" s="12" t="inlineStr">
        <is>
          <t>Motor 4 of 6, 22 kW</t>
        </is>
      </c>
      <c r="E5062" s="12" t="inlineStr"/>
      <c r="F5062" s="12" t="inlineStr">
        <is>
          <t>PCM: power control module</t>
        </is>
      </c>
      <c r="G5062" s="12" t="inlineStr">
        <is>
          <t>RICE-7</t>
        </is>
      </c>
      <c r="H5062" s="12" t="inlineStr">
        <is>
          <t>RICE engine-generator 7</t>
        </is>
      </c>
      <c r="I5062" s="12" t="inlineStr">
        <is>
          <t>LV 600 V</t>
        </is>
      </c>
      <c r="J5062" s="12" t="inlineStr">
        <is>
          <t>Type TC-ER 600 V 3/C Cu XHHW-2 + ground, PVC jacket</t>
        </is>
      </c>
      <c r="K5062" s="12" t="inlineStr">
        <is>
          <t>LV|3/C+G|8</t>
        </is>
      </c>
      <c r="L5062" s="12" t="inlineStr">
        <is>
          <t>3/C+G</t>
        </is>
      </c>
      <c r="M5062" s="12" t="inlineStr">
        <is>
          <t>8</t>
        </is>
      </c>
      <c r="N5062" s="12" t="n">
        <v>1</v>
      </c>
      <c r="O5062" s="12" t="n">
        <v>1</v>
      </c>
      <c r="P5062" s="12" t="n">
        <v>480</v>
      </c>
      <c r="Q5062" s="12" t="n">
        <v>22</v>
      </c>
      <c r="R5062" s="12" t="n">
        <v>31.1</v>
      </c>
      <c r="S5062" s="12" t="inlineStr">
        <is>
          <t>Tray</t>
        </is>
      </c>
      <c r="T5062" s="16" t="n">
        <v>0</v>
      </c>
      <c r="U5062" s="16" t="n">
        <v>189</v>
      </c>
      <c r="V5062" s="16">
        <f>ROUNDUP((T5062+U5062+2*'Read Me'!$B$13)*(1+'Read Me'!$B$12),-1)</f>
        <v/>
      </c>
      <c r="W5062" s="16">
        <f>V5062*N5062*O5062</f>
        <v/>
      </c>
      <c r="X5062" s="12">
        <f>IF(LEFT(I5062,2)="MV",2*N5062*IF(L5062="1/C",O5062,1),0)</f>
        <v/>
      </c>
      <c r="Y5062" s="12">
        <f>IF(OR(LEFT(K5062,4)="LVAX",LEFT(K5062,6)="MV15AX",LEFT(K5062,4)="CTAX",LEFT(K5062,2)="W|"),2*N5062*O5062,0)</f>
        <v/>
      </c>
      <c r="Z5062" s="12" t="inlineStr">
        <is>
          <t>VD 1.8 %</t>
        </is>
      </c>
      <c r="AA5062" s="12">
        <f>N5062*O5062</f>
        <v/>
      </c>
    </row>
    <row r="5063">
      <c r="A5063" s="12" t="inlineStr">
        <is>
          <t>I-P-0161</t>
        </is>
      </c>
      <c r="B5063" s="12" t="inlineStr">
        <is>
          <t>I</t>
        </is>
      </c>
      <c r="C5063" s="12" t="inlineStr">
        <is>
          <t>Modular / portable power</t>
        </is>
      </c>
      <c r="D5063" s="12" t="inlineStr">
        <is>
          <t>Motor 5 of 6, 22 kW</t>
        </is>
      </c>
      <c r="E5063" s="12" t="inlineStr"/>
      <c r="F5063" s="12" t="inlineStr">
        <is>
          <t>PCM: power control module</t>
        </is>
      </c>
      <c r="G5063" s="12" t="inlineStr">
        <is>
          <t>RICE-7</t>
        </is>
      </c>
      <c r="H5063" s="12" t="inlineStr">
        <is>
          <t>RICE engine-generator 7</t>
        </is>
      </c>
      <c r="I5063" s="12" t="inlineStr">
        <is>
          <t>LV 600 V</t>
        </is>
      </c>
      <c r="J5063" s="12" t="inlineStr">
        <is>
          <t>Type TC-ER 600 V 3/C Cu XHHW-2 + ground, PVC jacket</t>
        </is>
      </c>
      <c r="K5063" s="12" t="inlineStr">
        <is>
          <t>LV|3/C+G|8</t>
        </is>
      </c>
      <c r="L5063" s="12" t="inlineStr">
        <is>
          <t>3/C+G</t>
        </is>
      </c>
      <c r="M5063" s="12" t="inlineStr">
        <is>
          <t>8</t>
        </is>
      </c>
      <c r="N5063" s="12" t="n">
        <v>1</v>
      </c>
      <c r="O5063" s="12" t="n">
        <v>1</v>
      </c>
      <c r="P5063" s="12" t="n">
        <v>480</v>
      </c>
      <c r="Q5063" s="12" t="n">
        <v>22</v>
      </c>
      <c r="R5063" s="12" t="n">
        <v>31.1</v>
      </c>
      <c r="S5063" s="12" t="inlineStr">
        <is>
          <t>Tray</t>
        </is>
      </c>
      <c r="T5063" s="16" t="n">
        <v>0</v>
      </c>
      <c r="U5063" s="16" t="n">
        <v>189</v>
      </c>
      <c r="V5063" s="16">
        <f>ROUNDUP((T5063+U5063+2*'Read Me'!$B$13)*(1+'Read Me'!$B$12),-1)</f>
        <v/>
      </c>
      <c r="W5063" s="16">
        <f>V5063*N5063*O5063</f>
        <v/>
      </c>
      <c r="X5063" s="12">
        <f>IF(LEFT(I5063,2)="MV",2*N5063*IF(L5063="1/C",O5063,1),0)</f>
        <v/>
      </c>
      <c r="Y5063" s="12">
        <f>IF(OR(LEFT(K5063,4)="LVAX",LEFT(K5063,6)="MV15AX",LEFT(K5063,4)="CTAX",LEFT(K5063,2)="W|"),2*N5063*O5063,0)</f>
        <v/>
      </c>
      <c r="Z5063" s="12" t="inlineStr">
        <is>
          <t>VD 1.8 %</t>
        </is>
      </c>
      <c r="AA5063" s="12">
        <f>N5063*O5063</f>
        <v/>
      </c>
    </row>
    <row r="5064">
      <c r="A5064" s="12" t="inlineStr">
        <is>
          <t>I-P-0162</t>
        </is>
      </c>
      <c r="B5064" s="12" t="inlineStr">
        <is>
          <t>I</t>
        </is>
      </c>
      <c r="C5064" s="12" t="inlineStr">
        <is>
          <t>Modular / portable power</t>
        </is>
      </c>
      <c r="D5064" s="12" t="inlineStr">
        <is>
          <t>Motor 6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6" t="n">
        <v>0</v>
      </c>
      <c r="U5064" s="16" t="n">
        <v>189</v>
      </c>
      <c r="V5064" s="16">
        <f>ROUNDUP((T5064+U5064+2*'Read Me'!$B$13)*(1+'Read Me'!$B$12),-1)</f>
        <v/>
      </c>
      <c r="W5064" s="16">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I-P-0163</t>
        </is>
      </c>
      <c r="B5065" s="12" t="inlineStr">
        <is>
          <t>I</t>
        </is>
      </c>
      <c r="C5065" s="12" t="inlineStr">
        <is>
          <t>Modular / portable power</t>
        </is>
      </c>
      <c r="D5065" s="12" t="inlineStr">
        <is>
          <t>480 V welding receptacle 1</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LV|3/C+G|2</t>
        </is>
      </c>
      <c r="L5065" s="12" t="inlineStr">
        <is>
          <t>3/C+G</t>
        </is>
      </c>
      <c r="M5065" s="12" t="inlineStr">
        <is>
          <t>2</t>
        </is>
      </c>
      <c r="N5065" s="12" t="n">
        <v>1</v>
      </c>
      <c r="O5065" s="12" t="n">
        <v>1</v>
      </c>
      <c r="P5065" s="12" t="n">
        <v>480</v>
      </c>
      <c r="Q5065" s="12" t="n">
        <v>60</v>
      </c>
      <c r="R5065" s="12" t="n">
        <v>76</v>
      </c>
      <c r="S5065" s="12" t="inlineStr">
        <is>
          <t>Tray</t>
        </is>
      </c>
      <c r="T5065" s="16" t="n">
        <v>0</v>
      </c>
      <c r="U5065" s="16" t="n">
        <v>189</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I-P-0164</t>
        </is>
      </c>
      <c r="B5066" s="12" t="inlineStr">
        <is>
          <t>I</t>
        </is>
      </c>
      <c r="C5066" s="12" t="inlineStr">
        <is>
          <t>Modular / portable power</t>
        </is>
      </c>
      <c r="D5066" s="12" t="inlineStr">
        <is>
          <t>480 V welding receptacle 2</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LV|3/C+G|2</t>
        </is>
      </c>
      <c r="L5066" s="12" t="inlineStr">
        <is>
          <t>3/C+G</t>
        </is>
      </c>
      <c r="M5066" s="12" t="inlineStr">
        <is>
          <t>2</t>
        </is>
      </c>
      <c r="N5066" s="12" t="n">
        <v>1</v>
      </c>
      <c r="O5066" s="12" t="n">
        <v>1</v>
      </c>
      <c r="P5066" s="12" t="n">
        <v>480</v>
      </c>
      <c r="Q5066" s="12" t="n">
        <v>60</v>
      </c>
      <c r="R5066" s="12" t="n">
        <v>76</v>
      </c>
      <c r="S5066" s="12" t="inlineStr">
        <is>
          <t>Tray</t>
        </is>
      </c>
      <c r="T5066" s="16" t="n">
        <v>0</v>
      </c>
      <c r="U5066" s="16" t="n">
        <v>189</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I-P-0165</t>
        </is>
      </c>
      <c r="B5067" s="12" t="inlineStr">
        <is>
          <t>I</t>
        </is>
      </c>
      <c r="C5067" s="12" t="inlineStr">
        <is>
          <t>Modular / portable power</t>
        </is>
      </c>
      <c r="D5067" s="12" t="inlineStr">
        <is>
          <t>480 V welding receptacle 3</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LV|3/C+G|2</t>
        </is>
      </c>
      <c r="L5067" s="12" t="inlineStr">
        <is>
          <t>3/C+G</t>
        </is>
      </c>
      <c r="M5067" s="12" t="inlineStr">
        <is>
          <t>2</t>
        </is>
      </c>
      <c r="N5067" s="12" t="n">
        <v>1</v>
      </c>
      <c r="O5067" s="12" t="n">
        <v>1</v>
      </c>
      <c r="P5067" s="12" t="n">
        <v>480</v>
      </c>
      <c r="Q5067" s="12" t="n">
        <v>60</v>
      </c>
      <c r="R5067" s="12" t="n">
        <v>76</v>
      </c>
      <c r="S5067" s="12" t="inlineStr">
        <is>
          <t>Tray</t>
        </is>
      </c>
      <c r="T5067" s="16" t="n">
        <v>0</v>
      </c>
      <c r="U5067" s="16" t="n">
        <v>189</v>
      </c>
      <c r="V5067" s="16">
        <f>ROUNDUP((T5067+U5067+2*'Read Me'!$B$13)*(1+'Read Me'!$B$12),-1)</f>
        <v/>
      </c>
      <c r="W5067" s="16">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I-P-0166</t>
        </is>
      </c>
      <c r="B5068" s="12" t="inlineStr">
        <is>
          <t>I</t>
        </is>
      </c>
      <c r="C5068" s="12" t="inlineStr">
        <is>
          <t>Modular / portable power</t>
        </is>
      </c>
      <c r="D5068" s="12" t="inlineStr">
        <is>
          <t>480 V welding receptacle 4</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LV|3/C+G|2</t>
        </is>
      </c>
      <c r="L5068" s="12" t="inlineStr">
        <is>
          <t>3/C+G</t>
        </is>
      </c>
      <c r="M5068" s="12" t="inlineStr">
        <is>
          <t>2</t>
        </is>
      </c>
      <c r="N5068" s="12" t="n">
        <v>1</v>
      </c>
      <c r="O5068" s="12" t="n">
        <v>1</v>
      </c>
      <c r="P5068" s="12" t="n">
        <v>480</v>
      </c>
      <c r="Q5068" s="12" t="n">
        <v>60</v>
      </c>
      <c r="R5068" s="12" t="n">
        <v>76</v>
      </c>
      <c r="S5068" s="12" t="inlineStr">
        <is>
          <t>Tray</t>
        </is>
      </c>
      <c r="T5068" s="16" t="n">
        <v>0</v>
      </c>
      <c r="U5068" s="16" t="n">
        <v>189</v>
      </c>
      <c r="V5068" s="16">
        <f>ROUNDUP((T5068+U5068+2*'Read Me'!$B$13)*(1+'Read Me'!$B$12),-1)</f>
        <v/>
      </c>
      <c r="W5068" s="16">
        <f>V5068*N5068*O5068</f>
        <v/>
      </c>
      <c r="X5068" s="12">
        <f>IF(LEFT(I5068,2)="MV",2*N5068*IF(L5068="1/C",O5068,1),0)</f>
        <v/>
      </c>
      <c r="Y5068" s="12">
        <f>IF(OR(LEFT(K5068,4)="LVAX",LEFT(K5068,6)="MV15AX",LEFT(K5068,4)="CTAX",LEFT(K5068,2)="W|"),2*N5068*O5068,0)</f>
        <v/>
      </c>
      <c r="Z5068" s="12" t="inlineStr">
        <is>
          <t>VD 1.1 %</t>
        </is>
      </c>
      <c r="AA5068" s="12">
        <f>N5068*O5068</f>
        <v/>
      </c>
    </row>
    <row r="5069">
      <c r="A5069" s="12" t="inlineStr">
        <is>
          <t>I-P-0167</t>
        </is>
      </c>
      <c r="B5069" s="12" t="inlineStr">
        <is>
          <t>I</t>
        </is>
      </c>
      <c r="C5069" s="12" t="inlineStr">
        <is>
          <t>Modular / portable power</t>
        </is>
      </c>
      <c r="D5069" s="12" t="inlineStr">
        <is>
          <t>Motor 1 of 6, 22 kW</t>
        </is>
      </c>
      <c r="E5069" s="12" t="inlineStr"/>
      <c r="F5069" s="12" t="inlineStr">
        <is>
          <t>PCM: power control module</t>
        </is>
      </c>
      <c r="G5069" s="12" t="inlineStr">
        <is>
          <t>RICE-8</t>
        </is>
      </c>
      <c r="H5069" s="12" t="inlineStr">
        <is>
          <t>RICE engine-generator 8</t>
        </is>
      </c>
      <c r="I5069" s="12" t="inlineStr">
        <is>
          <t>LV 600 V</t>
        </is>
      </c>
      <c r="J5069" s="12" t="inlineStr">
        <is>
          <t>Type TC-ER 600 V 3/C Cu XHHW-2 + ground, PVC jacket</t>
        </is>
      </c>
      <c r="K5069" s="12" t="inlineStr">
        <is>
          <t>LV|3/C+G|8</t>
        </is>
      </c>
      <c r="L5069" s="12" t="inlineStr">
        <is>
          <t>3/C+G</t>
        </is>
      </c>
      <c r="M5069" s="12" t="inlineStr">
        <is>
          <t>8</t>
        </is>
      </c>
      <c r="N5069" s="12" t="n">
        <v>1</v>
      </c>
      <c r="O5069" s="12" t="n">
        <v>1</v>
      </c>
      <c r="P5069" s="12" t="n">
        <v>480</v>
      </c>
      <c r="Q5069" s="12" t="n">
        <v>22</v>
      </c>
      <c r="R5069" s="12" t="n">
        <v>31.1</v>
      </c>
      <c r="S5069" s="12" t="inlineStr">
        <is>
          <t>Tray</t>
        </is>
      </c>
      <c r="T5069" s="16" t="n">
        <v>0</v>
      </c>
      <c r="U5069" s="16" t="n">
        <v>161</v>
      </c>
      <c r="V5069" s="16">
        <f>ROUNDUP((T5069+U5069+2*'Read Me'!$B$13)*(1+'Read Me'!$B$12),-1)</f>
        <v/>
      </c>
      <c r="W5069" s="16">
        <f>V5069*N5069*O5069</f>
        <v/>
      </c>
      <c r="X5069" s="12">
        <f>IF(LEFT(I5069,2)="MV",2*N5069*IF(L5069="1/C",O5069,1),0)</f>
        <v/>
      </c>
      <c r="Y5069" s="12">
        <f>IF(OR(LEFT(K5069,4)="LVAX",LEFT(K5069,6)="MV15AX",LEFT(K5069,4)="CTAX",LEFT(K5069,2)="W|"),2*N5069*O5069,0)</f>
        <v/>
      </c>
      <c r="Z5069" s="12" t="inlineStr">
        <is>
          <t>VD 1.5 %</t>
        </is>
      </c>
      <c r="AA5069" s="12">
        <f>N5069*O5069</f>
        <v/>
      </c>
    </row>
    <row r="5070">
      <c r="A5070" s="12" t="inlineStr">
        <is>
          <t>I-P-0168</t>
        </is>
      </c>
      <c r="B5070" s="12" t="inlineStr">
        <is>
          <t>I</t>
        </is>
      </c>
      <c r="C5070" s="12" t="inlineStr">
        <is>
          <t>Modular / portable power</t>
        </is>
      </c>
      <c r="D5070" s="12" t="inlineStr">
        <is>
          <t>Motor 2 of 6, 22 kW</t>
        </is>
      </c>
      <c r="E5070" s="12" t="inlineStr"/>
      <c r="F5070" s="12" t="inlineStr">
        <is>
          <t>PCM: power control module</t>
        </is>
      </c>
      <c r="G5070" s="12" t="inlineStr">
        <is>
          <t>RICE-8</t>
        </is>
      </c>
      <c r="H5070" s="12" t="inlineStr">
        <is>
          <t>RICE engine-generator 8</t>
        </is>
      </c>
      <c r="I5070" s="12" t="inlineStr">
        <is>
          <t>LV 600 V</t>
        </is>
      </c>
      <c r="J5070" s="12" t="inlineStr">
        <is>
          <t>Type TC-ER 600 V 3/C Cu XHHW-2 + ground, PVC jacket</t>
        </is>
      </c>
      <c r="K5070" s="12" t="inlineStr">
        <is>
          <t>LV|3/C+G|8</t>
        </is>
      </c>
      <c r="L5070" s="12" t="inlineStr">
        <is>
          <t>3/C+G</t>
        </is>
      </c>
      <c r="M5070" s="12" t="inlineStr">
        <is>
          <t>8</t>
        </is>
      </c>
      <c r="N5070" s="12" t="n">
        <v>1</v>
      </c>
      <c r="O5070" s="12" t="n">
        <v>1</v>
      </c>
      <c r="P5070" s="12" t="n">
        <v>480</v>
      </c>
      <c r="Q5070" s="12" t="n">
        <v>22</v>
      </c>
      <c r="R5070" s="12" t="n">
        <v>31.1</v>
      </c>
      <c r="S5070" s="12" t="inlineStr">
        <is>
          <t>Tray</t>
        </is>
      </c>
      <c r="T5070" s="16" t="n">
        <v>0</v>
      </c>
      <c r="U5070" s="16" t="n">
        <v>161</v>
      </c>
      <c r="V5070" s="16">
        <f>ROUNDUP((T5070+U5070+2*'Read Me'!$B$13)*(1+'Read Me'!$B$12),-1)</f>
        <v/>
      </c>
      <c r="W5070" s="16">
        <f>V5070*N5070*O5070</f>
        <v/>
      </c>
      <c r="X5070" s="12">
        <f>IF(LEFT(I5070,2)="MV",2*N5070*IF(L5070="1/C",O5070,1),0)</f>
        <v/>
      </c>
      <c r="Y5070" s="12">
        <f>IF(OR(LEFT(K5070,4)="LVAX",LEFT(K5070,6)="MV15AX",LEFT(K5070,4)="CTAX",LEFT(K5070,2)="W|"),2*N5070*O5070,0)</f>
        <v/>
      </c>
      <c r="Z5070" s="12" t="inlineStr">
        <is>
          <t>VD 1.5 %</t>
        </is>
      </c>
      <c r="AA5070" s="12">
        <f>N5070*O5070</f>
        <v/>
      </c>
    </row>
    <row r="5071">
      <c r="A5071" s="12" t="inlineStr">
        <is>
          <t>I-P-0169</t>
        </is>
      </c>
      <c r="B5071" s="12" t="inlineStr">
        <is>
          <t>I</t>
        </is>
      </c>
      <c r="C5071" s="12" t="inlineStr">
        <is>
          <t>Modular / portable power</t>
        </is>
      </c>
      <c r="D5071" s="12" t="inlineStr">
        <is>
          <t>Motor 3 of 6, 22 kW</t>
        </is>
      </c>
      <c r="E5071" s="12" t="inlineStr"/>
      <c r="F5071" s="12" t="inlineStr">
        <is>
          <t>PCM: power control module</t>
        </is>
      </c>
      <c r="G5071" s="12" t="inlineStr">
        <is>
          <t>RICE-8</t>
        </is>
      </c>
      <c r="H5071" s="12" t="inlineStr">
        <is>
          <t>RICE engine-generator 8</t>
        </is>
      </c>
      <c r="I5071" s="12" t="inlineStr">
        <is>
          <t>LV 600 V</t>
        </is>
      </c>
      <c r="J5071" s="12" t="inlineStr">
        <is>
          <t>Type TC-ER 600 V 3/C Cu XHHW-2 + ground, PVC jacket</t>
        </is>
      </c>
      <c r="K5071" s="12" t="inlineStr">
        <is>
          <t>LV|3/C+G|8</t>
        </is>
      </c>
      <c r="L5071" s="12" t="inlineStr">
        <is>
          <t>3/C+G</t>
        </is>
      </c>
      <c r="M5071" s="12" t="inlineStr">
        <is>
          <t>8</t>
        </is>
      </c>
      <c r="N5071" s="12" t="n">
        <v>1</v>
      </c>
      <c r="O5071" s="12" t="n">
        <v>1</v>
      </c>
      <c r="P5071" s="12" t="n">
        <v>480</v>
      </c>
      <c r="Q5071" s="12" t="n">
        <v>22</v>
      </c>
      <c r="R5071" s="12" t="n">
        <v>31.1</v>
      </c>
      <c r="S5071" s="12" t="inlineStr">
        <is>
          <t>Tray</t>
        </is>
      </c>
      <c r="T5071" s="16" t="n">
        <v>0</v>
      </c>
      <c r="U5071" s="16" t="n">
        <v>161</v>
      </c>
      <c r="V5071" s="16">
        <f>ROUNDUP((T5071+U5071+2*'Read Me'!$B$13)*(1+'Read Me'!$B$12),-1)</f>
        <v/>
      </c>
      <c r="W5071" s="16">
        <f>V5071*N5071*O5071</f>
        <v/>
      </c>
      <c r="X5071" s="12">
        <f>IF(LEFT(I5071,2)="MV",2*N5071*IF(L5071="1/C",O5071,1),0)</f>
        <v/>
      </c>
      <c r="Y5071" s="12">
        <f>IF(OR(LEFT(K5071,4)="LVAX",LEFT(K5071,6)="MV15AX",LEFT(K5071,4)="CTAX",LEFT(K5071,2)="W|"),2*N5071*O5071,0)</f>
        <v/>
      </c>
      <c r="Z5071" s="12" t="inlineStr">
        <is>
          <t>VD 1.5 %</t>
        </is>
      </c>
      <c r="AA5071" s="12">
        <f>N5071*O5071</f>
        <v/>
      </c>
    </row>
    <row r="5072">
      <c r="A5072" s="12" t="inlineStr">
        <is>
          <t>I-P-0170</t>
        </is>
      </c>
      <c r="B5072" s="12" t="inlineStr">
        <is>
          <t>I</t>
        </is>
      </c>
      <c r="C5072" s="12" t="inlineStr">
        <is>
          <t>Modular / portable power</t>
        </is>
      </c>
      <c r="D5072" s="12" t="inlineStr">
        <is>
          <t>Motor 4 of 6, 22 kW</t>
        </is>
      </c>
      <c r="E5072" s="12" t="inlineStr"/>
      <c r="F5072" s="12" t="inlineStr">
        <is>
          <t>PCM: power control module</t>
        </is>
      </c>
      <c r="G5072" s="12" t="inlineStr">
        <is>
          <t>RICE-8</t>
        </is>
      </c>
      <c r="H5072" s="12" t="inlineStr">
        <is>
          <t>RICE engine-generator 8</t>
        </is>
      </c>
      <c r="I5072" s="12" t="inlineStr">
        <is>
          <t>LV 600 V</t>
        </is>
      </c>
      <c r="J5072" s="12" t="inlineStr">
        <is>
          <t>Type TC-ER 600 V 3/C Cu XHHW-2 + ground, PVC jacket</t>
        </is>
      </c>
      <c r="K5072" s="12" t="inlineStr">
        <is>
          <t>LV|3/C+G|8</t>
        </is>
      </c>
      <c r="L5072" s="12" t="inlineStr">
        <is>
          <t>3/C+G</t>
        </is>
      </c>
      <c r="M5072" s="12" t="inlineStr">
        <is>
          <t>8</t>
        </is>
      </c>
      <c r="N5072" s="12" t="n">
        <v>1</v>
      </c>
      <c r="O5072" s="12" t="n">
        <v>1</v>
      </c>
      <c r="P5072" s="12" t="n">
        <v>480</v>
      </c>
      <c r="Q5072" s="12" t="n">
        <v>22</v>
      </c>
      <c r="R5072" s="12" t="n">
        <v>31.1</v>
      </c>
      <c r="S5072" s="12" t="inlineStr">
        <is>
          <t>Tray</t>
        </is>
      </c>
      <c r="T5072" s="16" t="n">
        <v>0</v>
      </c>
      <c r="U5072" s="16" t="n">
        <v>161</v>
      </c>
      <c r="V5072" s="16">
        <f>ROUNDUP((T5072+U5072+2*'Read Me'!$B$13)*(1+'Read Me'!$B$12),-1)</f>
        <v/>
      </c>
      <c r="W5072" s="16">
        <f>V5072*N5072*O5072</f>
        <v/>
      </c>
      <c r="X5072" s="12">
        <f>IF(LEFT(I5072,2)="MV",2*N5072*IF(L5072="1/C",O5072,1),0)</f>
        <v/>
      </c>
      <c r="Y5072" s="12">
        <f>IF(OR(LEFT(K5072,4)="LVAX",LEFT(K5072,6)="MV15AX",LEFT(K5072,4)="CTAX",LEFT(K5072,2)="W|"),2*N5072*O5072,0)</f>
        <v/>
      </c>
      <c r="Z5072" s="12" t="inlineStr">
        <is>
          <t>VD 1.5 %</t>
        </is>
      </c>
      <c r="AA5072" s="12">
        <f>N5072*O5072</f>
        <v/>
      </c>
    </row>
    <row r="5073">
      <c r="A5073" s="12" t="inlineStr">
        <is>
          <t>I-P-0171</t>
        </is>
      </c>
      <c r="B5073" s="12" t="inlineStr">
        <is>
          <t>I</t>
        </is>
      </c>
      <c r="C5073" s="12" t="inlineStr">
        <is>
          <t>Modular / portable power</t>
        </is>
      </c>
      <c r="D5073" s="12" t="inlineStr">
        <is>
          <t>Motor 5 of 6, 22 kW</t>
        </is>
      </c>
      <c r="E5073" s="12" t="inlineStr"/>
      <c r="F5073" s="12" t="inlineStr">
        <is>
          <t>PCM: power control module</t>
        </is>
      </c>
      <c r="G5073" s="12" t="inlineStr">
        <is>
          <t>RICE-8</t>
        </is>
      </c>
      <c r="H5073" s="12" t="inlineStr">
        <is>
          <t>RICE engine-generator 8</t>
        </is>
      </c>
      <c r="I5073" s="12" t="inlineStr">
        <is>
          <t>LV 600 V</t>
        </is>
      </c>
      <c r="J5073" s="12" t="inlineStr">
        <is>
          <t>Type TC-ER 600 V 3/C Cu XHHW-2 + ground, PVC jacket</t>
        </is>
      </c>
      <c r="K5073" s="12" t="inlineStr">
        <is>
          <t>LV|3/C+G|8</t>
        </is>
      </c>
      <c r="L5073" s="12" t="inlineStr">
        <is>
          <t>3/C+G</t>
        </is>
      </c>
      <c r="M5073" s="12" t="inlineStr">
        <is>
          <t>8</t>
        </is>
      </c>
      <c r="N5073" s="12" t="n">
        <v>1</v>
      </c>
      <c r="O5073" s="12" t="n">
        <v>1</v>
      </c>
      <c r="P5073" s="12" t="n">
        <v>480</v>
      </c>
      <c r="Q5073" s="12" t="n">
        <v>22</v>
      </c>
      <c r="R5073" s="12" t="n">
        <v>31.1</v>
      </c>
      <c r="S5073" s="12" t="inlineStr">
        <is>
          <t>Tray</t>
        </is>
      </c>
      <c r="T5073" s="16" t="n">
        <v>0</v>
      </c>
      <c r="U5073" s="16" t="n">
        <v>161</v>
      </c>
      <c r="V5073" s="16">
        <f>ROUNDUP((T5073+U5073+2*'Read Me'!$B$13)*(1+'Read Me'!$B$12),-1)</f>
        <v/>
      </c>
      <c r="W5073" s="16">
        <f>V5073*N5073*O5073</f>
        <v/>
      </c>
      <c r="X5073" s="12">
        <f>IF(LEFT(I5073,2)="MV",2*N5073*IF(L5073="1/C",O5073,1),0)</f>
        <v/>
      </c>
      <c r="Y5073" s="12">
        <f>IF(OR(LEFT(K5073,4)="LVAX",LEFT(K5073,6)="MV15AX",LEFT(K5073,4)="CTAX",LEFT(K5073,2)="W|"),2*N5073*O5073,0)</f>
        <v/>
      </c>
      <c r="Z5073" s="12" t="inlineStr">
        <is>
          <t>VD 1.5 %</t>
        </is>
      </c>
      <c r="AA5073" s="12">
        <f>N5073*O5073</f>
        <v/>
      </c>
    </row>
    <row r="5074">
      <c r="A5074" s="12" t="inlineStr">
        <is>
          <t>I-P-0172</t>
        </is>
      </c>
      <c r="B5074" s="12" t="inlineStr">
        <is>
          <t>I</t>
        </is>
      </c>
      <c r="C5074" s="12" t="inlineStr">
        <is>
          <t>Modular / portable power</t>
        </is>
      </c>
      <c r="D5074" s="12" t="inlineStr">
        <is>
          <t>Motor 6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6" t="n">
        <v>0</v>
      </c>
      <c r="U5074" s="16" t="n">
        <v>161</v>
      </c>
      <c r="V5074" s="16">
        <f>ROUNDUP((T5074+U5074+2*'Read Me'!$B$13)*(1+'Read Me'!$B$12),-1)</f>
        <v/>
      </c>
      <c r="W5074" s="16">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I-P-0173</t>
        </is>
      </c>
      <c r="B5075" s="12" t="inlineStr">
        <is>
          <t>I</t>
        </is>
      </c>
      <c r="C5075" s="12" t="inlineStr">
        <is>
          <t>Modular / portable power</t>
        </is>
      </c>
      <c r="D5075" s="12" t="inlineStr">
        <is>
          <t>480 V welding receptacle 1</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LV|3/C+G|2</t>
        </is>
      </c>
      <c r="L5075" s="12" t="inlineStr">
        <is>
          <t>3/C+G</t>
        </is>
      </c>
      <c r="M5075" s="12" t="inlineStr">
        <is>
          <t>2</t>
        </is>
      </c>
      <c r="N5075" s="12" t="n">
        <v>1</v>
      </c>
      <c r="O5075" s="12" t="n">
        <v>1</v>
      </c>
      <c r="P5075" s="12" t="n">
        <v>480</v>
      </c>
      <c r="Q5075" s="12" t="n">
        <v>60</v>
      </c>
      <c r="R5075" s="12" t="n">
        <v>76</v>
      </c>
      <c r="S5075" s="12" t="inlineStr">
        <is>
          <t>Tray</t>
        </is>
      </c>
      <c r="T5075" s="16" t="n">
        <v>0</v>
      </c>
      <c r="U5075" s="16" t="n">
        <v>161</v>
      </c>
      <c r="V5075" s="16">
        <f>ROUNDUP((T5075+U5075+2*'Read Me'!$B$13)*(1+'Read Me'!$B$12),-1)</f>
        <v/>
      </c>
      <c r="W5075" s="16">
        <f>V5075*N5075*O5075</f>
        <v/>
      </c>
      <c r="X5075" s="12">
        <f>IF(LEFT(I5075,2)="MV",2*N5075*IF(L5075="1/C",O5075,1),0)</f>
        <v/>
      </c>
      <c r="Y5075" s="12">
        <f>IF(OR(LEFT(K5075,4)="LVAX",LEFT(K5075,6)="MV15AX",LEFT(K5075,4)="CTAX",LEFT(K5075,2)="W|"),2*N5075*O5075,0)</f>
        <v/>
      </c>
      <c r="Z5075" s="12" t="inlineStr">
        <is>
          <t>VD 0.9 %</t>
        </is>
      </c>
      <c r="AA5075" s="12">
        <f>N5075*O5075</f>
        <v/>
      </c>
    </row>
    <row r="5076">
      <c r="A5076" s="12" t="inlineStr">
        <is>
          <t>I-P-0174</t>
        </is>
      </c>
      <c r="B5076" s="12" t="inlineStr">
        <is>
          <t>I</t>
        </is>
      </c>
      <c r="C5076" s="12" t="inlineStr">
        <is>
          <t>Modular / portable power</t>
        </is>
      </c>
      <c r="D5076" s="12" t="inlineStr">
        <is>
          <t>480 V welding receptacle 2</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LV|3/C+G|2</t>
        </is>
      </c>
      <c r="L5076" s="12" t="inlineStr">
        <is>
          <t>3/C+G</t>
        </is>
      </c>
      <c r="M5076" s="12" t="inlineStr">
        <is>
          <t>2</t>
        </is>
      </c>
      <c r="N5076" s="12" t="n">
        <v>1</v>
      </c>
      <c r="O5076" s="12" t="n">
        <v>1</v>
      </c>
      <c r="P5076" s="12" t="n">
        <v>480</v>
      </c>
      <c r="Q5076" s="12" t="n">
        <v>60</v>
      </c>
      <c r="R5076" s="12" t="n">
        <v>76</v>
      </c>
      <c r="S5076" s="12" t="inlineStr">
        <is>
          <t>Tray</t>
        </is>
      </c>
      <c r="T5076" s="16" t="n">
        <v>0</v>
      </c>
      <c r="U5076" s="16" t="n">
        <v>161</v>
      </c>
      <c r="V5076" s="16">
        <f>ROUNDUP((T5076+U5076+2*'Read Me'!$B$13)*(1+'Read Me'!$B$12),-1)</f>
        <v/>
      </c>
      <c r="W5076" s="16">
        <f>V5076*N5076*O5076</f>
        <v/>
      </c>
      <c r="X5076" s="12">
        <f>IF(LEFT(I5076,2)="MV",2*N5076*IF(L5076="1/C",O5076,1),0)</f>
        <v/>
      </c>
      <c r="Y5076" s="12">
        <f>IF(OR(LEFT(K5076,4)="LVAX",LEFT(K5076,6)="MV15AX",LEFT(K5076,4)="CTAX",LEFT(K5076,2)="W|"),2*N5076*O5076,0)</f>
        <v/>
      </c>
      <c r="Z5076" s="12" t="inlineStr">
        <is>
          <t>VD 0.9 %</t>
        </is>
      </c>
      <c r="AA5076" s="12">
        <f>N5076*O5076</f>
        <v/>
      </c>
    </row>
    <row r="5077">
      <c r="A5077" s="12" t="inlineStr">
        <is>
          <t>I-P-0175</t>
        </is>
      </c>
      <c r="B5077" s="12" t="inlineStr">
        <is>
          <t>I</t>
        </is>
      </c>
      <c r="C5077" s="12" t="inlineStr">
        <is>
          <t>Modular / portable power</t>
        </is>
      </c>
      <c r="D5077" s="12" t="inlineStr">
        <is>
          <t>480 V welding receptacle 3</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LV|3/C+G|2</t>
        </is>
      </c>
      <c r="L5077" s="12" t="inlineStr">
        <is>
          <t>3/C+G</t>
        </is>
      </c>
      <c r="M5077" s="12" t="inlineStr">
        <is>
          <t>2</t>
        </is>
      </c>
      <c r="N5077" s="12" t="n">
        <v>1</v>
      </c>
      <c r="O5077" s="12" t="n">
        <v>1</v>
      </c>
      <c r="P5077" s="12" t="n">
        <v>480</v>
      </c>
      <c r="Q5077" s="12" t="n">
        <v>60</v>
      </c>
      <c r="R5077" s="12" t="n">
        <v>76</v>
      </c>
      <c r="S5077" s="12" t="inlineStr">
        <is>
          <t>Tray</t>
        </is>
      </c>
      <c r="T5077" s="16" t="n">
        <v>0</v>
      </c>
      <c r="U5077" s="16" t="n">
        <v>161</v>
      </c>
      <c r="V5077" s="16">
        <f>ROUNDUP((T5077+U5077+2*'Read Me'!$B$13)*(1+'Read Me'!$B$12),-1)</f>
        <v/>
      </c>
      <c r="W5077" s="16">
        <f>V5077*N5077*O5077</f>
        <v/>
      </c>
      <c r="X5077" s="12">
        <f>IF(LEFT(I5077,2)="MV",2*N5077*IF(L5077="1/C",O5077,1),0)</f>
        <v/>
      </c>
      <c r="Y5077" s="12">
        <f>IF(OR(LEFT(K5077,4)="LVAX",LEFT(K5077,6)="MV15AX",LEFT(K5077,4)="CTAX",LEFT(K5077,2)="W|"),2*N5077*O5077,0)</f>
        <v/>
      </c>
      <c r="Z5077" s="12" t="inlineStr">
        <is>
          <t>VD 0.9 %</t>
        </is>
      </c>
      <c r="AA5077" s="12">
        <f>N5077*O5077</f>
        <v/>
      </c>
    </row>
    <row r="5078">
      <c r="A5078" s="12" t="inlineStr">
        <is>
          <t>I-P-0176</t>
        </is>
      </c>
      <c r="B5078" s="12" t="inlineStr">
        <is>
          <t>I</t>
        </is>
      </c>
      <c r="C5078" s="12" t="inlineStr">
        <is>
          <t>Modular / portable power</t>
        </is>
      </c>
      <c r="D5078" s="12" t="inlineStr">
        <is>
          <t>480 V welding receptacle 4</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LV|3/C+G|2</t>
        </is>
      </c>
      <c r="L5078" s="12" t="inlineStr">
        <is>
          <t>3/C+G</t>
        </is>
      </c>
      <c r="M5078" s="12" t="inlineStr">
        <is>
          <t>2</t>
        </is>
      </c>
      <c r="N5078" s="12" t="n">
        <v>1</v>
      </c>
      <c r="O5078" s="12" t="n">
        <v>1</v>
      </c>
      <c r="P5078" s="12" t="n">
        <v>480</v>
      </c>
      <c r="Q5078" s="12" t="n">
        <v>60</v>
      </c>
      <c r="R5078" s="12" t="n">
        <v>76</v>
      </c>
      <c r="S5078" s="12" t="inlineStr">
        <is>
          <t>Tray</t>
        </is>
      </c>
      <c r="T5078" s="16" t="n">
        <v>0</v>
      </c>
      <c r="U5078" s="16" t="n">
        <v>161</v>
      </c>
      <c r="V5078" s="16">
        <f>ROUNDUP((T5078+U5078+2*'Read Me'!$B$13)*(1+'Read Me'!$B$12),-1)</f>
        <v/>
      </c>
      <c r="W5078" s="16">
        <f>V5078*N5078*O5078</f>
        <v/>
      </c>
      <c r="X5078" s="12">
        <f>IF(LEFT(I5078,2)="MV",2*N5078*IF(L5078="1/C",O5078,1),0)</f>
        <v/>
      </c>
      <c r="Y5078" s="12">
        <f>IF(OR(LEFT(K5078,4)="LVAX",LEFT(K5078,6)="MV15AX",LEFT(K5078,4)="CTAX",LEFT(K5078,2)="W|"),2*N5078*O5078,0)</f>
        <v/>
      </c>
      <c r="Z5078" s="12" t="inlineStr">
        <is>
          <t>VD 0.9 %</t>
        </is>
      </c>
      <c r="AA5078" s="12">
        <f>N5078*O5078</f>
        <v/>
      </c>
    </row>
    <row r="5079">
      <c r="A5079" s="12" t="inlineStr">
        <is>
          <t>I-P-0177</t>
        </is>
      </c>
      <c r="B5079" s="12" t="inlineStr">
        <is>
          <t>I</t>
        </is>
      </c>
      <c r="C5079" s="12" t="inlineStr">
        <is>
          <t>Modular / portable power</t>
        </is>
      </c>
      <c r="D5079" s="12" t="inlineStr">
        <is>
          <t>LV power feeder</t>
        </is>
      </c>
      <c r="E5079" s="12" t="inlineStr"/>
      <c r="F5079" s="12" t="inlineStr">
        <is>
          <t>PCM: power control module</t>
        </is>
      </c>
      <c r="G5079" s="12" t="inlineStr"/>
      <c r="H5079" s="12" t="inlineStr">
        <is>
          <t>Reagent storage</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15</v>
      </c>
      <c r="R5079" s="12" t="n">
        <v>21.2</v>
      </c>
      <c r="S5079" s="12" t="inlineStr">
        <is>
          <t>Tray</t>
        </is>
      </c>
      <c r="T5079" s="16" t="n">
        <v>32</v>
      </c>
      <c r="U5079" s="16" t="n">
        <v>32</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I-P-0178</t>
        </is>
      </c>
      <c r="B5080" s="12" t="inlineStr">
        <is>
          <t>I</t>
        </is>
      </c>
      <c r="C5080" s="12" t="inlineStr">
        <is>
          <t>Modular / portable power</t>
        </is>
      </c>
      <c r="D5080" s="12" t="inlineStr">
        <is>
          <t>Motor 1 of 2, 30 kW</t>
        </is>
      </c>
      <c r="E5080" s="12" t="inlineStr"/>
      <c r="F5080" s="12" t="inlineStr">
        <is>
          <t>PCM: power control module</t>
        </is>
      </c>
      <c r="G5080" s="12" t="inlineStr"/>
      <c r="H5080" s="12" t="inlineStr">
        <is>
          <t>SC-1 SCR / CO catalyst</t>
        </is>
      </c>
      <c r="I5080" s="12" t="inlineStr">
        <is>
          <t>LV 600 V</t>
        </is>
      </c>
      <c r="J5080" s="12" t="inlineStr">
        <is>
          <t>Type TC-ER 600 V 3/C Cu XHHW-2 + ground, PVC jacket</t>
        </is>
      </c>
      <c r="K5080" s="12" t="inlineStr">
        <is>
          <t>LV|3/C+G|6</t>
        </is>
      </c>
      <c r="L5080" s="12" t="inlineStr">
        <is>
          <t>3/C+G</t>
        </is>
      </c>
      <c r="M5080" s="12" t="inlineStr">
        <is>
          <t>6</t>
        </is>
      </c>
      <c r="N5080" s="12" t="n">
        <v>1</v>
      </c>
      <c r="O5080" s="12" t="n">
        <v>1</v>
      </c>
      <c r="P5080" s="12" t="n">
        <v>480</v>
      </c>
      <c r="Q5080" s="12" t="n">
        <v>30</v>
      </c>
      <c r="R5080" s="12" t="n">
        <v>42.5</v>
      </c>
      <c r="S5080" s="12" t="inlineStr">
        <is>
          <t>Duct bank</t>
        </is>
      </c>
      <c r="T5080" s="16" t="n">
        <v>40</v>
      </c>
      <c r="U5080" s="16" t="n">
        <v>142</v>
      </c>
      <c r="V5080" s="16">
        <f>ROUNDUP((T5080+U5080+2*'Read Me'!$B$13)*(1+'Read Me'!$B$12),-1)</f>
        <v/>
      </c>
      <c r="W5080" s="16">
        <f>V5080*N5080*O5080</f>
        <v/>
      </c>
      <c r="X5080" s="12">
        <f>IF(LEFT(I5080,2)="MV",2*N5080*IF(L5080="1/C",O5080,1),0)</f>
        <v/>
      </c>
      <c r="Y5080" s="12">
        <f>IF(OR(LEFT(K5080,4)="LVAX",LEFT(K5080,6)="MV15AX",LEFT(K5080,4)="CTAX",LEFT(K5080,2)="W|"),2*N5080*O5080,0)</f>
        <v/>
      </c>
      <c r="Z5080" s="12" t="inlineStr">
        <is>
          <t>VD 1.5 %</t>
        </is>
      </c>
      <c r="AA5080" s="12">
        <f>N5080*O5080</f>
        <v/>
      </c>
    </row>
    <row r="5081">
      <c r="A5081" s="12" t="inlineStr">
        <is>
          <t>I-P-0179</t>
        </is>
      </c>
      <c r="B5081" s="12" t="inlineStr">
        <is>
          <t>I</t>
        </is>
      </c>
      <c r="C5081" s="12" t="inlineStr">
        <is>
          <t>Modular / portable power</t>
        </is>
      </c>
      <c r="D5081" s="12" t="inlineStr">
        <is>
          <t>Motor 2 of 2, 30 kW</t>
        </is>
      </c>
      <c r="E5081" s="12" t="inlineStr"/>
      <c r="F5081" s="12" t="inlineStr">
        <is>
          <t>PCM: power control module</t>
        </is>
      </c>
      <c r="G5081" s="12" t="inlineStr"/>
      <c r="H5081" s="12" t="inlineStr">
        <is>
          <t>SC-1 SCR / CO catalyst</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30</v>
      </c>
      <c r="R5081" s="12" t="n">
        <v>42.5</v>
      </c>
      <c r="S5081" s="12" t="inlineStr">
        <is>
          <t>Duct bank</t>
        </is>
      </c>
      <c r="T5081" s="16" t="n">
        <v>40</v>
      </c>
      <c r="U5081" s="16" t="n">
        <v>142</v>
      </c>
      <c r="V5081" s="16">
        <f>ROUNDUP((T5081+U5081+2*'Read Me'!$B$13)*(1+'Read Me'!$B$12),-1)</f>
        <v/>
      </c>
      <c r="W5081" s="16">
        <f>V5081*N5081*O5081</f>
        <v/>
      </c>
      <c r="X5081" s="12">
        <f>IF(LEFT(I5081,2)="MV",2*N5081*IF(L5081="1/C",O5081,1),0)</f>
        <v/>
      </c>
      <c r="Y5081" s="12">
        <f>IF(OR(LEFT(K5081,4)="LVAX",LEFT(K5081,6)="MV15AX",LEFT(K5081,4)="CTAX",LEFT(K5081,2)="W|"),2*N5081*O5081,0)</f>
        <v/>
      </c>
      <c r="Z5081" s="12" t="inlineStr">
        <is>
          <t>VD 1.5 %</t>
        </is>
      </c>
      <c r="AA5081" s="12">
        <f>N5081*O5081</f>
        <v/>
      </c>
    </row>
    <row r="5082">
      <c r="A5082" s="12" t="inlineStr">
        <is>
          <t>I-P-0180</t>
        </is>
      </c>
      <c r="B5082" s="12" t="inlineStr">
        <is>
          <t>I</t>
        </is>
      </c>
      <c r="C5082" s="12" t="inlineStr">
        <is>
          <t>Modular / portable power</t>
        </is>
      </c>
      <c r="D5082" s="12" t="inlineStr">
        <is>
          <t>Motor 1 of 4, 15 kW</t>
        </is>
      </c>
      <c r="E5082" s="12" t="inlineStr"/>
      <c r="F5082" s="12" t="inlineStr">
        <is>
          <t>PCM: power control module</t>
        </is>
      </c>
      <c r="G5082" s="12" t="inlineStr"/>
      <c r="H5082" s="12" t="inlineStr">
        <is>
          <t>SC-1 lube-oil fin-fan cooler</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15</v>
      </c>
      <c r="R5082" s="12" t="n">
        <v>21.2</v>
      </c>
      <c r="S5082" s="12" t="inlineStr">
        <is>
          <t>Duct bank</t>
        </is>
      </c>
      <c r="T5082" s="16" t="n">
        <v>82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1.7 %</t>
        </is>
      </c>
      <c r="AA5082" s="12">
        <f>N5082*O5082</f>
        <v/>
      </c>
    </row>
    <row r="5083">
      <c r="A5083" s="12" t="inlineStr">
        <is>
          <t>I-P-0181</t>
        </is>
      </c>
      <c r="B5083" s="12" t="inlineStr">
        <is>
          <t>I</t>
        </is>
      </c>
      <c r="C5083" s="12" t="inlineStr">
        <is>
          <t>Modular / portable power</t>
        </is>
      </c>
      <c r="D5083" s="12" t="inlineStr">
        <is>
          <t>Motor 2 of 4, 15 kW</t>
        </is>
      </c>
      <c r="E5083" s="12" t="inlineStr"/>
      <c r="F5083" s="12" t="inlineStr">
        <is>
          <t>PCM: power control module</t>
        </is>
      </c>
      <c r="G5083" s="12" t="inlineStr"/>
      <c r="H5083" s="12" t="inlineStr">
        <is>
          <t>SC-1 lube-oil fin-fan cooler</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21.2</v>
      </c>
      <c r="S5083" s="12" t="inlineStr">
        <is>
          <t>Duct bank</t>
        </is>
      </c>
      <c r="T5083" s="16" t="n">
        <v>82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1.7 %</t>
        </is>
      </c>
      <c r="AA5083" s="12">
        <f>N5083*O5083</f>
        <v/>
      </c>
    </row>
    <row r="5084">
      <c r="A5084" s="12" t="inlineStr">
        <is>
          <t>I-P-0182</t>
        </is>
      </c>
      <c r="B5084" s="12" t="inlineStr">
        <is>
          <t>I</t>
        </is>
      </c>
      <c r="C5084" s="12" t="inlineStr">
        <is>
          <t>Modular / portable power</t>
        </is>
      </c>
      <c r="D5084" s="12" t="inlineStr">
        <is>
          <t>Motor 3 of 4, 15 kW</t>
        </is>
      </c>
      <c r="E5084" s="12" t="inlineStr"/>
      <c r="F5084" s="12" t="inlineStr">
        <is>
          <t>PCM: power control module</t>
        </is>
      </c>
      <c r="G5084" s="12" t="inlineStr"/>
      <c r="H5084" s="12" t="inlineStr">
        <is>
          <t>SC-1 lube-oil fin-fan cooler</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Duct bank</t>
        </is>
      </c>
      <c r="T5084" s="16" t="n">
        <v>82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1.7 %</t>
        </is>
      </c>
      <c r="AA5084" s="12">
        <f>N5084*O5084</f>
        <v/>
      </c>
    </row>
    <row r="5085">
      <c r="A5085" s="12" t="inlineStr">
        <is>
          <t>I-P-0183</t>
        </is>
      </c>
      <c r="B5085" s="12" t="inlineStr">
        <is>
          <t>I</t>
        </is>
      </c>
      <c r="C5085" s="12" t="inlineStr">
        <is>
          <t>Modular / portable power</t>
        </is>
      </c>
      <c r="D5085" s="12" t="inlineStr">
        <is>
          <t>Motor 4 of 4, 15 kW</t>
        </is>
      </c>
      <c r="E5085" s="12" t="inlineStr"/>
      <c r="F5085" s="12" t="inlineStr">
        <is>
          <t>PCM: power control module</t>
        </is>
      </c>
      <c r="G5085" s="12" t="inlineStr"/>
      <c r="H5085" s="12" t="inlineStr">
        <is>
          <t>SC-1 lube-oil fin-fan cooler</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21.2</v>
      </c>
      <c r="S5085" s="12" t="inlineStr">
        <is>
          <t>Duct bank</t>
        </is>
      </c>
      <c r="T5085" s="16" t="n">
        <v>82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1.7 %</t>
        </is>
      </c>
      <c r="AA5085" s="12">
        <f>N5085*O5085</f>
        <v/>
      </c>
    </row>
    <row r="5086">
      <c r="A5086" s="12" t="inlineStr">
        <is>
          <t>I-P-0184</t>
        </is>
      </c>
      <c r="B5086" s="12" t="inlineStr">
        <is>
          <t>I</t>
        </is>
      </c>
      <c r="C5086" s="12" t="inlineStr">
        <is>
          <t>Modular / portable power</t>
        </is>
      </c>
      <c r="D5086" s="12" t="inlineStr">
        <is>
          <t>Area / platform lighting circuit 1 (4 fixtures)</t>
        </is>
      </c>
      <c r="E5086" s="12" t="inlineStr"/>
      <c r="F5086" s="12" t="inlineStr">
        <is>
          <t>PCM: power control module</t>
        </is>
      </c>
      <c r="G5086" s="12" t="inlineStr"/>
      <c r="H5086" s="12" t="inlineStr">
        <is>
          <t>SC-1 stack (80 ft)</t>
        </is>
      </c>
      <c r="I5086" s="12" t="inlineStr">
        <is>
          <t>LV 600 V</t>
        </is>
      </c>
      <c r="J5086" s="12" t="inlineStr">
        <is>
          <t>Type TC-ER 600 V 3/C Cu XHHW-2 + ground, PVC jacket</t>
        </is>
      </c>
      <c r="K5086" s="12" t="inlineStr">
        <is>
          <t>LV|3/C+G|2</t>
        </is>
      </c>
      <c r="L5086" s="12" t="inlineStr">
        <is>
          <t>3/C+G</t>
        </is>
      </c>
      <c r="M5086" s="12" t="inlineStr">
        <is>
          <t>2</t>
        </is>
      </c>
      <c r="N5086" s="12" t="n">
        <v>1</v>
      </c>
      <c r="O5086" s="12" t="n">
        <v>1</v>
      </c>
      <c r="P5086" s="12" t="n">
        <v>480</v>
      </c>
      <c r="Q5086" s="12" t="n">
        <v>3</v>
      </c>
      <c r="R5086" s="12" t="n">
        <v>5</v>
      </c>
      <c r="S5086" s="12" t="inlineStr">
        <is>
          <t>HV duct bank</t>
        </is>
      </c>
      <c r="T5086" s="16" t="n">
        <v>4778</v>
      </c>
      <c r="U5086" s="16" t="n">
        <v>144</v>
      </c>
      <c r="V5086" s="16">
        <f>ROUNDUP((T5086+U5086+2*'Read Me'!$B$13)*(1+'Read Me'!$B$12),-1)</f>
        <v/>
      </c>
      <c r="W5086" s="16">
        <f>V5086*N5086*O5086</f>
        <v/>
      </c>
      <c r="X5086" s="12">
        <f>IF(LEFT(I5086,2)="MV",2*N5086*IF(L5086="1/C",O5086,1),0)</f>
        <v/>
      </c>
      <c r="Y5086" s="12">
        <f>IF(OR(LEFT(K5086,4)="LVAX",LEFT(K5086,6)="MV15AX",LEFT(K5086,4)="CTAX",LEFT(K5086,2)="W|"),2*N5086*O5086,0)</f>
        <v/>
      </c>
      <c r="Z5086" s="12" t="inlineStr">
        <is>
          <t>fixture-to-fixture run included</t>
        </is>
      </c>
      <c r="AA5086" s="12">
        <f>N5086*O5086</f>
        <v/>
      </c>
    </row>
    <row r="5087">
      <c r="A5087" s="12" t="inlineStr">
        <is>
          <t>I-P-0185</t>
        </is>
      </c>
      <c r="B5087" s="12" t="inlineStr">
        <is>
          <t>I</t>
        </is>
      </c>
      <c r="C5087" s="12" t="inlineStr">
        <is>
          <t>Modular / portable power</t>
        </is>
      </c>
      <c r="D5087" s="12" t="inlineStr">
        <is>
          <t>Motor 1 of 10, 30 kW</t>
        </is>
      </c>
      <c r="E5087" s="12" t="inlineStr"/>
      <c r="F5087" s="12" t="inlineStr">
        <is>
          <t>PCM: power control module</t>
        </is>
      </c>
      <c r="G5087" s="12" t="inlineStr">
        <is>
          <t>SC-1</t>
        </is>
      </c>
      <c r="H5087" s="12" t="inlineStr">
        <is>
          <t>SC-1: aeroderivative simple-cycle unit (LM6000 class)</t>
        </is>
      </c>
      <c r="I5087" s="12" t="inlineStr">
        <is>
          <t>LV 600 V</t>
        </is>
      </c>
      <c r="J5087" s="12" t="inlineStr">
        <is>
          <t>Type TC-ER 600 V 3/C Cu XHHW-2 + ground, PVC jacket</t>
        </is>
      </c>
      <c r="K5087" s="12" t="inlineStr">
        <is>
          <t>LV|3/C+G|6</t>
        </is>
      </c>
      <c r="L5087" s="12" t="inlineStr">
        <is>
          <t>3/C+G</t>
        </is>
      </c>
      <c r="M5087" s="12" t="inlineStr">
        <is>
          <t>6</t>
        </is>
      </c>
      <c r="N5087" s="12" t="n">
        <v>1</v>
      </c>
      <c r="O5087" s="12" t="n">
        <v>1</v>
      </c>
      <c r="P5087" s="12" t="n">
        <v>480</v>
      </c>
      <c r="Q5087" s="12" t="n">
        <v>30</v>
      </c>
      <c r="R5087" s="12" t="n">
        <v>42.5</v>
      </c>
      <c r="S5087" s="12" t="inlineStr">
        <is>
          <t>Duct bank</t>
        </is>
      </c>
      <c r="T5087" s="16" t="n">
        <v>40</v>
      </c>
      <c r="U5087" s="16" t="n">
        <v>52</v>
      </c>
      <c r="V5087" s="16">
        <f>ROUNDUP((T5087+U5087+2*'Read Me'!$B$13)*(1+'Read Me'!$B$12),-1)</f>
        <v/>
      </c>
      <c r="W5087" s="16">
        <f>V5087*N5087*O5087</f>
        <v/>
      </c>
      <c r="X5087" s="12">
        <f>IF(LEFT(I5087,2)="MV",2*N5087*IF(L5087="1/C",O5087,1),0)</f>
        <v/>
      </c>
      <c r="Y5087" s="12">
        <f>IF(OR(LEFT(K5087,4)="LVAX",LEFT(K5087,6)="MV15AX",LEFT(K5087,4)="CTAX",LEFT(K5087,2)="W|"),2*N5087*O5087,0)</f>
        <v/>
      </c>
      <c r="Z5087" s="12" t="inlineStr">
        <is>
          <t>VD 0.8 %</t>
        </is>
      </c>
      <c r="AA5087" s="12">
        <f>N5087*O5087</f>
        <v/>
      </c>
    </row>
    <row r="5088">
      <c r="A5088" s="12" t="inlineStr">
        <is>
          <t>I-P-0186</t>
        </is>
      </c>
      <c r="B5088" s="12" t="inlineStr">
        <is>
          <t>I</t>
        </is>
      </c>
      <c r="C5088" s="12" t="inlineStr">
        <is>
          <t>Modular / portable power</t>
        </is>
      </c>
      <c r="D5088" s="12" t="inlineStr">
        <is>
          <t>Motor 2 of 10, 30 kW</t>
        </is>
      </c>
      <c r="E5088" s="12" t="inlineStr"/>
      <c r="F5088" s="12" t="inlineStr">
        <is>
          <t>PCM: power control module</t>
        </is>
      </c>
      <c r="G5088" s="12" t="inlineStr">
        <is>
          <t>SC-1</t>
        </is>
      </c>
      <c r="H5088" s="12" t="inlineStr">
        <is>
          <t>SC-1: aeroderivative simple-cycle unit (LM6000 class)</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30</v>
      </c>
      <c r="R5088" s="12" t="n">
        <v>42.5</v>
      </c>
      <c r="S5088" s="12" t="inlineStr">
        <is>
          <t>Duct bank</t>
        </is>
      </c>
      <c r="T5088" s="16" t="n">
        <v>40</v>
      </c>
      <c r="U5088" s="16" t="n">
        <v>52</v>
      </c>
      <c r="V5088" s="16">
        <f>ROUNDUP((T5088+U5088+2*'Read Me'!$B$13)*(1+'Read Me'!$B$12),-1)</f>
        <v/>
      </c>
      <c r="W5088" s="16">
        <f>V5088*N5088*O5088</f>
        <v/>
      </c>
      <c r="X5088" s="12">
        <f>IF(LEFT(I5088,2)="MV",2*N5088*IF(L5088="1/C",O5088,1),0)</f>
        <v/>
      </c>
      <c r="Y5088" s="12">
        <f>IF(OR(LEFT(K5088,4)="LVAX",LEFT(K5088,6)="MV15AX",LEFT(K5088,4)="CTAX",LEFT(K5088,2)="W|"),2*N5088*O5088,0)</f>
        <v/>
      </c>
      <c r="Z5088" s="12" t="inlineStr">
        <is>
          <t>VD 0.8 %</t>
        </is>
      </c>
      <c r="AA5088" s="12">
        <f>N5088*O5088</f>
        <v/>
      </c>
    </row>
    <row r="5089">
      <c r="A5089" s="12" t="inlineStr">
        <is>
          <t>I-P-0187</t>
        </is>
      </c>
      <c r="B5089" s="12" t="inlineStr">
        <is>
          <t>I</t>
        </is>
      </c>
      <c r="C5089" s="12" t="inlineStr">
        <is>
          <t>Modular / portable power</t>
        </is>
      </c>
      <c r="D5089" s="12" t="inlineStr">
        <is>
          <t>Motor 3 of 10, 30 kW</t>
        </is>
      </c>
      <c r="E5089" s="12" t="inlineStr"/>
      <c r="F5089" s="12" t="inlineStr">
        <is>
          <t>PCM: power control module</t>
        </is>
      </c>
      <c r="G5089" s="12" t="inlineStr">
        <is>
          <t>SC-1</t>
        </is>
      </c>
      <c r="H5089" s="12" t="inlineStr">
        <is>
          <t>SC-1: aeroderivative simple-cycle unit (LM6000 class)</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30</v>
      </c>
      <c r="R5089" s="12" t="n">
        <v>42.5</v>
      </c>
      <c r="S5089" s="12" t="inlineStr">
        <is>
          <t>Duct bank</t>
        </is>
      </c>
      <c r="T5089" s="16" t="n">
        <v>40</v>
      </c>
      <c r="U5089" s="16" t="n">
        <v>52</v>
      </c>
      <c r="V5089" s="16">
        <f>ROUNDUP((T5089+U5089+2*'Read Me'!$B$13)*(1+'Read Me'!$B$12),-1)</f>
        <v/>
      </c>
      <c r="W5089" s="16">
        <f>V5089*N5089*O5089</f>
        <v/>
      </c>
      <c r="X5089" s="12">
        <f>IF(LEFT(I5089,2)="MV",2*N5089*IF(L5089="1/C",O5089,1),0)</f>
        <v/>
      </c>
      <c r="Y5089" s="12">
        <f>IF(OR(LEFT(K5089,4)="LVAX",LEFT(K5089,6)="MV15AX",LEFT(K5089,4)="CTAX",LEFT(K5089,2)="W|"),2*N5089*O5089,0)</f>
        <v/>
      </c>
      <c r="Z5089" s="12" t="inlineStr">
        <is>
          <t>VD 0.8 %</t>
        </is>
      </c>
      <c r="AA5089" s="12">
        <f>N5089*O5089</f>
        <v/>
      </c>
    </row>
    <row r="5090">
      <c r="A5090" s="12" t="inlineStr">
        <is>
          <t>I-P-0188</t>
        </is>
      </c>
      <c r="B5090" s="12" t="inlineStr">
        <is>
          <t>I</t>
        </is>
      </c>
      <c r="C5090" s="12" t="inlineStr">
        <is>
          <t>Modular / portable power</t>
        </is>
      </c>
      <c r="D5090" s="12" t="inlineStr">
        <is>
          <t>Motor 4 of 10, 30 kW</t>
        </is>
      </c>
      <c r="E5090" s="12" t="inlineStr"/>
      <c r="F5090" s="12" t="inlineStr">
        <is>
          <t>PCM: power control module</t>
        </is>
      </c>
      <c r="G5090" s="12" t="inlineStr">
        <is>
          <t>SC-1</t>
        </is>
      </c>
      <c r="H5090" s="12" t="inlineStr">
        <is>
          <t>SC-1: aeroderivative simple-cycle unit (LM6000 class)</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30</v>
      </c>
      <c r="R5090" s="12" t="n">
        <v>42.5</v>
      </c>
      <c r="S5090" s="12" t="inlineStr">
        <is>
          <t>Duct bank</t>
        </is>
      </c>
      <c r="T5090" s="16" t="n">
        <v>40</v>
      </c>
      <c r="U5090" s="16" t="n">
        <v>52</v>
      </c>
      <c r="V5090" s="16">
        <f>ROUNDUP((T5090+U5090+2*'Read Me'!$B$13)*(1+'Read Me'!$B$12),-1)</f>
        <v/>
      </c>
      <c r="W5090" s="16">
        <f>V5090*N5090*O5090</f>
        <v/>
      </c>
      <c r="X5090" s="12">
        <f>IF(LEFT(I5090,2)="MV",2*N5090*IF(L5090="1/C",O5090,1),0)</f>
        <v/>
      </c>
      <c r="Y5090" s="12">
        <f>IF(OR(LEFT(K5090,4)="LVAX",LEFT(K5090,6)="MV15AX",LEFT(K5090,4)="CTAX",LEFT(K5090,2)="W|"),2*N5090*O5090,0)</f>
        <v/>
      </c>
      <c r="Z5090" s="12" t="inlineStr">
        <is>
          <t>VD 0.8 %</t>
        </is>
      </c>
      <c r="AA5090" s="12">
        <f>N5090*O5090</f>
        <v/>
      </c>
    </row>
    <row r="5091">
      <c r="A5091" s="12" t="inlineStr">
        <is>
          <t>I-P-0189</t>
        </is>
      </c>
      <c r="B5091" s="12" t="inlineStr">
        <is>
          <t>I</t>
        </is>
      </c>
      <c r="C5091" s="12" t="inlineStr">
        <is>
          <t>Modular / portable power</t>
        </is>
      </c>
      <c r="D5091" s="12" t="inlineStr">
        <is>
          <t>Motor 5 of 10, 30 kW</t>
        </is>
      </c>
      <c r="E5091" s="12" t="inlineStr"/>
      <c r="F5091" s="12" t="inlineStr">
        <is>
          <t>PCM: power control module</t>
        </is>
      </c>
      <c r="G5091" s="12" t="inlineStr">
        <is>
          <t>SC-1</t>
        </is>
      </c>
      <c r="H5091" s="12" t="inlineStr">
        <is>
          <t>SC-1: aeroderivative simple-cycle unit (LM6000 class)</t>
        </is>
      </c>
      <c r="I5091" s="12" t="inlineStr">
        <is>
          <t>LV 600 V</t>
        </is>
      </c>
      <c r="J5091" s="12" t="inlineStr">
        <is>
          <t>Type TC-ER 600 V 3/C Cu XHHW-2 + ground, PVC jacket</t>
        </is>
      </c>
      <c r="K5091" s="12" t="inlineStr">
        <is>
          <t>LV|3/C+G|6</t>
        </is>
      </c>
      <c r="L5091" s="12" t="inlineStr">
        <is>
          <t>3/C+G</t>
        </is>
      </c>
      <c r="M5091" s="12" t="inlineStr">
        <is>
          <t>6</t>
        </is>
      </c>
      <c r="N5091" s="12" t="n">
        <v>1</v>
      </c>
      <c r="O5091" s="12" t="n">
        <v>1</v>
      </c>
      <c r="P5091" s="12" t="n">
        <v>480</v>
      </c>
      <c r="Q5091" s="12" t="n">
        <v>30</v>
      </c>
      <c r="R5091" s="12" t="n">
        <v>42.5</v>
      </c>
      <c r="S5091" s="12" t="inlineStr">
        <is>
          <t>Duct bank</t>
        </is>
      </c>
      <c r="T5091" s="16" t="n">
        <v>40</v>
      </c>
      <c r="U5091" s="16" t="n">
        <v>52</v>
      </c>
      <c r="V5091" s="16">
        <f>ROUNDUP((T5091+U5091+2*'Read Me'!$B$13)*(1+'Read Me'!$B$12),-1)</f>
        <v/>
      </c>
      <c r="W5091" s="16">
        <f>V5091*N5091*O5091</f>
        <v/>
      </c>
      <c r="X5091" s="12">
        <f>IF(LEFT(I5091,2)="MV",2*N5091*IF(L5091="1/C",O5091,1),0)</f>
        <v/>
      </c>
      <c r="Y5091" s="12">
        <f>IF(OR(LEFT(K5091,4)="LVAX",LEFT(K5091,6)="MV15AX",LEFT(K5091,4)="CTAX",LEFT(K5091,2)="W|"),2*N5091*O5091,0)</f>
        <v/>
      </c>
      <c r="Z5091" s="12" t="inlineStr">
        <is>
          <t>VD 0.8 %</t>
        </is>
      </c>
      <c r="AA5091" s="12">
        <f>N5091*O5091</f>
        <v/>
      </c>
    </row>
    <row r="5092">
      <c r="A5092" s="12" t="inlineStr">
        <is>
          <t>I-P-0190</t>
        </is>
      </c>
      <c r="B5092" s="12" t="inlineStr">
        <is>
          <t>I</t>
        </is>
      </c>
      <c r="C5092" s="12" t="inlineStr">
        <is>
          <t>Modular / portable power</t>
        </is>
      </c>
      <c r="D5092" s="12" t="inlineStr">
        <is>
          <t>Motor 6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6" t="n">
        <v>40</v>
      </c>
      <c r="U5092" s="16" t="n">
        <v>52</v>
      </c>
      <c r="V5092" s="16">
        <f>ROUNDUP((T5092+U5092+2*'Read Me'!$B$13)*(1+'Read Me'!$B$12),-1)</f>
        <v/>
      </c>
      <c r="W5092" s="16">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I-P-0191</t>
        </is>
      </c>
      <c r="B5093" s="12" t="inlineStr">
        <is>
          <t>I</t>
        </is>
      </c>
      <c r="C5093" s="12" t="inlineStr">
        <is>
          <t>Modular / portable power</t>
        </is>
      </c>
      <c r="D5093" s="12" t="inlineStr">
        <is>
          <t>Motor 7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6" t="n">
        <v>40</v>
      </c>
      <c r="U5093" s="16" t="n">
        <v>52</v>
      </c>
      <c r="V5093" s="16">
        <f>ROUNDUP((T5093+U5093+2*'Read Me'!$B$13)*(1+'Read Me'!$B$12),-1)</f>
        <v/>
      </c>
      <c r="W5093" s="16">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I-P-0192</t>
        </is>
      </c>
      <c r="B5094" s="12" t="inlineStr">
        <is>
          <t>I</t>
        </is>
      </c>
      <c r="C5094" s="12" t="inlineStr">
        <is>
          <t>Modular / portable power</t>
        </is>
      </c>
      <c r="D5094" s="12" t="inlineStr">
        <is>
          <t>Motor 8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6" t="n">
        <v>40</v>
      </c>
      <c r="U5094" s="16" t="n">
        <v>52</v>
      </c>
      <c r="V5094" s="16">
        <f>ROUNDUP((T5094+U5094+2*'Read Me'!$B$13)*(1+'Read Me'!$B$12),-1)</f>
        <v/>
      </c>
      <c r="W5094" s="16">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I-P-0193</t>
        </is>
      </c>
      <c r="B5095" s="12" t="inlineStr">
        <is>
          <t>I</t>
        </is>
      </c>
      <c r="C5095" s="12" t="inlineStr">
        <is>
          <t>Modular / portable power</t>
        </is>
      </c>
      <c r="D5095" s="12" t="inlineStr">
        <is>
          <t>Motor 9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6" t="n">
        <v>40</v>
      </c>
      <c r="U5095" s="16" t="n">
        <v>52</v>
      </c>
      <c r="V5095" s="16">
        <f>ROUNDUP((T5095+U5095+2*'Read Me'!$B$13)*(1+'Read Me'!$B$12),-1)</f>
        <v/>
      </c>
      <c r="W5095" s="16">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I-P-0194</t>
        </is>
      </c>
      <c r="B5096" s="12" t="inlineStr">
        <is>
          <t>I</t>
        </is>
      </c>
      <c r="C5096" s="12" t="inlineStr">
        <is>
          <t>Modular / portable power</t>
        </is>
      </c>
      <c r="D5096" s="12" t="inlineStr">
        <is>
          <t>Motor 10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6" t="n">
        <v>40</v>
      </c>
      <c r="U5096" s="16" t="n">
        <v>52</v>
      </c>
      <c r="V5096" s="16">
        <f>ROUNDUP((T5096+U5096+2*'Read Me'!$B$13)*(1+'Read Me'!$B$12),-1)</f>
        <v/>
      </c>
      <c r="W5096" s="16">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I-P-0195</t>
        </is>
      </c>
      <c r="B5097" s="12" t="inlineStr">
        <is>
          <t>I</t>
        </is>
      </c>
      <c r="C5097" s="12" t="inlineStr">
        <is>
          <t>Modular / portable power</t>
        </is>
      </c>
      <c r="D5097" s="12" t="inlineStr">
        <is>
          <t>Motor 1 of 2, 30 kW</t>
        </is>
      </c>
      <c r="E5097" s="12" t="inlineStr"/>
      <c r="F5097" s="12" t="inlineStr">
        <is>
          <t>MOD-LV 480 V board + 480 V : 13.8 kV step-up</t>
        </is>
      </c>
      <c r="G5097" s="12" t="inlineStr"/>
      <c r="H5097" s="12" t="inlineStr">
        <is>
          <t>SC-2 SCR / CO catalyst</t>
        </is>
      </c>
      <c r="I5097" s="12" t="inlineStr">
        <is>
          <t>LV 600 V</t>
        </is>
      </c>
      <c r="J5097" s="12" t="inlineStr">
        <is>
          <t>Type TC-ER 600 V 3/C Cu XHHW-2 + ground, PVC jacket</t>
        </is>
      </c>
      <c r="K5097" s="12" t="inlineStr">
        <is>
          <t>LV|3/C+G|350</t>
        </is>
      </c>
      <c r="L5097" s="12" t="inlineStr">
        <is>
          <t>3/C+G</t>
        </is>
      </c>
      <c r="M5097" s="12" t="inlineStr">
        <is>
          <t>350 kcmil</t>
        </is>
      </c>
      <c r="N5097" s="12" t="n">
        <v>1</v>
      </c>
      <c r="O5097" s="12" t="n">
        <v>1</v>
      </c>
      <c r="P5097" s="12" t="n">
        <v>480</v>
      </c>
      <c r="Q5097" s="12" t="n">
        <v>30</v>
      </c>
      <c r="R5097" s="12" t="n">
        <v>42.5</v>
      </c>
      <c r="S5097" s="12" t="inlineStr">
        <is>
          <t>HV duct bank</t>
        </is>
      </c>
      <c r="T5097" s="16" t="n">
        <v>4341</v>
      </c>
      <c r="U5097" s="16" t="n">
        <v>60</v>
      </c>
      <c r="V5097" s="16">
        <f>ROUNDUP((T5097+U5097+2*'Read Me'!$B$13)*(1+'Read Me'!$B$12),-1)</f>
        <v/>
      </c>
      <c r="W5097" s="16">
        <f>V5097*N5097*O5097</f>
        <v/>
      </c>
      <c r="X5097" s="12">
        <f>IF(LEFT(I5097,2)="MV",2*N5097*IF(L5097="1/C",O5097,1),0)</f>
        <v/>
      </c>
      <c r="Y5097" s="12">
        <f>IF(OR(LEFT(K5097,4)="LVAX",LEFT(K5097,6)="MV15AX",LEFT(K5097,4)="CTAX",LEFT(K5097,2)="W|"),2*N5097*O5097,0)</f>
        <v/>
      </c>
      <c r="Z5097" s="12" t="inlineStr">
        <is>
          <t>VD 2.7 %</t>
        </is>
      </c>
      <c r="AA5097" s="12">
        <f>N5097*O5097</f>
        <v/>
      </c>
    </row>
    <row r="5098">
      <c r="A5098" s="12" t="inlineStr">
        <is>
          <t>I-P-0196</t>
        </is>
      </c>
      <c r="B5098" s="12" t="inlineStr">
        <is>
          <t>I</t>
        </is>
      </c>
      <c r="C5098" s="12" t="inlineStr">
        <is>
          <t>Modular / portable power</t>
        </is>
      </c>
      <c r="D5098" s="12" t="inlineStr">
        <is>
          <t>Motor 2 of 2, 30 kW</t>
        </is>
      </c>
      <c r="E5098" s="12" t="inlineStr"/>
      <c r="F5098" s="12" t="inlineStr">
        <is>
          <t>MOD-LV 480 V board + 480 V : 13.8 kV step-up</t>
        </is>
      </c>
      <c r="G5098" s="12" t="inlineStr"/>
      <c r="H5098" s="12" t="inlineStr">
        <is>
          <t>SC-2 SCR / CO catalyst</t>
        </is>
      </c>
      <c r="I5098" s="12" t="inlineStr">
        <is>
          <t>LV 600 V</t>
        </is>
      </c>
      <c r="J5098" s="12" t="inlineStr">
        <is>
          <t>Type TC-ER 600 V 3/C Cu XHHW-2 + ground, PVC jacket</t>
        </is>
      </c>
      <c r="K5098" s="12" t="inlineStr">
        <is>
          <t>LV|3/C+G|350</t>
        </is>
      </c>
      <c r="L5098" s="12" t="inlineStr">
        <is>
          <t>3/C+G</t>
        </is>
      </c>
      <c r="M5098" s="12" t="inlineStr">
        <is>
          <t>350 kcmil</t>
        </is>
      </c>
      <c r="N5098" s="12" t="n">
        <v>1</v>
      </c>
      <c r="O5098" s="12" t="n">
        <v>1</v>
      </c>
      <c r="P5098" s="12" t="n">
        <v>480</v>
      </c>
      <c r="Q5098" s="12" t="n">
        <v>30</v>
      </c>
      <c r="R5098" s="12" t="n">
        <v>42.5</v>
      </c>
      <c r="S5098" s="12" t="inlineStr">
        <is>
          <t>HV duct bank</t>
        </is>
      </c>
      <c r="T5098" s="16" t="n">
        <v>4341</v>
      </c>
      <c r="U5098" s="16" t="n">
        <v>60</v>
      </c>
      <c r="V5098" s="16">
        <f>ROUNDUP((T5098+U5098+2*'Read Me'!$B$13)*(1+'Read Me'!$B$12),-1)</f>
        <v/>
      </c>
      <c r="W5098" s="16">
        <f>V5098*N5098*O5098</f>
        <v/>
      </c>
      <c r="X5098" s="12">
        <f>IF(LEFT(I5098,2)="MV",2*N5098*IF(L5098="1/C",O5098,1),0)</f>
        <v/>
      </c>
      <c r="Y5098" s="12">
        <f>IF(OR(LEFT(K5098,4)="LVAX",LEFT(K5098,6)="MV15AX",LEFT(K5098,4)="CTAX",LEFT(K5098,2)="W|"),2*N5098*O5098,0)</f>
        <v/>
      </c>
      <c r="Z5098" s="12" t="inlineStr">
        <is>
          <t>VD 2.7 %</t>
        </is>
      </c>
      <c r="AA5098" s="12">
        <f>N5098*O5098</f>
        <v/>
      </c>
    </row>
    <row r="5099">
      <c r="A5099" s="12" t="inlineStr">
        <is>
          <t>I-P-0197</t>
        </is>
      </c>
      <c r="B5099" s="12" t="inlineStr">
        <is>
          <t>I</t>
        </is>
      </c>
      <c r="C5099" s="12" t="inlineStr">
        <is>
          <t>Modular / portable power</t>
        </is>
      </c>
      <c r="D5099" s="12" t="inlineStr">
        <is>
          <t>Motor 1 of 4, 15 kW</t>
        </is>
      </c>
      <c r="E5099" s="12" t="inlineStr"/>
      <c r="F5099" s="12" t="inlineStr">
        <is>
          <t>MOD-LV 480 V board + 480 V : 13.8 kV step-up</t>
        </is>
      </c>
      <c r="G5099" s="12" t="inlineStr"/>
      <c r="H5099" s="12" t="inlineStr">
        <is>
          <t>SC-2 lube-oil fin-fan cooler</t>
        </is>
      </c>
      <c r="I5099" s="12" t="inlineStr">
        <is>
          <t>LV 600 V</t>
        </is>
      </c>
      <c r="J5099" s="12" t="inlineStr">
        <is>
          <t>Type TC-ER 600 V 3/C Cu XHHW-2 + ground, PVC jacket</t>
        </is>
      </c>
      <c r="K5099" s="12" t="inlineStr">
        <is>
          <t>LV|3/C+G|3/0</t>
        </is>
      </c>
      <c r="L5099" s="12" t="inlineStr">
        <is>
          <t>3/C+G</t>
        </is>
      </c>
      <c r="M5099" s="12" t="inlineStr">
        <is>
          <t>3/0</t>
        </is>
      </c>
      <c r="N5099" s="12" t="n">
        <v>1</v>
      </c>
      <c r="O5099" s="12" t="n">
        <v>1</v>
      </c>
      <c r="P5099" s="12" t="n">
        <v>480</v>
      </c>
      <c r="Q5099" s="12" t="n">
        <v>15</v>
      </c>
      <c r="R5099" s="12" t="n">
        <v>21.2</v>
      </c>
      <c r="S5099" s="12" t="inlineStr">
        <is>
          <t>HV duct bank</t>
        </is>
      </c>
      <c r="T5099" s="16" t="n">
        <v>4329</v>
      </c>
      <c r="U5099" s="16" t="n">
        <v>95</v>
      </c>
      <c r="V5099" s="16">
        <f>ROUNDUP((T5099+U5099+2*'Read Me'!$B$13)*(1+'Read Me'!$B$12),-1)</f>
        <v/>
      </c>
      <c r="W5099" s="16">
        <f>V5099*N5099*O5099</f>
        <v/>
      </c>
      <c r="X5099" s="12">
        <f>IF(LEFT(I5099,2)="MV",2*N5099*IF(L5099="1/C",O5099,1),0)</f>
        <v/>
      </c>
      <c r="Y5099" s="12">
        <f>IF(OR(LEFT(K5099,4)="LVAX",LEFT(K5099,6)="MV15AX",LEFT(K5099,4)="CTAX",LEFT(K5099,2)="W|"),2*N5099*O5099,0)</f>
        <v/>
      </c>
      <c r="Z5099" s="12" t="inlineStr">
        <is>
          <t>VD 2.9 %</t>
        </is>
      </c>
      <c r="AA5099" s="12">
        <f>N5099*O5099</f>
        <v/>
      </c>
    </row>
    <row r="5100">
      <c r="A5100" s="12" t="inlineStr">
        <is>
          <t>I-P-0198</t>
        </is>
      </c>
      <c r="B5100" s="12" t="inlineStr">
        <is>
          <t>I</t>
        </is>
      </c>
      <c r="C5100" s="12" t="inlineStr">
        <is>
          <t>Modular / portable power</t>
        </is>
      </c>
      <c r="D5100" s="12" t="inlineStr">
        <is>
          <t>Motor 2 of 4, 15 kW</t>
        </is>
      </c>
      <c r="E5100" s="12" t="inlineStr"/>
      <c r="F5100" s="12" t="inlineStr">
        <is>
          <t>MOD-LV 480 V board + 480 V : 13.8 kV step-up</t>
        </is>
      </c>
      <c r="G5100" s="12" t="inlineStr"/>
      <c r="H5100" s="12" t="inlineStr">
        <is>
          <t>SC-2 lube-oil fin-fan cooler</t>
        </is>
      </c>
      <c r="I5100" s="12" t="inlineStr">
        <is>
          <t>LV 600 V</t>
        </is>
      </c>
      <c r="J5100" s="12" t="inlineStr">
        <is>
          <t>Type TC-ER 600 V 3/C Cu XHHW-2 + ground, PVC jacket</t>
        </is>
      </c>
      <c r="K5100" s="12" t="inlineStr">
        <is>
          <t>LV|3/C+G|3/0</t>
        </is>
      </c>
      <c r="L5100" s="12" t="inlineStr">
        <is>
          <t>3/C+G</t>
        </is>
      </c>
      <c r="M5100" s="12" t="inlineStr">
        <is>
          <t>3/0</t>
        </is>
      </c>
      <c r="N5100" s="12" t="n">
        <v>1</v>
      </c>
      <c r="O5100" s="12" t="n">
        <v>1</v>
      </c>
      <c r="P5100" s="12" t="n">
        <v>480</v>
      </c>
      <c r="Q5100" s="12" t="n">
        <v>15</v>
      </c>
      <c r="R5100" s="12" t="n">
        <v>21.2</v>
      </c>
      <c r="S5100" s="12" t="inlineStr">
        <is>
          <t>HV duct bank</t>
        </is>
      </c>
      <c r="T5100" s="16" t="n">
        <v>4329</v>
      </c>
      <c r="U5100" s="16" t="n">
        <v>95</v>
      </c>
      <c r="V5100" s="16">
        <f>ROUNDUP((T5100+U5100+2*'Read Me'!$B$13)*(1+'Read Me'!$B$12),-1)</f>
        <v/>
      </c>
      <c r="W5100" s="16">
        <f>V5100*N5100*O5100</f>
        <v/>
      </c>
      <c r="X5100" s="12">
        <f>IF(LEFT(I5100,2)="MV",2*N5100*IF(L5100="1/C",O5100,1),0)</f>
        <v/>
      </c>
      <c r="Y5100" s="12">
        <f>IF(OR(LEFT(K5100,4)="LVAX",LEFT(K5100,6)="MV15AX",LEFT(K5100,4)="CTAX",LEFT(K5100,2)="W|"),2*N5100*O5100,0)</f>
        <v/>
      </c>
      <c r="Z5100" s="12" t="inlineStr">
        <is>
          <t>VD 2.9 %</t>
        </is>
      </c>
      <c r="AA5100" s="12">
        <f>N5100*O5100</f>
        <v/>
      </c>
    </row>
    <row r="5101">
      <c r="A5101" s="12" t="inlineStr">
        <is>
          <t>I-P-0199</t>
        </is>
      </c>
      <c r="B5101" s="12" t="inlineStr">
        <is>
          <t>I</t>
        </is>
      </c>
      <c r="C5101" s="12" t="inlineStr">
        <is>
          <t>Modular / portable power</t>
        </is>
      </c>
      <c r="D5101" s="12" t="inlineStr">
        <is>
          <t>Motor 3 of 4, 15 kW</t>
        </is>
      </c>
      <c r="E5101" s="12" t="inlineStr"/>
      <c r="F5101" s="12" t="inlineStr">
        <is>
          <t>MOD-LV 480 V board + 480 V : 13.8 kV step-up</t>
        </is>
      </c>
      <c r="G5101" s="12" t="inlineStr"/>
      <c r="H5101" s="12" t="inlineStr">
        <is>
          <t>SC-2 lube-oil fin-fan cooler</t>
        </is>
      </c>
      <c r="I5101" s="12" t="inlineStr">
        <is>
          <t>LV 600 V</t>
        </is>
      </c>
      <c r="J5101" s="12" t="inlineStr">
        <is>
          <t>Type TC-ER 600 V 3/C Cu XHHW-2 + ground, PVC jacket</t>
        </is>
      </c>
      <c r="K5101" s="12" t="inlineStr">
        <is>
          <t>LV|3/C+G|3/0</t>
        </is>
      </c>
      <c r="L5101" s="12" t="inlineStr">
        <is>
          <t>3/C+G</t>
        </is>
      </c>
      <c r="M5101" s="12" t="inlineStr">
        <is>
          <t>3/0</t>
        </is>
      </c>
      <c r="N5101" s="12" t="n">
        <v>1</v>
      </c>
      <c r="O5101" s="12" t="n">
        <v>1</v>
      </c>
      <c r="P5101" s="12" t="n">
        <v>480</v>
      </c>
      <c r="Q5101" s="12" t="n">
        <v>15</v>
      </c>
      <c r="R5101" s="12" t="n">
        <v>21.2</v>
      </c>
      <c r="S5101" s="12" t="inlineStr">
        <is>
          <t>HV duct bank</t>
        </is>
      </c>
      <c r="T5101" s="16" t="n">
        <v>4329</v>
      </c>
      <c r="U5101" s="16" t="n">
        <v>95</v>
      </c>
      <c r="V5101" s="16">
        <f>ROUNDUP((T5101+U5101+2*'Read Me'!$B$13)*(1+'Read Me'!$B$12),-1)</f>
        <v/>
      </c>
      <c r="W5101" s="16">
        <f>V5101*N5101*O5101</f>
        <v/>
      </c>
      <c r="X5101" s="12">
        <f>IF(LEFT(I5101,2)="MV",2*N5101*IF(L5101="1/C",O5101,1),0)</f>
        <v/>
      </c>
      <c r="Y5101" s="12">
        <f>IF(OR(LEFT(K5101,4)="LVAX",LEFT(K5101,6)="MV15AX",LEFT(K5101,4)="CTAX",LEFT(K5101,2)="W|"),2*N5101*O5101,0)</f>
        <v/>
      </c>
      <c r="Z5101" s="12" t="inlineStr">
        <is>
          <t>VD 2.9 %</t>
        </is>
      </c>
      <c r="AA5101" s="12">
        <f>N5101*O5101</f>
        <v/>
      </c>
    </row>
    <row r="5102">
      <c r="A5102" s="12" t="inlineStr">
        <is>
          <t>I-P-0200</t>
        </is>
      </c>
      <c r="B5102" s="12" t="inlineStr">
        <is>
          <t>I</t>
        </is>
      </c>
      <c r="C5102" s="12" t="inlineStr">
        <is>
          <t>Modular / portable power</t>
        </is>
      </c>
      <c r="D5102" s="12" t="inlineStr">
        <is>
          <t>Motor 4 of 4, 15 kW</t>
        </is>
      </c>
      <c r="E5102" s="12" t="inlineStr"/>
      <c r="F5102" s="12" t="inlineStr">
        <is>
          <t>MOD-LV 480 V board + 480 V : 13.8 kV step-up</t>
        </is>
      </c>
      <c r="G5102" s="12" t="inlineStr"/>
      <c r="H5102" s="12" t="inlineStr">
        <is>
          <t>SC-2 lube-oil fin-fan cooler</t>
        </is>
      </c>
      <c r="I5102" s="12" t="inlineStr">
        <is>
          <t>LV 600 V</t>
        </is>
      </c>
      <c r="J5102" s="12" t="inlineStr">
        <is>
          <t>Type TC-ER 600 V 3/C Cu XHHW-2 + ground, PVC jacket</t>
        </is>
      </c>
      <c r="K5102" s="12" t="inlineStr">
        <is>
          <t>LV|3/C+G|3/0</t>
        </is>
      </c>
      <c r="L5102" s="12" t="inlineStr">
        <is>
          <t>3/C+G</t>
        </is>
      </c>
      <c r="M5102" s="12" t="inlineStr">
        <is>
          <t>3/0</t>
        </is>
      </c>
      <c r="N5102" s="12" t="n">
        <v>1</v>
      </c>
      <c r="O5102" s="12" t="n">
        <v>1</v>
      </c>
      <c r="P5102" s="12" t="n">
        <v>480</v>
      </c>
      <c r="Q5102" s="12" t="n">
        <v>15</v>
      </c>
      <c r="R5102" s="12" t="n">
        <v>21.2</v>
      </c>
      <c r="S5102" s="12" t="inlineStr">
        <is>
          <t>HV duct bank</t>
        </is>
      </c>
      <c r="T5102" s="16" t="n">
        <v>4329</v>
      </c>
      <c r="U5102" s="16" t="n">
        <v>95</v>
      </c>
      <c r="V5102" s="16">
        <f>ROUNDUP((T5102+U5102+2*'Read Me'!$B$13)*(1+'Read Me'!$B$12),-1)</f>
        <v/>
      </c>
      <c r="W5102" s="16">
        <f>V5102*N5102*O5102</f>
        <v/>
      </c>
      <c r="X5102" s="12">
        <f>IF(LEFT(I5102,2)="MV",2*N5102*IF(L5102="1/C",O5102,1),0)</f>
        <v/>
      </c>
      <c r="Y5102" s="12">
        <f>IF(OR(LEFT(K5102,4)="LVAX",LEFT(K5102,6)="MV15AX",LEFT(K5102,4)="CTAX",LEFT(K5102,2)="W|"),2*N5102*O5102,0)</f>
        <v/>
      </c>
      <c r="Z5102" s="12" t="inlineStr">
        <is>
          <t>VD 2.9 %</t>
        </is>
      </c>
      <c r="AA5102" s="12">
        <f>N5102*O5102</f>
        <v/>
      </c>
    </row>
    <row r="5103">
      <c r="A5103" s="12" t="inlineStr">
        <is>
          <t>I-P-0201</t>
        </is>
      </c>
      <c r="B5103" s="12" t="inlineStr">
        <is>
          <t>I</t>
        </is>
      </c>
      <c r="C5103" s="12" t="inlineStr">
        <is>
          <t>Modular / portable power</t>
        </is>
      </c>
      <c r="D5103" s="12" t="inlineStr">
        <is>
          <t>Area / platform lighting circuit 1 (4 fixtures)</t>
        </is>
      </c>
      <c r="E5103" s="12" t="inlineStr"/>
      <c r="F5103" s="12" t="inlineStr">
        <is>
          <t>MOD-LV 480 V board + 480 V : 13.8 kV step-up</t>
        </is>
      </c>
      <c r="G5103" s="12" t="inlineStr"/>
      <c r="H5103" s="12" t="inlineStr">
        <is>
          <t>SC-2 stack (80 ft)</t>
        </is>
      </c>
      <c r="I5103" s="12" t="inlineStr">
        <is>
          <t>LV 600 V</t>
        </is>
      </c>
      <c r="J5103" s="12" t="inlineStr">
        <is>
          <t>Type TC-ER 600 V 3/C Cu XHHW-2 + ground, PVC jacket</t>
        </is>
      </c>
      <c r="K5103" s="12" t="inlineStr">
        <is>
          <t>LV|3/C+G|4</t>
        </is>
      </c>
      <c r="L5103" s="12" t="inlineStr">
        <is>
          <t>3/C+G</t>
        </is>
      </c>
      <c r="M5103" s="12" t="inlineStr">
        <is>
          <t>4</t>
        </is>
      </c>
      <c r="N5103" s="12" t="n">
        <v>1</v>
      </c>
      <c r="O5103" s="12" t="n">
        <v>1</v>
      </c>
      <c r="P5103" s="12" t="n">
        <v>480</v>
      </c>
      <c r="Q5103" s="12" t="n">
        <v>3</v>
      </c>
      <c r="R5103" s="12" t="n">
        <v>5</v>
      </c>
      <c r="S5103" s="12" t="inlineStr">
        <is>
          <t>HV duct bank</t>
        </is>
      </c>
      <c r="T5103" s="16" t="n">
        <v>4641</v>
      </c>
      <c r="U5103" s="16" t="n">
        <v>80</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I-P-0202</t>
        </is>
      </c>
      <c r="B5104" s="12" t="inlineStr">
        <is>
          <t>I</t>
        </is>
      </c>
      <c r="C5104" s="12" t="inlineStr">
        <is>
          <t>Modular / portable power</t>
        </is>
      </c>
      <c r="D5104" s="12" t="inlineStr">
        <is>
          <t>Motor 1 of 10, 30 kW</t>
        </is>
      </c>
      <c r="E5104" s="12" t="inlineStr"/>
      <c r="F5104" s="12" t="inlineStr">
        <is>
          <t>MOD-LV 480 V board + 480 V : 13.8 kV step-up</t>
        </is>
      </c>
      <c r="G5104" s="12" t="inlineStr">
        <is>
          <t>SC-2</t>
        </is>
      </c>
      <c r="H5104" s="12" t="inlineStr">
        <is>
          <t>SC-2: aeroderivative simple-cycle unit (LM6000 class)</t>
        </is>
      </c>
      <c r="I5104" s="12" t="inlineStr">
        <is>
          <t>LV 600 V</t>
        </is>
      </c>
      <c r="J5104" s="12" t="inlineStr">
        <is>
          <t>Type TC-ER 600 V 3/C Cu XHHW-2 + ground, PVC jacket</t>
        </is>
      </c>
      <c r="K5104" s="12" t="inlineStr">
        <is>
          <t>LV|3/C+G|350</t>
        </is>
      </c>
      <c r="L5104" s="12" t="inlineStr">
        <is>
          <t>3/C+G</t>
        </is>
      </c>
      <c r="M5104" s="12" t="inlineStr">
        <is>
          <t>350 kcmil</t>
        </is>
      </c>
      <c r="N5104" s="12" t="n">
        <v>1</v>
      </c>
      <c r="O5104" s="12" t="n">
        <v>1</v>
      </c>
      <c r="P5104" s="12" t="n">
        <v>480</v>
      </c>
      <c r="Q5104" s="12" t="n">
        <v>30</v>
      </c>
      <c r="R5104" s="12" t="n">
        <v>42.5</v>
      </c>
      <c r="S5104" s="12" t="inlineStr">
        <is>
          <t>HV duct bank</t>
        </is>
      </c>
      <c r="T5104" s="16" t="n">
        <v>4441</v>
      </c>
      <c r="U5104" s="16" t="n">
        <v>40</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I-P-0203</t>
        </is>
      </c>
      <c r="B5105" s="12" t="inlineStr">
        <is>
          <t>I</t>
        </is>
      </c>
      <c r="C5105" s="12" t="inlineStr">
        <is>
          <t>Modular / portable power</t>
        </is>
      </c>
      <c r="D5105" s="12" t="inlineStr">
        <is>
          <t>Motor 2 of 10, 30 kW</t>
        </is>
      </c>
      <c r="E5105" s="12" t="inlineStr"/>
      <c r="F5105" s="12" t="inlineStr">
        <is>
          <t>MOD-LV 480 V board + 480 V : 13.8 kV step-up</t>
        </is>
      </c>
      <c r="G5105" s="12" t="inlineStr">
        <is>
          <t>SC-2</t>
        </is>
      </c>
      <c r="H5105" s="12" t="inlineStr">
        <is>
          <t>SC-2: aeroderivative simple-cycle unit (LM6000 class)</t>
        </is>
      </c>
      <c r="I5105" s="12" t="inlineStr">
        <is>
          <t>LV 600 V</t>
        </is>
      </c>
      <c r="J5105" s="12" t="inlineStr">
        <is>
          <t>Type TC-ER 600 V 3/C Cu XHHW-2 + ground, PVC jacket</t>
        </is>
      </c>
      <c r="K5105" s="12" t="inlineStr">
        <is>
          <t>LV|3/C+G|350</t>
        </is>
      </c>
      <c r="L5105" s="12" t="inlineStr">
        <is>
          <t>3/C+G</t>
        </is>
      </c>
      <c r="M5105" s="12" t="inlineStr">
        <is>
          <t>350 kcmil</t>
        </is>
      </c>
      <c r="N5105" s="12" t="n">
        <v>1</v>
      </c>
      <c r="O5105" s="12" t="n">
        <v>1</v>
      </c>
      <c r="P5105" s="12" t="n">
        <v>480</v>
      </c>
      <c r="Q5105" s="12" t="n">
        <v>30</v>
      </c>
      <c r="R5105" s="12" t="n">
        <v>42.5</v>
      </c>
      <c r="S5105" s="12" t="inlineStr">
        <is>
          <t>HV duct bank</t>
        </is>
      </c>
      <c r="T5105" s="16" t="n">
        <v>4441</v>
      </c>
      <c r="U5105" s="16" t="n">
        <v>40</v>
      </c>
      <c r="V5105" s="16">
        <f>ROUNDUP((T5105+U5105+2*'Read Me'!$B$13)*(1+'Read Me'!$B$12),-1)</f>
        <v/>
      </c>
      <c r="W5105" s="16">
        <f>V5105*N5105*O5105</f>
        <v/>
      </c>
      <c r="X5105" s="12">
        <f>IF(LEFT(I5105,2)="MV",2*N5105*IF(L5105="1/C",O5105,1),0)</f>
        <v/>
      </c>
      <c r="Y5105" s="12">
        <f>IF(OR(LEFT(K5105,4)="LVAX",LEFT(K5105,6)="MV15AX",LEFT(K5105,4)="CTAX",LEFT(K5105,2)="W|"),2*N5105*O5105,0)</f>
        <v/>
      </c>
      <c r="Z5105" s="12" t="inlineStr">
        <is>
          <t>VD 2.8 %</t>
        </is>
      </c>
      <c r="AA5105" s="12">
        <f>N5105*O5105</f>
        <v/>
      </c>
    </row>
    <row r="5106">
      <c r="A5106" s="12" t="inlineStr">
        <is>
          <t>I-P-0204</t>
        </is>
      </c>
      <c r="B5106" s="12" t="inlineStr">
        <is>
          <t>I</t>
        </is>
      </c>
      <c r="C5106" s="12" t="inlineStr">
        <is>
          <t>Modular / portable power</t>
        </is>
      </c>
      <c r="D5106" s="12" t="inlineStr">
        <is>
          <t>Motor 3 of 10, 30 kW</t>
        </is>
      </c>
      <c r="E5106" s="12" t="inlineStr"/>
      <c r="F5106" s="12" t="inlineStr">
        <is>
          <t>MOD-LV 480 V board + 480 V : 13.8 kV step-up</t>
        </is>
      </c>
      <c r="G5106" s="12" t="inlineStr">
        <is>
          <t>SC-2</t>
        </is>
      </c>
      <c r="H5106" s="12" t="inlineStr">
        <is>
          <t>SC-2: aeroderivative simple-cycle unit (LM6000 class)</t>
        </is>
      </c>
      <c r="I5106" s="12" t="inlineStr">
        <is>
          <t>LV 600 V</t>
        </is>
      </c>
      <c r="J5106" s="12" t="inlineStr">
        <is>
          <t>Type TC-ER 600 V 3/C Cu XHHW-2 + ground, PVC jacket</t>
        </is>
      </c>
      <c r="K5106" s="12" t="inlineStr">
        <is>
          <t>LV|3/C+G|350</t>
        </is>
      </c>
      <c r="L5106" s="12" t="inlineStr">
        <is>
          <t>3/C+G</t>
        </is>
      </c>
      <c r="M5106" s="12" t="inlineStr">
        <is>
          <t>350 kcmil</t>
        </is>
      </c>
      <c r="N5106" s="12" t="n">
        <v>1</v>
      </c>
      <c r="O5106" s="12" t="n">
        <v>1</v>
      </c>
      <c r="P5106" s="12" t="n">
        <v>480</v>
      </c>
      <c r="Q5106" s="12" t="n">
        <v>30</v>
      </c>
      <c r="R5106" s="12" t="n">
        <v>42.5</v>
      </c>
      <c r="S5106" s="12" t="inlineStr">
        <is>
          <t>HV duct bank</t>
        </is>
      </c>
      <c r="T5106" s="16" t="n">
        <v>4441</v>
      </c>
      <c r="U5106" s="16" t="n">
        <v>40</v>
      </c>
      <c r="V5106" s="16">
        <f>ROUNDUP((T5106+U5106+2*'Read Me'!$B$13)*(1+'Read Me'!$B$12),-1)</f>
        <v/>
      </c>
      <c r="W5106" s="16">
        <f>V5106*N5106*O5106</f>
        <v/>
      </c>
      <c r="X5106" s="12">
        <f>IF(LEFT(I5106,2)="MV",2*N5106*IF(L5106="1/C",O5106,1),0)</f>
        <v/>
      </c>
      <c r="Y5106" s="12">
        <f>IF(OR(LEFT(K5106,4)="LVAX",LEFT(K5106,6)="MV15AX",LEFT(K5106,4)="CTAX",LEFT(K5106,2)="W|"),2*N5106*O5106,0)</f>
        <v/>
      </c>
      <c r="Z5106" s="12" t="inlineStr">
        <is>
          <t>VD 2.8 %</t>
        </is>
      </c>
      <c r="AA5106" s="12">
        <f>N5106*O5106</f>
        <v/>
      </c>
    </row>
    <row r="5107">
      <c r="A5107" s="12" t="inlineStr">
        <is>
          <t>I-P-0205</t>
        </is>
      </c>
      <c r="B5107" s="12" t="inlineStr">
        <is>
          <t>I</t>
        </is>
      </c>
      <c r="C5107" s="12" t="inlineStr">
        <is>
          <t>Modular / portable power</t>
        </is>
      </c>
      <c r="D5107" s="12" t="inlineStr">
        <is>
          <t>Motor 4 of 10, 30 kW</t>
        </is>
      </c>
      <c r="E5107" s="12" t="inlineStr"/>
      <c r="F5107" s="12" t="inlineStr">
        <is>
          <t>MOD-LV 480 V board + 480 V : 13.8 kV step-up</t>
        </is>
      </c>
      <c r="G5107" s="12" t="inlineStr">
        <is>
          <t>SC-2</t>
        </is>
      </c>
      <c r="H5107" s="12" t="inlineStr">
        <is>
          <t>SC-2: aeroderivative simple-cycle unit (LM6000 class)</t>
        </is>
      </c>
      <c r="I5107" s="12" t="inlineStr">
        <is>
          <t>LV 600 V</t>
        </is>
      </c>
      <c r="J5107" s="12" t="inlineStr">
        <is>
          <t>Type TC-ER 600 V 3/C Cu XHHW-2 + ground, PVC jacket</t>
        </is>
      </c>
      <c r="K5107" s="12" t="inlineStr">
        <is>
          <t>LV|3/C+G|350</t>
        </is>
      </c>
      <c r="L5107" s="12" t="inlineStr">
        <is>
          <t>3/C+G</t>
        </is>
      </c>
      <c r="M5107" s="12" t="inlineStr">
        <is>
          <t>350 kcmil</t>
        </is>
      </c>
      <c r="N5107" s="12" t="n">
        <v>1</v>
      </c>
      <c r="O5107" s="12" t="n">
        <v>1</v>
      </c>
      <c r="P5107" s="12" t="n">
        <v>480</v>
      </c>
      <c r="Q5107" s="12" t="n">
        <v>30</v>
      </c>
      <c r="R5107" s="12" t="n">
        <v>42.5</v>
      </c>
      <c r="S5107" s="12" t="inlineStr">
        <is>
          <t>HV duct bank</t>
        </is>
      </c>
      <c r="T5107" s="16" t="n">
        <v>4441</v>
      </c>
      <c r="U5107" s="16" t="n">
        <v>40</v>
      </c>
      <c r="V5107" s="16">
        <f>ROUNDUP((T5107+U5107+2*'Read Me'!$B$13)*(1+'Read Me'!$B$12),-1)</f>
        <v/>
      </c>
      <c r="W5107" s="16">
        <f>V5107*N5107*O5107</f>
        <v/>
      </c>
      <c r="X5107" s="12">
        <f>IF(LEFT(I5107,2)="MV",2*N5107*IF(L5107="1/C",O5107,1),0)</f>
        <v/>
      </c>
      <c r="Y5107" s="12">
        <f>IF(OR(LEFT(K5107,4)="LVAX",LEFT(K5107,6)="MV15AX",LEFT(K5107,4)="CTAX",LEFT(K5107,2)="W|"),2*N5107*O5107,0)</f>
        <v/>
      </c>
      <c r="Z5107" s="12" t="inlineStr">
        <is>
          <t>VD 2.8 %</t>
        </is>
      </c>
      <c r="AA5107" s="12">
        <f>N5107*O5107</f>
        <v/>
      </c>
    </row>
    <row r="5108">
      <c r="A5108" s="12" t="inlineStr">
        <is>
          <t>I-P-0206</t>
        </is>
      </c>
      <c r="B5108" s="12" t="inlineStr">
        <is>
          <t>I</t>
        </is>
      </c>
      <c r="C5108" s="12" t="inlineStr">
        <is>
          <t>Modular / portable power</t>
        </is>
      </c>
      <c r="D5108" s="12" t="inlineStr">
        <is>
          <t>Motor 5 of 10, 30 kW</t>
        </is>
      </c>
      <c r="E5108" s="12" t="inlineStr"/>
      <c r="F5108" s="12" t="inlineStr">
        <is>
          <t>MOD-LV 480 V board + 480 V : 13.8 kV step-up</t>
        </is>
      </c>
      <c r="G5108" s="12" t="inlineStr">
        <is>
          <t>SC-2</t>
        </is>
      </c>
      <c r="H5108" s="12" t="inlineStr">
        <is>
          <t>SC-2: aeroderivative simple-cycle unit (LM6000 class)</t>
        </is>
      </c>
      <c r="I5108" s="12" t="inlineStr">
        <is>
          <t>LV 600 V</t>
        </is>
      </c>
      <c r="J5108" s="12" t="inlineStr">
        <is>
          <t>Type TC-ER 600 V 3/C Cu XHHW-2 + ground, PVC jacket</t>
        </is>
      </c>
      <c r="K5108" s="12" t="inlineStr">
        <is>
          <t>LV|3/C+G|350</t>
        </is>
      </c>
      <c r="L5108" s="12" t="inlineStr">
        <is>
          <t>3/C+G</t>
        </is>
      </c>
      <c r="M5108" s="12" t="inlineStr">
        <is>
          <t>350 kcmil</t>
        </is>
      </c>
      <c r="N5108" s="12" t="n">
        <v>1</v>
      </c>
      <c r="O5108" s="12" t="n">
        <v>1</v>
      </c>
      <c r="P5108" s="12" t="n">
        <v>480</v>
      </c>
      <c r="Q5108" s="12" t="n">
        <v>30</v>
      </c>
      <c r="R5108" s="12" t="n">
        <v>42.5</v>
      </c>
      <c r="S5108" s="12" t="inlineStr">
        <is>
          <t>HV duct bank</t>
        </is>
      </c>
      <c r="T5108" s="16" t="n">
        <v>4441</v>
      </c>
      <c r="U5108" s="16" t="n">
        <v>40</v>
      </c>
      <c r="V5108" s="16">
        <f>ROUNDUP((T5108+U5108+2*'Read Me'!$B$13)*(1+'Read Me'!$B$12),-1)</f>
        <v/>
      </c>
      <c r="W5108" s="16">
        <f>V5108*N5108*O5108</f>
        <v/>
      </c>
      <c r="X5108" s="12">
        <f>IF(LEFT(I5108,2)="MV",2*N5108*IF(L5108="1/C",O5108,1),0)</f>
        <v/>
      </c>
      <c r="Y5108" s="12">
        <f>IF(OR(LEFT(K5108,4)="LVAX",LEFT(K5108,6)="MV15AX",LEFT(K5108,4)="CTAX",LEFT(K5108,2)="W|"),2*N5108*O5108,0)</f>
        <v/>
      </c>
      <c r="Z5108" s="12" t="inlineStr">
        <is>
          <t>VD 2.8 %</t>
        </is>
      </c>
      <c r="AA5108" s="12">
        <f>N5108*O5108</f>
        <v/>
      </c>
    </row>
    <row r="5109">
      <c r="A5109" s="12" t="inlineStr">
        <is>
          <t>I-P-0207</t>
        </is>
      </c>
      <c r="B5109" s="12" t="inlineStr">
        <is>
          <t>I</t>
        </is>
      </c>
      <c r="C5109" s="12" t="inlineStr">
        <is>
          <t>Modular / portable power</t>
        </is>
      </c>
      <c r="D5109" s="12" t="inlineStr">
        <is>
          <t>Motor 6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LV|3/C+G|350</t>
        </is>
      </c>
      <c r="L5109" s="12" t="inlineStr">
        <is>
          <t>3/C+G</t>
        </is>
      </c>
      <c r="M5109" s="12" t="inlineStr">
        <is>
          <t>350 kcmil</t>
        </is>
      </c>
      <c r="N5109" s="12" t="n">
        <v>1</v>
      </c>
      <c r="O5109" s="12" t="n">
        <v>1</v>
      </c>
      <c r="P5109" s="12" t="n">
        <v>480</v>
      </c>
      <c r="Q5109" s="12" t="n">
        <v>30</v>
      </c>
      <c r="R5109" s="12" t="n">
        <v>42.5</v>
      </c>
      <c r="S5109" s="12" t="inlineStr">
        <is>
          <t>HV duct bank</t>
        </is>
      </c>
      <c r="T5109" s="16" t="n">
        <v>4441</v>
      </c>
      <c r="U5109" s="16" t="n">
        <v>40</v>
      </c>
      <c r="V5109" s="16">
        <f>ROUNDUP((T5109+U5109+2*'Read Me'!$B$13)*(1+'Read Me'!$B$12),-1)</f>
        <v/>
      </c>
      <c r="W5109" s="16">
        <f>V5109*N5109*O5109</f>
        <v/>
      </c>
      <c r="X5109" s="12">
        <f>IF(LEFT(I5109,2)="MV",2*N5109*IF(L5109="1/C",O5109,1),0)</f>
        <v/>
      </c>
      <c r="Y5109" s="12">
        <f>IF(OR(LEFT(K5109,4)="LVAX",LEFT(K5109,6)="MV15AX",LEFT(K5109,4)="CTAX",LEFT(K5109,2)="W|"),2*N5109*O5109,0)</f>
        <v/>
      </c>
      <c r="Z5109" s="12" t="inlineStr">
        <is>
          <t>VD 2.8 %</t>
        </is>
      </c>
      <c r="AA5109" s="12">
        <f>N5109*O5109</f>
        <v/>
      </c>
    </row>
    <row r="5110">
      <c r="A5110" s="12" t="inlineStr">
        <is>
          <t>I-P-0208</t>
        </is>
      </c>
      <c r="B5110" s="12" t="inlineStr">
        <is>
          <t>I</t>
        </is>
      </c>
      <c r="C5110" s="12" t="inlineStr">
        <is>
          <t>Modular / portable power</t>
        </is>
      </c>
      <c r="D5110" s="12" t="inlineStr">
        <is>
          <t>Motor 7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LV|3/C+G|350</t>
        </is>
      </c>
      <c r="L5110" s="12" t="inlineStr">
        <is>
          <t>3/C+G</t>
        </is>
      </c>
      <c r="M5110" s="12" t="inlineStr">
        <is>
          <t>350 kcmil</t>
        </is>
      </c>
      <c r="N5110" s="12" t="n">
        <v>1</v>
      </c>
      <c r="O5110" s="12" t="n">
        <v>1</v>
      </c>
      <c r="P5110" s="12" t="n">
        <v>480</v>
      </c>
      <c r="Q5110" s="12" t="n">
        <v>30</v>
      </c>
      <c r="R5110" s="12" t="n">
        <v>42.5</v>
      </c>
      <c r="S5110" s="12" t="inlineStr">
        <is>
          <t>HV duct bank</t>
        </is>
      </c>
      <c r="T5110" s="16" t="n">
        <v>4441</v>
      </c>
      <c r="U5110" s="16" t="n">
        <v>40</v>
      </c>
      <c r="V5110" s="16">
        <f>ROUNDUP((T5110+U5110+2*'Read Me'!$B$13)*(1+'Read Me'!$B$12),-1)</f>
        <v/>
      </c>
      <c r="W5110" s="16">
        <f>V5110*N5110*O5110</f>
        <v/>
      </c>
      <c r="X5110" s="12">
        <f>IF(LEFT(I5110,2)="MV",2*N5110*IF(L5110="1/C",O5110,1),0)</f>
        <v/>
      </c>
      <c r="Y5110" s="12">
        <f>IF(OR(LEFT(K5110,4)="LVAX",LEFT(K5110,6)="MV15AX",LEFT(K5110,4)="CTAX",LEFT(K5110,2)="W|"),2*N5110*O5110,0)</f>
        <v/>
      </c>
      <c r="Z5110" s="12" t="inlineStr">
        <is>
          <t>VD 2.8 %</t>
        </is>
      </c>
      <c r="AA5110" s="12">
        <f>N5110*O5110</f>
        <v/>
      </c>
    </row>
    <row r="5111">
      <c r="A5111" s="12" t="inlineStr">
        <is>
          <t>I-P-0209</t>
        </is>
      </c>
      <c r="B5111" s="12" t="inlineStr">
        <is>
          <t>I</t>
        </is>
      </c>
      <c r="C5111" s="12" t="inlineStr">
        <is>
          <t>Modular / portable power</t>
        </is>
      </c>
      <c r="D5111" s="12" t="inlineStr">
        <is>
          <t>Motor 8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LV|3/C+G|350</t>
        </is>
      </c>
      <c r="L5111" s="12" t="inlineStr">
        <is>
          <t>3/C+G</t>
        </is>
      </c>
      <c r="M5111" s="12" t="inlineStr">
        <is>
          <t>350 kcmil</t>
        </is>
      </c>
      <c r="N5111" s="12" t="n">
        <v>1</v>
      </c>
      <c r="O5111" s="12" t="n">
        <v>1</v>
      </c>
      <c r="P5111" s="12" t="n">
        <v>480</v>
      </c>
      <c r="Q5111" s="12" t="n">
        <v>30</v>
      </c>
      <c r="R5111" s="12" t="n">
        <v>42.5</v>
      </c>
      <c r="S5111" s="12" t="inlineStr">
        <is>
          <t>HV duct bank</t>
        </is>
      </c>
      <c r="T5111" s="16" t="n">
        <v>4441</v>
      </c>
      <c r="U5111" s="16" t="n">
        <v>40</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I-P-0210</t>
        </is>
      </c>
      <c r="B5112" s="12" t="inlineStr">
        <is>
          <t>I</t>
        </is>
      </c>
      <c r="C5112" s="12" t="inlineStr">
        <is>
          <t>Modular / portable power</t>
        </is>
      </c>
      <c r="D5112" s="12" t="inlineStr">
        <is>
          <t>Motor 9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LV|3/C+G|350</t>
        </is>
      </c>
      <c r="L5112" s="12" t="inlineStr">
        <is>
          <t>3/C+G</t>
        </is>
      </c>
      <c r="M5112" s="12" t="inlineStr">
        <is>
          <t>350 kcmil</t>
        </is>
      </c>
      <c r="N5112" s="12" t="n">
        <v>1</v>
      </c>
      <c r="O5112" s="12" t="n">
        <v>1</v>
      </c>
      <c r="P5112" s="12" t="n">
        <v>480</v>
      </c>
      <c r="Q5112" s="12" t="n">
        <v>30</v>
      </c>
      <c r="R5112" s="12" t="n">
        <v>42.5</v>
      </c>
      <c r="S5112" s="12" t="inlineStr">
        <is>
          <t>HV duct bank</t>
        </is>
      </c>
      <c r="T5112" s="16" t="n">
        <v>4441</v>
      </c>
      <c r="U5112" s="16" t="n">
        <v>40</v>
      </c>
      <c r="V5112" s="16">
        <f>ROUNDUP((T5112+U5112+2*'Read Me'!$B$13)*(1+'Read Me'!$B$12),-1)</f>
        <v/>
      </c>
      <c r="W5112" s="16">
        <f>V5112*N5112*O5112</f>
        <v/>
      </c>
      <c r="X5112" s="12">
        <f>IF(LEFT(I5112,2)="MV",2*N5112*IF(L5112="1/C",O5112,1),0)</f>
        <v/>
      </c>
      <c r="Y5112" s="12">
        <f>IF(OR(LEFT(K5112,4)="LVAX",LEFT(K5112,6)="MV15AX",LEFT(K5112,4)="CTAX",LEFT(K5112,2)="W|"),2*N5112*O5112,0)</f>
        <v/>
      </c>
      <c r="Z5112" s="12" t="inlineStr">
        <is>
          <t>VD 2.8 %</t>
        </is>
      </c>
      <c r="AA5112" s="12">
        <f>N5112*O5112</f>
        <v/>
      </c>
    </row>
    <row r="5113">
      <c r="A5113" s="12" t="inlineStr">
        <is>
          <t>I-P-0211</t>
        </is>
      </c>
      <c r="B5113" s="12" t="inlineStr">
        <is>
          <t>I</t>
        </is>
      </c>
      <c r="C5113" s="12" t="inlineStr">
        <is>
          <t>Modular / portable power</t>
        </is>
      </c>
      <c r="D5113" s="12" t="inlineStr">
        <is>
          <t>Motor 10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LV|3/C+G|350</t>
        </is>
      </c>
      <c r="L5113" s="12" t="inlineStr">
        <is>
          <t>3/C+G</t>
        </is>
      </c>
      <c r="M5113" s="12" t="inlineStr">
        <is>
          <t>350 kcmil</t>
        </is>
      </c>
      <c r="N5113" s="12" t="n">
        <v>1</v>
      </c>
      <c r="O5113" s="12" t="n">
        <v>1</v>
      </c>
      <c r="P5113" s="12" t="n">
        <v>480</v>
      </c>
      <c r="Q5113" s="12" t="n">
        <v>30</v>
      </c>
      <c r="R5113" s="12" t="n">
        <v>42.5</v>
      </c>
      <c r="S5113" s="12" t="inlineStr">
        <is>
          <t>HV duct bank</t>
        </is>
      </c>
      <c r="T5113" s="16" t="n">
        <v>4441</v>
      </c>
      <c r="U5113" s="16" t="n">
        <v>40</v>
      </c>
      <c r="V5113" s="16">
        <f>ROUNDUP((T5113+U5113+2*'Read Me'!$B$13)*(1+'Read Me'!$B$12),-1)</f>
        <v/>
      </c>
      <c r="W5113" s="16">
        <f>V5113*N5113*O5113</f>
        <v/>
      </c>
      <c r="X5113" s="12">
        <f>IF(LEFT(I5113,2)="MV",2*N5113*IF(L5113="1/C",O5113,1),0)</f>
        <v/>
      </c>
      <c r="Y5113" s="12">
        <f>IF(OR(LEFT(K5113,4)="LVAX",LEFT(K5113,6)="MV15AX",LEFT(K5113,4)="CTAX",LEFT(K5113,2)="W|"),2*N5113*O5113,0)</f>
        <v/>
      </c>
      <c r="Z5113" s="12" t="inlineStr">
        <is>
          <t>VD 2.8 %</t>
        </is>
      </c>
      <c r="AA5113" s="12">
        <f>N5113*O5113</f>
        <v/>
      </c>
    </row>
    <row r="5114">
      <c r="A5114" s="12" t="inlineStr">
        <is>
          <t>I-P-0212</t>
        </is>
      </c>
      <c r="B5114" s="12" t="inlineStr">
        <is>
          <t>I</t>
        </is>
      </c>
      <c r="C5114" s="12" t="inlineStr">
        <is>
          <t>Modular / portable power</t>
        </is>
      </c>
      <c r="D5114" s="12" t="inlineStr">
        <is>
          <t>Motor 1 of 6, 2 kW</t>
        </is>
      </c>
      <c r="E5114" s="12" t="inlineStr"/>
      <c r="F5114" s="12" t="inlineStr">
        <is>
          <t>MOD-LV 480 V board + 480 V : 13.8 kV step-up</t>
        </is>
      </c>
      <c r="G5114" s="12" t="inlineStr"/>
      <c r="H5114" s="12" t="inlineStr">
        <is>
          <t>T-MOD 230 kV take-off gantry with arresters</t>
        </is>
      </c>
      <c r="I5114" s="12" t="inlineStr">
        <is>
          <t>LV 600 V</t>
        </is>
      </c>
      <c r="J5114" s="12" t="inlineStr">
        <is>
          <t>Type TC-ER 600 V 3/C Cu XHHW-2 + ground, PVC jacket</t>
        </is>
      </c>
      <c r="K5114" s="12" t="inlineStr">
        <is>
          <t>LV|3/C+G|10</t>
        </is>
      </c>
      <c r="L5114" s="12" t="inlineStr">
        <is>
          <t>3/C+G</t>
        </is>
      </c>
      <c r="M5114" s="12" t="inlineStr">
        <is>
          <t>10</t>
        </is>
      </c>
      <c r="N5114" s="12" t="n">
        <v>1</v>
      </c>
      <c r="O5114" s="12" t="n">
        <v>1</v>
      </c>
      <c r="P5114" s="12" t="n">
        <v>480</v>
      </c>
      <c r="Q5114" s="12" t="n">
        <v>2</v>
      </c>
      <c r="R5114" s="12" t="n">
        <v>2.8</v>
      </c>
      <c r="S5114" s="12" t="inlineStr">
        <is>
          <t>Duct bank</t>
        </is>
      </c>
      <c r="T5114" s="16" t="n">
        <v>386</v>
      </c>
      <c r="U5114" s="16" t="n">
        <v>130</v>
      </c>
      <c r="V5114" s="16">
        <f>ROUNDUP((T5114+U5114+2*'Read Me'!$B$13)*(1+'Read Me'!$B$12),-1)</f>
        <v/>
      </c>
      <c r="W5114" s="16">
        <f>V5114*N5114*O5114</f>
        <v/>
      </c>
      <c r="X5114" s="12">
        <f>IF(LEFT(I5114,2)="MV",2*N5114*IF(L5114="1/C",O5114,1),0)</f>
        <v/>
      </c>
      <c r="Y5114" s="12">
        <f>IF(OR(LEFT(K5114,4)="LVAX",LEFT(K5114,6)="MV15AX",LEFT(K5114,4)="CTAX",LEFT(K5114,2)="W|"),2*N5114*O5114,0)</f>
        <v/>
      </c>
      <c r="Z5114" s="12" t="inlineStr">
        <is>
          <t>VD 0.7 %</t>
        </is>
      </c>
      <c r="AA5114" s="12">
        <f>N5114*O5114</f>
        <v/>
      </c>
    </row>
    <row r="5115">
      <c r="A5115" s="12" t="inlineStr">
        <is>
          <t>I-P-0213</t>
        </is>
      </c>
      <c r="B5115" s="12" t="inlineStr">
        <is>
          <t>I</t>
        </is>
      </c>
      <c r="C5115" s="12" t="inlineStr">
        <is>
          <t>Modular / portable power</t>
        </is>
      </c>
      <c r="D5115" s="12" t="inlineStr">
        <is>
          <t>Motor 2 of 6, 2 kW</t>
        </is>
      </c>
      <c r="E5115" s="12" t="inlineStr"/>
      <c r="F5115" s="12" t="inlineStr">
        <is>
          <t>MOD-LV 480 V board + 480 V : 13.8 kV step-up</t>
        </is>
      </c>
      <c r="G5115" s="12" t="inlineStr"/>
      <c r="H5115" s="12" t="inlineStr">
        <is>
          <t>T-MOD 230 kV take-off gantry with arresters</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2</v>
      </c>
      <c r="R5115" s="12" t="n">
        <v>2.8</v>
      </c>
      <c r="S5115" s="12" t="inlineStr">
        <is>
          <t>Duct bank</t>
        </is>
      </c>
      <c r="T5115" s="16" t="n">
        <v>386</v>
      </c>
      <c r="U5115" s="16" t="n">
        <v>130</v>
      </c>
      <c r="V5115" s="16">
        <f>ROUNDUP((T5115+U5115+2*'Read Me'!$B$13)*(1+'Read Me'!$B$12),-1)</f>
        <v/>
      </c>
      <c r="W5115" s="16">
        <f>V5115*N5115*O5115</f>
        <v/>
      </c>
      <c r="X5115" s="12">
        <f>IF(LEFT(I5115,2)="MV",2*N5115*IF(L5115="1/C",O5115,1),0)</f>
        <v/>
      </c>
      <c r="Y5115" s="12">
        <f>IF(OR(LEFT(K5115,4)="LVAX",LEFT(K5115,6)="MV15AX",LEFT(K5115,4)="CTAX",LEFT(K5115,2)="W|"),2*N5115*O5115,0)</f>
        <v/>
      </c>
      <c r="Z5115" s="12" t="inlineStr">
        <is>
          <t>VD 0.7 %</t>
        </is>
      </c>
      <c r="AA5115" s="12">
        <f>N5115*O5115</f>
        <v/>
      </c>
    </row>
    <row r="5116">
      <c r="A5116" s="12" t="inlineStr">
        <is>
          <t>I-P-0214</t>
        </is>
      </c>
      <c r="B5116" s="12" t="inlineStr">
        <is>
          <t>I</t>
        </is>
      </c>
      <c r="C5116" s="12" t="inlineStr">
        <is>
          <t>Modular / portable power</t>
        </is>
      </c>
      <c r="D5116" s="12" t="inlineStr">
        <is>
          <t>Motor 3 of 6, 2 kW</t>
        </is>
      </c>
      <c r="E5116" s="12" t="inlineStr"/>
      <c r="F5116" s="12" t="inlineStr">
        <is>
          <t>MOD-LV 480 V board + 480 V : 13.8 kV step-up</t>
        </is>
      </c>
      <c r="G5116" s="12" t="inlineStr"/>
      <c r="H5116" s="12" t="inlineStr">
        <is>
          <t>T-MOD 230 kV take-off gantry with arresters</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2</v>
      </c>
      <c r="R5116" s="12" t="n">
        <v>2.8</v>
      </c>
      <c r="S5116" s="12" t="inlineStr">
        <is>
          <t>Duct bank</t>
        </is>
      </c>
      <c r="T5116" s="16" t="n">
        <v>386</v>
      </c>
      <c r="U5116" s="16" t="n">
        <v>130</v>
      </c>
      <c r="V5116" s="16">
        <f>ROUNDUP((T5116+U5116+2*'Read Me'!$B$13)*(1+'Read Me'!$B$12),-1)</f>
        <v/>
      </c>
      <c r="W5116" s="16">
        <f>V5116*N5116*O5116</f>
        <v/>
      </c>
      <c r="X5116" s="12">
        <f>IF(LEFT(I5116,2)="MV",2*N5116*IF(L5116="1/C",O5116,1),0)</f>
        <v/>
      </c>
      <c r="Y5116" s="12">
        <f>IF(OR(LEFT(K5116,4)="LVAX",LEFT(K5116,6)="MV15AX",LEFT(K5116,4)="CTAX",LEFT(K5116,2)="W|"),2*N5116*O5116,0)</f>
        <v/>
      </c>
      <c r="Z5116" s="12" t="inlineStr">
        <is>
          <t>VD 0.7 %</t>
        </is>
      </c>
      <c r="AA5116" s="12">
        <f>N5116*O5116</f>
        <v/>
      </c>
    </row>
    <row r="5117">
      <c r="A5117" s="12" t="inlineStr">
        <is>
          <t>I-P-0215</t>
        </is>
      </c>
      <c r="B5117" s="12" t="inlineStr">
        <is>
          <t>I</t>
        </is>
      </c>
      <c r="C5117" s="12" t="inlineStr">
        <is>
          <t>Modular / portable power</t>
        </is>
      </c>
      <c r="D5117" s="12" t="inlineStr">
        <is>
          <t>Motor 4 of 6, 2 kW</t>
        </is>
      </c>
      <c r="E5117" s="12" t="inlineStr"/>
      <c r="F5117" s="12" t="inlineStr">
        <is>
          <t>MOD-LV 480 V board + 480 V : 13.8 kV step-up</t>
        </is>
      </c>
      <c r="G5117" s="12" t="inlineStr"/>
      <c r="H5117" s="12" t="inlineStr">
        <is>
          <t>T-MOD 230 kV take-off gantry with arresters</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2</v>
      </c>
      <c r="R5117" s="12" t="n">
        <v>2.8</v>
      </c>
      <c r="S5117" s="12" t="inlineStr">
        <is>
          <t>Duct bank</t>
        </is>
      </c>
      <c r="T5117" s="16" t="n">
        <v>386</v>
      </c>
      <c r="U5117" s="16" t="n">
        <v>130</v>
      </c>
      <c r="V5117" s="16">
        <f>ROUNDUP((T5117+U5117+2*'Read Me'!$B$13)*(1+'Read Me'!$B$12),-1)</f>
        <v/>
      </c>
      <c r="W5117" s="16">
        <f>V5117*N5117*O5117</f>
        <v/>
      </c>
      <c r="X5117" s="12">
        <f>IF(LEFT(I5117,2)="MV",2*N5117*IF(L5117="1/C",O5117,1),0)</f>
        <v/>
      </c>
      <c r="Y5117" s="12">
        <f>IF(OR(LEFT(K5117,4)="LVAX",LEFT(K5117,6)="MV15AX",LEFT(K5117,4)="CTAX",LEFT(K5117,2)="W|"),2*N5117*O5117,0)</f>
        <v/>
      </c>
      <c r="Z5117" s="12" t="inlineStr">
        <is>
          <t>VD 0.7 %</t>
        </is>
      </c>
      <c r="AA5117" s="12">
        <f>N5117*O5117</f>
        <v/>
      </c>
    </row>
    <row r="5118">
      <c r="A5118" s="12" t="inlineStr">
        <is>
          <t>I-P-0216</t>
        </is>
      </c>
      <c r="B5118" s="12" t="inlineStr">
        <is>
          <t>I</t>
        </is>
      </c>
      <c r="C5118" s="12" t="inlineStr">
        <is>
          <t>Modular / portable power</t>
        </is>
      </c>
      <c r="D5118" s="12" t="inlineStr">
        <is>
          <t>Motor 5 of 6, 2 kW</t>
        </is>
      </c>
      <c r="E5118" s="12" t="inlineStr"/>
      <c r="F5118" s="12" t="inlineStr">
        <is>
          <t>MOD-LV 480 V board + 480 V : 13.8 kV step-up</t>
        </is>
      </c>
      <c r="G5118" s="12" t="inlineStr"/>
      <c r="H5118" s="12" t="inlineStr">
        <is>
          <t>T-MOD 230 kV take-off gantry with arresters</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2</v>
      </c>
      <c r="R5118" s="12" t="n">
        <v>2.8</v>
      </c>
      <c r="S5118" s="12" t="inlineStr">
        <is>
          <t>Duct bank</t>
        </is>
      </c>
      <c r="T5118" s="16" t="n">
        <v>386</v>
      </c>
      <c r="U5118" s="16" t="n">
        <v>130</v>
      </c>
      <c r="V5118" s="16">
        <f>ROUNDUP((T5118+U5118+2*'Read Me'!$B$13)*(1+'Read Me'!$B$12),-1)</f>
        <v/>
      </c>
      <c r="W5118" s="16">
        <f>V5118*N5118*O5118</f>
        <v/>
      </c>
      <c r="X5118" s="12">
        <f>IF(LEFT(I5118,2)="MV",2*N5118*IF(L5118="1/C",O5118,1),0)</f>
        <v/>
      </c>
      <c r="Y5118" s="12">
        <f>IF(OR(LEFT(K5118,4)="LVAX",LEFT(K5118,6)="MV15AX",LEFT(K5118,4)="CTAX",LEFT(K5118,2)="W|"),2*N5118*O5118,0)</f>
        <v/>
      </c>
      <c r="Z5118" s="12" t="inlineStr">
        <is>
          <t>VD 0.7 %</t>
        </is>
      </c>
      <c r="AA5118" s="12">
        <f>N5118*O5118</f>
        <v/>
      </c>
    </row>
    <row r="5119">
      <c r="A5119" s="12" t="inlineStr">
        <is>
          <t>I-P-0217</t>
        </is>
      </c>
      <c r="B5119" s="12" t="inlineStr">
        <is>
          <t>I</t>
        </is>
      </c>
      <c r="C5119" s="12" t="inlineStr">
        <is>
          <t>Modular / portable power</t>
        </is>
      </c>
      <c r="D5119" s="12" t="inlineStr">
        <is>
          <t>Motor 6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6" t="n">
        <v>386</v>
      </c>
      <c r="U5119" s="16" t="n">
        <v>130</v>
      </c>
      <c r="V5119" s="16">
        <f>ROUNDUP((T5119+U5119+2*'Read Me'!$B$13)*(1+'Read Me'!$B$12),-1)</f>
        <v/>
      </c>
      <c r="W5119" s="16">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I-P-0218</t>
        </is>
      </c>
      <c r="B5120" s="12" t="inlineStr">
        <is>
          <t>I</t>
        </is>
      </c>
      <c r="C5120" s="12" t="inlineStr">
        <is>
          <t>Modular / portable power</t>
        </is>
      </c>
      <c r="D5120" s="12" t="inlineStr">
        <is>
          <t>Motor 1 of 6, 2 kW</t>
        </is>
      </c>
      <c r="E5120" s="12" t="inlineStr"/>
      <c r="F5120" s="12" t="inlineStr">
        <is>
          <t>MOD-LV 480 V board + 480 V : 13.8 kV step-up</t>
        </is>
      </c>
      <c r="G5120" s="12" t="inlineStr"/>
      <c r="H5120" s="12" t="inlineStr">
        <is>
          <t>T-MOD-1 / T-MOD-2 firewall</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6" t="n">
        <v>378</v>
      </c>
      <c r="U5120" s="16" t="n">
        <v>132</v>
      </c>
      <c r="V5120" s="16">
        <f>ROUNDUP((T5120+U5120+2*'Read Me'!$B$13)*(1+'Read Me'!$B$12),-1)</f>
        <v/>
      </c>
      <c r="W5120" s="16">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I-P-0219</t>
        </is>
      </c>
      <c r="B5121" s="12" t="inlineStr">
        <is>
          <t>I</t>
        </is>
      </c>
      <c r="C5121" s="12" t="inlineStr">
        <is>
          <t>Modular / portable power</t>
        </is>
      </c>
      <c r="D5121" s="12" t="inlineStr">
        <is>
          <t>Motor 2 of 6, 2 kW</t>
        </is>
      </c>
      <c r="E5121" s="12" t="inlineStr"/>
      <c r="F5121" s="12" t="inlineStr">
        <is>
          <t>MOD-LV 480 V board + 480 V : 13.8 kV step-up</t>
        </is>
      </c>
      <c r="G5121" s="12" t="inlineStr"/>
      <c r="H5121" s="12" t="inlineStr">
        <is>
          <t>T-MOD-1 / T-MOD-2 firewall</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6" t="n">
        <v>378</v>
      </c>
      <c r="U5121" s="16" t="n">
        <v>132</v>
      </c>
      <c r="V5121" s="16">
        <f>ROUNDUP((T5121+U5121+2*'Read Me'!$B$13)*(1+'Read Me'!$B$12),-1)</f>
        <v/>
      </c>
      <c r="W5121" s="16">
        <f>V5121*N5121*O5121</f>
        <v/>
      </c>
      <c r="X5121" s="12">
        <f>IF(LEFT(I5121,2)="MV",2*N5121*IF(L5121="1/C",O5121,1),0)</f>
        <v/>
      </c>
      <c r="Y5121" s="12">
        <f>IF(OR(LEFT(K5121,4)="LVAX",LEFT(K5121,6)="MV15AX",LEFT(K5121,4)="CTAX",LEFT(K5121,2)="W|"),2*N5121*O5121,0)</f>
        <v/>
      </c>
      <c r="Z5121" s="12" t="inlineStr">
        <is>
          <t>VD 0.7 %</t>
        </is>
      </c>
      <c r="AA5121" s="12">
        <f>N5121*O5121</f>
        <v/>
      </c>
    </row>
    <row r="5122">
      <c r="A5122" s="12" t="inlineStr">
        <is>
          <t>I-P-0220</t>
        </is>
      </c>
      <c r="B5122" s="12" t="inlineStr">
        <is>
          <t>I</t>
        </is>
      </c>
      <c r="C5122" s="12" t="inlineStr">
        <is>
          <t>Modular / portable power</t>
        </is>
      </c>
      <c r="D5122" s="12" t="inlineStr">
        <is>
          <t>Motor 3 of 6, 2 kW</t>
        </is>
      </c>
      <c r="E5122" s="12" t="inlineStr"/>
      <c r="F5122" s="12" t="inlineStr">
        <is>
          <t>MOD-LV 480 V board + 480 V : 13.8 kV step-up</t>
        </is>
      </c>
      <c r="G5122" s="12" t="inlineStr"/>
      <c r="H5122" s="12" t="inlineStr">
        <is>
          <t>T-MOD-1 / T-MOD-2 firewall</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6" t="n">
        <v>378</v>
      </c>
      <c r="U5122" s="16" t="n">
        <v>132</v>
      </c>
      <c r="V5122" s="16">
        <f>ROUNDUP((T5122+U5122+2*'Read Me'!$B$13)*(1+'Read Me'!$B$12),-1)</f>
        <v/>
      </c>
      <c r="W5122" s="16">
        <f>V5122*N5122*O5122</f>
        <v/>
      </c>
      <c r="X5122" s="12">
        <f>IF(LEFT(I5122,2)="MV",2*N5122*IF(L5122="1/C",O5122,1),0)</f>
        <v/>
      </c>
      <c r="Y5122" s="12">
        <f>IF(OR(LEFT(K5122,4)="LVAX",LEFT(K5122,6)="MV15AX",LEFT(K5122,4)="CTAX",LEFT(K5122,2)="W|"),2*N5122*O5122,0)</f>
        <v/>
      </c>
      <c r="Z5122" s="12" t="inlineStr">
        <is>
          <t>VD 0.7 %</t>
        </is>
      </c>
      <c r="AA5122" s="12">
        <f>N5122*O5122</f>
        <v/>
      </c>
    </row>
    <row r="5123">
      <c r="A5123" s="12" t="inlineStr">
        <is>
          <t>I-P-0221</t>
        </is>
      </c>
      <c r="B5123" s="12" t="inlineStr">
        <is>
          <t>I</t>
        </is>
      </c>
      <c r="C5123" s="12" t="inlineStr">
        <is>
          <t>Modular / portable power</t>
        </is>
      </c>
      <c r="D5123" s="12" t="inlineStr">
        <is>
          <t>Motor 4 of 6, 2 kW</t>
        </is>
      </c>
      <c r="E5123" s="12" t="inlineStr"/>
      <c r="F5123" s="12" t="inlineStr">
        <is>
          <t>MOD-LV 480 V board + 480 V : 13.8 kV step-up</t>
        </is>
      </c>
      <c r="G5123" s="12" t="inlineStr"/>
      <c r="H5123" s="12" t="inlineStr">
        <is>
          <t>T-MOD-1 / T-MOD-2 firewall</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6" t="n">
        <v>378</v>
      </c>
      <c r="U5123" s="16" t="n">
        <v>132</v>
      </c>
      <c r="V5123" s="16">
        <f>ROUNDUP((T5123+U5123+2*'Read Me'!$B$13)*(1+'Read Me'!$B$12),-1)</f>
        <v/>
      </c>
      <c r="W5123" s="16">
        <f>V5123*N5123*O5123</f>
        <v/>
      </c>
      <c r="X5123" s="12">
        <f>IF(LEFT(I5123,2)="MV",2*N5123*IF(L5123="1/C",O5123,1),0)</f>
        <v/>
      </c>
      <c r="Y5123" s="12">
        <f>IF(OR(LEFT(K5123,4)="LVAX",LEFT(K5123,6)="MV15AX",LEFT(K5123,4)="CTAX",LEFT(K5123,2)="W|"),2*N5123*O5123,0)</f>
        <v/>
      </c>
      <c r="Z5123" s="12" t="inlineStr">
        <is>
          <t>VD 0.7 %</t>
        </is>
      </c>
      <c r="AA5123" s="12">
        <f>N5123*O5123</f>
        <v/>
      </c>
    </row>
    <row r="5124">
      <c r="A5124" s="12" t="inlineStr">
        <is>
          <t>I-P-0222</t>
        </is>
      </c>
      <c r="B5124" s="12" t="inlineStr">
        <is>
          <t>I</t>
        </is>
      </c>
      <c r="C5124" s="12" t="inlineStr">
        <is>
          <t>Modular / portable power</t>
        </is>
      </c>
      <c r="D5124" s="12" t="inlineStr">
        <is>
          <t>Motor 5 of 6, 2 kW</t>
        </is>
      </c>
      <c r="E5124" s="12" t="inlineStr"/>
      <c r="F5124" s="12" t="inlineStr">
        <is>
          <t>MOD-LV 480 V board + 480 V : 13.8 kV step-up</t>
        </is>
      </c>
      <c r="G5124" s="12" t="inlineStr"/>
      <c r="H5124" s="12" t="inlineStr">
        <is>
          <t>T-MOD-1 / T-MOD-2 firewall</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6" t="n">
        <v>378</v>
      </c>
      <c r="U5124" s="16" t="n">
        <v>132</v>
      </c>
      <c r="V5124" s="16">
        <f>ROUNDUP((T5124+U5124+2*'Read Me'!$B$13)*(1+'Read Me'!$B$12),-1)</f>
        <v/>
      </c>
      <c r="W5124" s="16">
        <f>V5124*N5124*O5124</f>
        <v/>
      </c>
      <c r="X5124" s="12">
        <f>IF(LEFT(I5124,2)="MV",2*N5124*IF(L5124="1/C",O5124,1),0)</f>
        <v/>
      </c>
      <c r="Y5124" s="12">
        <f>IF(OR(LEFT(K5124,4)="LVAX",LEFT(K5124,6)="MV15AX",LEFT(K5124,4)="CTAX",LEFT(K5124,2)="W|"),2*N5124*O5124,0)</f>
        <v/>
      </c>
      <c r="Z5124" s="12" t="inlineStr">
        <is>
          <t>VD 0.7 %</t>
        </is>
      </c>
      <c r="AA5124" s="12">
        <f>N5124*O5124</f>
        <v/>
      </c>
    </row>
    <row r="5125">
      <c r="A5125" s="12" t="inlineStr">
        <is>
          <t>I-P-0223</t>
        </is>
      </c>
      <c r="B5125" s="12" t="inlineStr">
        <is>
          <t>I</t>
        </is>
      </c>
      <c r="C5125" s="12" t="inlineStr">
        <is>
          <t>Modular / portable power</t>
        </is>
      </c>
      <c r="D5125" s="12" t="inlineStr">
        <is>
          <t>Motor 6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6" t="n">
        <v>378</v>
      </c>
      <c r="U5125" s="16" t="n">
        <v>132</v>
      </c>
      <c r="V5125" s="16">
        <f>ROUNDUP((T5125+U5125+2*'Read Me'!$B$13)*(1+'Read Me'!$B$12),-1)</f>
        <v/>
      </c>
      <c r="W5125" s="16">
        <f>V5125*N5125*O5125</f>
        <v/>
      </c>
      <c r="X5125" s="12">
        <f>IF(LEFT(I5125,2)="MV",2*N5125*IF(L5125="1/C",O5125,1),0)</f>
        <v/>
      </c>
      <c r="Y5125" s="12">
        <f>IF(OR(LEFT(K5125,4)="LVAX",LEFT(K5125,6)="MV15AX",LEFT(K5125,4)="CTAX",LEFT(K5125,2)="W|"),2*N5125*O5125,0)</f>
        <v/>
      </c>
      <c r="Z5125" s="12" t="inlineStr">
        <is>
          <t>VD 0.7 %</t>
        </is>
      </c>
      <c r="AA5125" s="12">
        <f>N5125*O5125</f>
        <v/>
      </c>
    </row>
    <row r="5126">
      <c r="A5126" s="12" t="inlineStr">
        <is>
          <t>I-P-0224</t>
        </is>
      </c>
      <c r="B5126" s="12" t="inlineStr">
        <is>
          <t>I</t>
        </is>
      </c>
      <c r="C5126" s="12" t="inlineStr">
        <is>
          <t>Modular / portable power</t>
        </is>
      </c>
      <c r="D5126" s="12" t="inlineStr">
        <is>
          <t>Motor 1 of 6, 2 kW</t>
        </is>
      </c>
      <c r="E5126" s="12" t="inlineStr"/>
      <c r="F5126" s="12" t="inlineStr">
        <is>
          <t>MOD-LV 480 V board + 480 V : 13.8 kV step-up</t>
        </is>
      </c>
      <c r="G5126" s="12" t="inlineStr">
        <is>
          <t>T-MOD-1</t>
        </is>
      </c>
      <c r="H5126" s="12" t="inlineStr">
        <is>
          <t>T-MOD-1: 13.8/230 kV</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6" t="n">
        <v>378</v>
      </c>
      <c r="U5126" s="16" t="n">
        <v>84</v>
      </c>
      <c r="V5126" s="16">
        <f>ROUNDUP((T5126+U5126+2*'Read Me'!$B$13)*(1+'Read Me'!$B$12),-1)</f>
        <v/>
      </c>
      <c r="W5126" s="16">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I-P-0225</t>
        </is>
      </c>
      <c r="B5127" s="12" t="inlineStr">
        <is>
          <t>I</t>
        </is>
      </c>
      <c r="C5127" s="12" t="inlineStr">
        <is>
          <t>Modular / portable power</t>
        </is>
      </c>
      <c r="D5127" s="12" t="inlineStr">
        <is>
          <t>Motor 2 of 6, 2 kW</t>
        </is>
      </c>
      <c r="E5127" s="12" t="inlineStr"/>
      <c r="F5127" s="12" t="inlineStr">
        <is>
          <t>MOD-LV 480 V board + 480 V : 13.8 kV step-up</t>
        </is>
      </c>
      <c r="G5127" s="12" t="inlineStr">
        <is>
          <t>T-MOD-1</t>
        </is>
      </c>
      <c r="H5127" s="12" t="inlineStr">
        <is>
          <t>T-MOD-1: 13.8/230 kV</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6" t="n">
        <v>378</v>
      </c>
      <c r="U5127" s="16" t="n">
        <v>84</v>
      </c>
      <c r="V5127" s="16">
        <f>ROUNDUP((T5127+U5127+2*'Read Me'!$B$13)*(1+'Read Me'!$B$12),-1)</f>
        <v/>
      </c>
      <c r="W5127" s="16">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I-P-0226</t>
        </is>
      </c>
      <c r="B5128" s="12" t="inlineStr">
        <is>
          <t>I</t>
        </is>
      </c>
      <c r="C5128" s="12" t="inlineStr">
        <is>
          <t>Modular / portable power</t>
        </is>
      </c>
      <c r="D5128" s="12" t="inlineStr">
        <is>
          <t>Motor 3 of 6, 2 kW</t>
        </is>
      </c>
      <c r="E5128" s="12" t="inlineStr"/>
      <c r="F5128" s="12" t="inlineStr">
        <is>
          <t>MOD-LV 480 V board + 480 V : 13.8 kV step-up</t>
        </is>
      </c>
      <c r="G5128" s="12" t="inlineStr">
        <is>
          <t>T-MOD-1</t>
        </is>
      </c>
      <c r="H5128" s="12" t="inlineStr">
        <is>
          <t>T-MOD-1: 13.8/230 kV</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6" t="n">
        <v>378</v>
      </c>
      <c r="U5128" s="16" t="n">
        <v>84</v>
      </c>
      <c r="V5128" s="16">
        <f>ROUNDUP((T5128+U5128+2*'Read Me'!$B$13)*(1+'Read Me'!$B$12),-1)</f>
        <v/>
      </c>
      <c r="W5128" s="16">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I-P-0227</t>
        </is>
      </c>
      <c r="B5129" s="12" t="inlineStr">
        <is>
          <t>I</t>
        </is>
      </c>
      <c r="C5129" s="12" t="inlineStr">
        <is>
          <t>Modular / portable power</t>
        </is>
      </c>
      <c r="D5129" s="12" t="inlineStr">
        <is>
          <t>Motor 4 of 6, 2 kW</t>
        </is>
      </c>
      <c r="E5129" s="12" t="inlineStr"/>
      <c r="F5129" s="12" t="inlineStr">
        <is>
          <t>MOD-LV 480 V board + 480 V : 13.8 kV step-up</t>
        </is>
      </c>
      <c r="G5129" s="12" t="inlineStr">
        <is>
          <t>T-MOD-1</t>
        </is>
      </c>
      <c r="H5129" s="12" t="inlineStr">
        <is>
          <t>T-MOD-1: 13.8/230 kV</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6" t="n">
        <v>378</v>
      </c>
      <c r="U5129" s="16" t="n">
        <v>84</v>
      </c>
      <c r="V5129" s="16">
        <f>ROUNDUP((T5129+U5129+2*'Read Me'!$B$13)*(1+'Read Me'!$B$12),-1)</f>
        <v/>
      </c>
      <c r="W5129" s="16">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I-P-0228</t>
        </is>
      </c>
      <c r="B5130" s="12" t="inlineStr">
        <is>
          <t>I</t>
        </is>
      </c>
      <c r="C5130" s="12" t="inlineStr">
        <is>
          <t>Modular / portable power</t>
        </is>
      </c>
      <c r="D5130" s="12" t="inlineStr">
        <is>
          <t>Motor 5 of 6, 2 kW</t>
        </is>
      </c>
      <c r="E5130" s="12" t="inlineStr"/>
      <c r="F5130" s="12" t="inlineStr">
        <is>
          <t>MOD-LV 480 V board + 480 V : 13.8 kV step-up</t>
        </is>
      </c>
      <c r="G5130" s="12" t="inlineStr">
        <is>
          <t>T-MOD-1</t>
        </is>
      </c>
      <c r="H5130" s="12" t="inlineStr">
        <is>
          <t>T-MOD-1: 13.8/230 kV</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6" t="n">
        <v>378</v>
      </c>
      <c r="U5130" s="16" t="n">
        <v>84</v>
      </c>
      <c r="V5130" s="16">
        <f>ROUNDUP((T5130+U5130+2*'Read Me'!$B$13)*(1+'Read Me'!$B$12),-1)</f>
        <v/>
      </c>
      <c r="W5130" s="16">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I-P-0229</t>
        </is>
      </c>
      <c r="B5131" s="12" t="inlineStr">
        <is>
          <t>I</t>
        </is>
      </c>
      <c r="C5131" s="12" t="inlineStr">
        <is>
          <t>Modular / portable power</t>
        </is>
      </c>
      <c r="D5131" s="12" t="inlineStr">
        <is>
          <t>Motor 6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6" t="n">
        <v>378</v>
      </c>
      <c r="U5131" s="16" t="n">
        <v>84</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I-P-0230</t>
        </is>
      </c>
      <c r="B5132" s="12" t="inlineStr">
        <is>
          <t>I</t>
        </is>
      </c>
      <c r="C5132" s="12" t="inlineStr">
        <is>
          <t>Modular / portable power</t>
        </is>
      </c>
      <c r="D5132" s="12" t="inlineStr">
        <is>
          <t>Motor 1 of 6, 2 kW</t>
        </is>
      </c>
      <c r="E5132" s="12" t="inlineStr"/>
      <c r="F5132" s="12" t="inlineStr">
        <is>
          <t>MOD-LV 480 V board + 480 V : 13.8 kV step-up</t>
        </is>
      </c>
      <c r="G5132" s="12" t="inlineStr">
        <is>
          <t>T-MOD-2</t>
        </is>
      </c>
      <c r="H5132" s="12" t="inlineStr">
        <is>
          <t>T-MOD-2: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Tray</t>
        </is>
      </c>
      <c r="T5132" s="16" t="n">
        <v>0</v>
      </c>
      <c r="U5132" s="16" t="n">
        <v>189</v>
      </c>
      <c r="V5132" s="16">
        <f>ROUNDUP((T5132+U5132+2*'Read Me'!$B$13)*(1+'Read Me'!$B$12),-1)</f>
        <v/>
      </c>
      <c r="W5132" s="16">
        <f>V5132*N5132*O5132</f>
        <v/>
      </c>
      <c r="X5132" s="12">
        <f>IF(LEFT(I5132,2)="MV",2*N5132*IF(L5132="1/C",O5132,1),0)</f>
        <v/>
      </c>
      <c r="Y5132" s="12">
        <f>IF(OR(LEFT(K5132,4)="LVAX",LEFT(K5132,6)="MV15AX",LEFT(K5132,4)="CTAX",LEFT(K5132,2)="W|"),2*N5132*O5132,0)</f>
        <v/>
      </c>
      <c r="Z5132" s="12" t="inlineStr">
        <is>
          <t>VD 0.3 %</t>
        </is>
      </c>
      <c r="AA5132" s="12">
        <f>N5132*O5132</f>
        <v/>
      </c>
    </row>
    <row r="5133">
      <c r="A5133" s="12" t="inlineStr">
        <is>
          <t>I-P-0231</t>
        </is>
      </c>
      <c r="B5133" s="12" t="inlineStr">
        <is>
          <t>I</t>
        </is>
      </c>
      <c r="C5133" s="12" t="inlineStr">
        <is>
          <t>Modular / portable power</t>
        </is>
      </c>
      <c r="D5133" s="12" t="inlineStr">
        <is>
          <t>Motor 2 of 6, 2 kW</t>
        </is>
      </c>
      <c r="E5133" s="12" t="inlineStr"/>
      <c r="F5133" s="12" t="inlineStr">
        <is>
          <t>MOD-LV 480 V board + 480 V : 13.8 kV step-up</t>
        </is>
      </c>
      <c r="G5133" s="12" t="inlineStr">
        <is>
          <t>T-MOD-2</t>
        </is>
      </c>
      <c r="H5133" s="12" t="inlineStr">
        <is>
          <t>T-MOD-2: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Tray</t>
        </is>
      </c>
      <c r="T5133" s="16" t="n">
        <v>0</v>
      </c>
      <c r="U5133" s="16" t="n">
        <v>189</v>
      </c>
      <c r="V5133" s="16">
        <f>ROUNDUP((T5133+U5133+2*'Read Me'!$B$13)*(1+'Read Me'!$B$12),-1)</f>
        <v/>
      </c>
      <c r="W5133" s="16">
        <f>V5133*N5133*O5133</f>
        <v/>
      </c>
      <c r="X5133" s="12">
        <f>IF(LEFT(I5133,2)="MV",2*N5133*IF(L5133="1/C",O5133,1),0)</f>
        <v/>
      </c>
      <c r="Y5133" s="12">
        <f>IF(OR(LEFT(K5133,4)="LVAX",LEFT(K5133,6)="MV15AX",LEFT(K5133,4)="CTAX",LEFT(K5133,2)="W|"),2*N5133*O5133,0)</f>
        <v/>
      </c>
      <c r="Z5133" s="12" t="inlineStr">
        <is>
          <t>VD 0.3 %</t>
        </is>
      </c>
      <c r="AA5133" s="12">
        <f>N5133*O5133</f>
        <v/>
      </c>
    </row>
    <row r="5134">
      <c r="A5134" s="12" t="inlineStr">
        <is>
          <t>I-P-0232</t>
        </is>
      </c>
      <c r="B5134" s="12" t="inlineStr">
        <is>
          <t>I</t>
        </is>
      </c>
      <c r="C5134" s="12" t="inlineStr">
        <is>
          <t>Modular / portable power</t>
        </is>
      </c>
      <c r="D5134" s="12" t="inlineStr">
        <is>
          <t>Motor 3 of 6, 2 kW</t>
        </is>
      </c>
      <c r="E5134" s="12" t="inlineStr"/>
      <c r="F5134" s="12" t="inlineStr">
        <is>
          <t>MOD-LV 480 V board + 480 V : 13.8 kV step-up</t>
        </is>
      </c>
      <c r="G5134" s="12" t="inlineStr">
        <is>
          <t>T-MOD-2</t>
        </is>
      </c>
      <c r="H5134" s="12" t="inlineStr">
        <is>
          <t>T-MOD-2: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Tray</t>
        </is>
      </c>
      <c r="T5134" s="16" t="n">
        <v>0</v>
      </c>
      <c r="U5134" s="16" t="n">
        <v>189</v>
      </c>
      <c r="V5134" s="16">
        <f>ROUNDUP((T5134+U5134+2*'Read Me'!$B$13)*(1+'Read Me'!$B$12),-1)</f>
        <v/>
      </c>
      <c r="W5134" s="16">
        <f>V5134*N5134*O5134</f>
        <v/>
      </c>
      <c r="X5134" s="12">
        <f>IF(LEFT(I5134,2)="MV",2*N5134*IF(L5134="1/C",O5134,1),0)</f>
        <v/>
      </c>
      <c r="Y5134" s="12">
        <f>IF(OR(LEFT(K5134,4)="LVAX",LEFT(K5134,6)="MV15AX",LEFT(K5134,4)="CTAX",LEFT(K5134,2)="W|"),2*N5134*O5134,0)</f>
        <v/>
      </c>
      <c r="Z5134" s="12" t="inlineStr">
        <is>
          <t>VD 0.3 %</t>
        </is>
      </c>
      <c r="AA5134" s="12">
        <f>N5134*O5134</f>
        <v/>
      </c>
    </row>
    <row r="5135">
      <c r="A5135" s="12" t="inlineStr">
        <is>
          <t>I-P-0233</t>
        </is>
      </c>
      <c r="B5135" s="12" t="inlineStr">
        <is>
          <t>I</t>
        </is>
      </c>
      <c r="C5135" s="12" t="inlineStr">
        <is>
          <t>Modular / portable power</t>
        </is>
      </c>
      <c r="D5135" s="12" t="inlineStr">
        <is>
          <t>Motor 4 of 6, 2 kW</t>
        </is>
      </c>
      <c r="E5135" s="12" t="inlineStr"/>
      <c r="F5135" s="12" t="inlineStr">
        <is>
          <t>MOD-LV 480 V board + 480 V : 13.8 kV step-up</t>
        </is>
      </c>
      <c r="G5135" s="12" t="inlineStr">
        <is>
          <t>T-MOD-2</t>
        </is>
      </c>
      <c r="H5135" s="12" t="inlineStr">
        <is>
          <t>T-MOD-2: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Tray</t>
        </is>
      </c>
      <c r="T5135" s="16" t="n">
        <v>0</v>
      </c>
      <c r="U5135" s="16" t="n">
        <v>189</v>
      </c>
      <c r="V5135" s="16">
        <f>ROUNDUP((T5135+U5135+2*'Read Me'!$B$13)*(1+'Read Me'!$B$12),-1)</f>
        <v/>
      </c>
      <c r="W5135" s="16">
        <f>V5135*N5135*O5135</f>
        <v/>
      </c>
      <c r="X5135" s="12">
        <f>IF(LEFT(I5135,2)="MV",2*N5135*IF(L5135="1/C",O5135,1),0)</f>
        <v/>
      </c>
      <c r="Y5135" s="12">
        <f>IF(OR(LEFT(K5135,4)="LVAX",LEFT(K5135,6)="MV15AX",LEFT(K5135,4)="CTAX",LEFT(K5135,2)="W|"),2*N5135*O5135,0)</f>
        <v/>
      </c>
      <c r="Z5135" s="12" t="inlineStr">
        <is>
          <t>VD 0.3 %</t>
        </is>
      </c>
      <c r="AA5135" s="12">
        <f>N5135*O5135</f>
        <v/>
      </c>
    </row>
    <row r="5136">
      <c r="A5136" s="12" t="inlineStr">
        <is>
          <t>I-P-0234</t>
        </is>
      </c>
      <c r="B5136" s="12" t="inlineStr">
        <is>
          <t>I</t>
        </is>
      </c>
      <c r="C5136" s="12" t="inlineStr">
        <is>
          <t>Modular / portable power</t>
        </is>
      </c>
      <c r="D5136" s="12" t="inlineStr">
        <is>
          <t>Motor 5 of 6, 2 kW</t>
        </is>
      </c>
      <c r="E5136" s="12" t="inlineStr"/>
      <c r="F5136" s="12" t="inlineStr">
        <is>
          <t>MOD-LV 480 V board + 480 V : 13.8 kV step-up</t>
        </is>
      </c>
      <c r="G5136" s="12" t="inlineStr">
        <is>
          <t>T-MOD-2</t>
        </is>
      </c>
      <c r="H5136" s="12" t="inlineStr">
        <is>
          <t>T-MOD-2: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Tray</t>
        </is>
      </c>
      <c r="T5136" s="16" t="n">
        <v>0</v>
      </c>
      <c r="U5136" s="16" t="n">
        <v>189</v>
      </c>
      <c r="V5136" s="16">
        <f>ROUNDUP((T5136+U5136+2*'Read Me'!$B$13)*(1+'Read Me'!$B$12),-1)</f>
        <v/>
      </c>
      <c r="W5136" s="16">
        <f>V5136*N5136*O5136</f>
        <v/>
      </c>
      <c r="X5136" s="12">
        <f>IF(LEFT(I5136,2)="MV",2*N5136*IF(L5136="1/C",O5136,1),0)</f>
        <v/>
      </c>
      <c r="Y5136" s="12">
        <f>IF(OR(LEFT(K5136,4)="LVAX",LEFT(K5136,6)="MV15AX",LEFT(K5136,4)="CTAX",LEFT(K5136,2)="W|"),2*N5136*O5136,0)</f>
        <v/>
      </c>
      <c r="Z5136" s="12" t="inlineStr">
        <is>
          <t>VD 0.3 %</t>
        </is>
      </c>
      <c r="AA5136" s="12">
        <f>N5136*O5136</f>
        <v/>
      </c>
    </row>
    <row r="5137">
      <c r="A5137" s="12" t="inlineStr">
        <is>
          <t>I-P-0235</t>
        </is>
      </c>
      <c r="B5137" s="12" t="inlineStr">
        <is>
          <t>I</t>
        </is>
      </c>
      <c r="C5137" s="12" t="inlineStr">
        <is>
          <t>Modular / portable power</t>
        </is>
      </c>
      <c r="D5137" s="12" t="inlineStr">
        <is>
          <t>Motor 6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Tray</t>
        </is>
      </c>
      <c r="T5137" s="16" t="n">
        <v>0</v>
      </c>
      <c r="U5137" s="16" t="n">
        <v>189</v>
      </c>
      <c r="V5137" s="16">
        <f>ROUNDUP((T5137+U5137+2*'Read Me'!$B$13)*(1+'Read Me'!$B$12),-1)</f>
        <v/>
      </c>
      <c r="W5137" s="16">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I-P-0236</t>
        </is>
      </c>
      <c r="B5138" s="12" t="inlineStr">
        <is>
          <t>I</t>
        </is>
      </c>
      <c r="C5138" s="12" t="inlineStr">
        <is>
          <t>Modular / portable power</t>
        </is>
      </c>
      <c r="D5138" s="12" t="inlineStr">
        <is>
          <t>Motor 1 of 6, 22 kW</t>
        </is>
      </c>
      <c r="E5138" s="12" t="inlineStr"/>
      <c r="F5138" s="12" t="inlineStr">
        <is>
          <t>MOD-LV 480 V board + 480 V : 13.8 kV step-up</t>
        </is>
      </c>
      <c r="G5138" s="12" t="inlineStr">
        <is>
          <t>TM-1</t>
        </is>
      </c>
      <c r="H5138" s="12" t="inlineStr">
        <is>
          <t>TM-1: trailer-mounted aeroderivative GT (TM2500 class, ~35 MW)</t>
        </is>
      </c>
      <c r="I5138" s="12" t="inlineStr">
        <is>
          <t>LV 600 V</t>
        </is>
      </c>
      <c r="J5138" s="12" t="inlineStr">
        <is>
          <t>Type TC-ER 600 V 3/C Cu XHHW-2 + ground, PVC jacket</t>
        </is>
      </c>
      <c r="K5138" s="12" t="inlineStr">
        <is>
          <t>LV|3/C+G|4/0</t>
        </is>
      </c>
      <c r="L5138" s="12" t="inlineStr">
        <is>
          <t>3/C+G</t>
        </is>
      </c>
      <c r="M5138" s="12" t="inlineStr">
        <is>
          <t>4/0</t>
        </is>
      </c>
      <c r="N5138" s="12" t="n">
        <v>1</v>
      </c>
      <c r="O5138" s="12" t="n">
        <v>1</v>
      </c>
      <c r="P5138" s="12" t="n">
        <v>480</v>
      </c>
      <c r="Q5138" s="12" t="n">
        <v>22</v>
      </c>
      <c r="R5138" s="12" t="n">
        <v>31.1</v>
      </c>
      <c r="S5138" s="12" t="inlineStr">
        <is>
          <t>Duct bank</t>
        </is>
      </c>
      <c r="T5138" s="16" t="n">
        <v>3194</v>
      </c>
      <c r="U5138" s="16" t="n">
        <v>70</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I-P-0237</t>
        </is>
      </c>
      <c r="B5139" s="12" t="inlineStr">
        <is>
          <t>I</t>
        </is>
      </c>
      <c r="C5139" s="12" t="inlineStr">
        <is>
          <t>Modular / portable power</t>
        </is>
      </c>
      <c r="D5139" s="12" t="inlineStr">
        <is>
          <t>Motor 2 of 6, 22 kW</t>
        </is>
      </c>
      <c r="E5139" s="12" t="inlineStr"/>
      <c r="F5139" s="12" t="inlineStr">
        <is>
          <t>MOD-LV 480 V board + 480 V : 13.8 kV step-up</t>
        </is>
      </c>
      <c r="G5139" s="12" t="inlineStr">
        <is>
          <t>TM-1</t>
        </is>
      </c>
      <c r="H5139" s="12" t="inlineStr">
        <is>
          <t>TM-1: trailer-mounted aeroderivative GT (TM2500 class, ~35 MW)</t>
        </is>
      </c>
      <c r="I5139" s="12" t="inlineStr">
        <is>
          <t>LV 600 V</t>
        </is>
      </c>
      <c r="J5139" s="12" t="inlineStr">
        <is>
          <t>Type TC-ER 600 V 3/C Cu XHHW-2 + ground, PVC jacket</t>
        </is>
      </c>
      <c r="K5139" s="12" t="inlineStr">
        <is>
          <t>LV|3/C+G|4/0</t>
        </is>
      </c>
      <c r="L5139" s="12" t="inlineStr">
        <is>
          <t>3/C+G</t>
        </is>
      </c>
      <c r="M5139" s="12" t="inlineStr">
        <is>
          <t>4/0</t>
        </is>
      </c>
      <c r="N5139" s="12" t="n">
        <v>1</v>
      </c>
      <c r="O5139" s="12" t="n">
        <v>1</v>
      </c>
      <c r="P5139" s="12" t="n">
        <v>480</v>
      </c>
      <c r="Q5139" s="12" t="n">
        <v>22</v>
      </c>
      <c r="R5139" s="12" t="n">
        <v>31.1</v>
      </c>
      <c r="S5139" s="12" t="inlineStr">
        <is>
          <t>Duct bank</t>
        </is>
      </c>
      <c r="T5139" s="16" t="n">
        <v>3194</v>
      </c>
      <c r="U5139" s="16" t="n">
        <v>70</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I-P-0238</t>
        </is>
      </c>
      <c r="B5140" s="12" t="inlineStr">
        <is>
          <t>I</t>
        </is>
      </c>
      <c r="C5140" s="12" t="inlineStr">
        <is>
          <t>Modular / portable power</t>
        </is>
      </c>
      <c r="D5140" s="12" t="inlineStr">
        <is>
          <t>Motor 3 of 6, 22 kW</t>
        </is>
      </c>
      <c r="E5140" s="12" t="inlineStr"/>
      <c r="F5140" s="12" t="inlineStr">
        <is>
          <t>MOD-LV 480 V board + 480 V : 13.8 kV step-up</t>
        </is>
      </c>
      <c r="G5140" s="12" t="inlineStr">
        <is>
          <t>TM-1</t>
        </is>
      </c>
      <c r="H5140" s="12" t="inlineStr">
        <is>
          <t>TM-1: trailer-mounted aeroderivative GT (TM2500 class, ~35 MW)</t>
        </is>
      </c>
      <c r="I5140" s="12" t="inlineStr">
        <is>
          <t>LV 600 V</t>
        </is>
      </c>
      <c r="J5140" s="12" t="inlineStr">
        <is>
          <t>Type TC-ER 600 V 3/C Cu XHHW-2 + ground, PVC jacket</t>
        </is>
      </c>
      <c r="K5140" s="12" t="inlineStr">
        <is>
          <t>LV|3/C+G|4/0</t>
        </is>
      </c>
      <c r="L5140" s="12" t="inlineStr">
        <is>
          <t>3/C+G</t>
        </is>
      </c>
      <c r="M5140" s="12" t="inlineStr">
        <is>
          <t>4/0</t>
        </is>
      </c>
      <c r="N5140" s="12" t="n">
        <v>1</v>
      </c>
      <c r="O5140" s="12" t="n">
        <v>1</v>
      </c>
      <c r="P5140" s="12" t="n">
        <v>480</v>
      </c>
      <c r="Q5140" s="12" t="n">
        <v>22</v>
      </c>
      <c r="R5140" s="12" t="n">
        <v>31.1</v>
      </c>
      <c r="S5140" s="12" t="inlineStr">
        <is>
          <t>Duct bank</t>
        </is>
      </c>
      <c r="T5140" s="16" t="n">
        <v>3194</v>
      </c>
      <c r="U5140" s="16" t="n">
        <v>70</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I-P-0239</t>
        </is>
      </c>
      <c r="B5141" s="12" t="inlineStr">
        <is>
          <t>I</t>
        </is>
      </c>
      <c r="C5141" s="12" t="inlineStr">
        <is>
          <t>Modular / portable power</t>
        </is>
      </c>
      <c r="D5141" s="12" t="inlineStr">
        <is>
          <t>Motor 4 of 6, 22 kW</t>
        </is>
      </c>
      <c r="E5141" s="12" t="inlineStr"/>
      <c r="F5141" s="12" t="inlineStr">
        <is>
          <t>MOD-LV 480 V board + 480 V : 13.8 kV step-up</t>
        </is>
      </c>
      <c r="G5141" s="12" t="inlineStr">
        <is>
          <t>TM-1</t>
        </is>
      </c>
      <c r="H5141" s="12" t="inlineStr">
        <is>
          <t>TM-1: trailer-mounted aeroderivative GT (TM2500 class, ~35 MW)</t>
        </is>
      </c>
      <c r="I5141" s="12" t="inlineStr">
        <is>
          <t>LV 600 V</t>
        </is>
      </c>
      <c r="J5141" s="12" t="inlineStr">
        <is>
          <t>Type TC-ER 600 V 3/C Cu XHHW-2 + ground, PVC jacket</t>
        </is>
      </c>
      <c r="K5141" s="12" t="inlineStr">
        <is>
          <t>LV|3/C+G|4/0</t>
        </is>
      </c>
      <c r="L5141" s="12" t="inlineStr">
        <is>
          <t>3/C+G</t>
        </is>
      </c>
      <c r="M5141" s="12" t="inlineStr">
        <is>
          <t>4/0</t>
        </is>
      </c>
      <c r="N5141" s="12" t="n">
        <v>1</v>
      </c>
      <c r="O5141" s="12" t="n">
        <v>1</v>
      </c>
      <c r="P5141" s="12" t="n">
        <v>480</v>
      </c>
      <c r="Q5141" s="12" t="n">
        <v>22</v>
      </c>
      <c r="R5141" s="12" t="n">
        <v>31.1</v>
      </c>
      <c r="S5141" s="12" t="inlineStr">
        <is>
          <t>Duct bank</t>
        </is>
      </c>
      <c r="T5141" s="16" t="n">
        <v>3194</v>
      </c>
      <c r="U5141" s="16" t="n">
        <v>70</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I-P-0240</t>
        </is>
      </c>
      <c r="B5142" s="12" t="inlineStr">
        <is>
          <t>I</t>
        </is>
      </c>
      <c r="C5142" s="12" t="inlineStr">
        <is>
          <t>Modular / portable power</t>
        </is>
      </c>
      <c r="D5142" s="12" t="inlineStr">
        <is>
          <t>Motor 5 of 6, 22 kW</t>
        </is>
      </c>
      <c r="E5142" s="12" t="inlineStr"/>
      <c r="F5142" s="12" t="inlineStr">
        <is>
          <t>MOD-LV 480 V board + 480 V : 13.8 kV step-up</t>
        </is>
      </c>
      <c r="G5142" s="12" t="inlineStr">
        <is>
          <t>TM-1</t>
        </is>
      </c>
      <c r="H5142" s="12" t="inlineStr">
        <is>
          <t>TM-1: trailer-mounted aeroderivative GT (TM2500 class, ~35 MW)</t>
        </is>
      </c>
      <c r="I5142" s="12" t="inlineStr">
        <is>
          <t>LV 600 V</t>
        </is>
      </c>
      <c r="J5142" s="12" t="inlineStr">
        <is>
          <t>Type TC-ER 600 V 3/C Cu XHHW-2 + ground, PVC jacket</t>
        </is>
      </c>
      <c r="K5142" s="12" t="inlineStr">
        <is>
          <t>LV|3/C+G|4/0</t>
        </is>
      </c>
      <c r="L5142" s="12" t="inlineStr">
        <is>
          <t>3/C+G</t>
        </is>
      </c>
      <c r="M5142" s="12" t="inlineStr">
        <is>
          <t>4/0</t>
        </is>
      </c>
      <c r="N5142" s="12" t="n">
        <v>1</v>
      </c>
      <c r="O5142" s="12" t="n">
        <v>1</v>
      </c>
      <c r="P5142" s="12" t="n">
        <v>480</v>
      </c>
      <c r="Q5142" s="12" t="n">
        <v>22</v>
      </c>
      <c r="R5142" s="12" t="n">
        <v>31.1</v>
      </c>
      <c r="S5142" s="12" t="inlineStr">
        <is>
          <t>Duct bank</t>
        </is>
      </c>
      <c r="T5142" s="16" t="n">
        <v>3194</v>
      </c>
      <c r="U5142" s="16" t="n">
        <v>70</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I-P-0241</t>
        </is>
      </c>
      <c r="B5143" s="12" t="inlineStr">
        <is>
          <t>I</t>
        </is>
      </c>
      <c r="C5143" s="12" t="inlineStr">
        <is>
          <t>Modular / portable power</t>
        </is>
      </c>
      <c r="D5143" s="12" t="inlineStr">
        <is>
          <t>Motor 6 of 6, 22 kW</t>
        </is>
      </c>
      <c r="E5143" s="12" t="inlineStr"/>
      <c r="F5143" s="12" t="inlineStr">
        <is>
          <t>MOD-LV 480 V board + 480 V : 13.8 kV step-up</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LV|3/C+G|4/0</t>
        </is>
      </c>
      <c r="L5143" s="12" t="inlineStr">
        <is>
          <t>3/C+G</t>
        </is>
      </c>
      <c r="M5143" s="12" t="inlineStr">
        <is>
          <t>4/0</t>
        </is>
      </c>
      <c r="N5143" s="12" t="n">
        <v>1</v>
      </c>
      <c r="O5143" s="12" t="n">
        <v>1</v>
      </c>
      <c r="P5143" s="12" t="n">
        <v>480</v>
      </c>
      <c r="Q5143" s="12" t="n">
        <v>22</v>
      </c>
      <c r="R5143" s="12" t="n">
        <v>31.1</v>
      </c>
      <c r="S5143" s="12" t="inlineStr">
        <is>
          <t>Duct bank</t>
        </is>
      </c>
      <c r="T5143" s="16" t="n">
        <v>3194</v>
      </c>
      <c r="U5143" s="16" t="n">
        <v>70</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I-P-0242</t>
        </is>
      </c>
      <c r="B5144" s="12" t="inlineStr">
        <is>
          <t>I</t>
        </is>
      </c>
      <c r="C5144" s="12" t="inlineStr">
        <is>
          <t>Modular / portable power</t>
        </is>
      </c>
      <c r="D5144" s="12" t="inlineStr">
        <is>
          <t>Motor 1 of 6, 22 kW</t>
        </is>
      </c>
      <c r="E5144" s="12" t="inlineStr"/>
      <c r="F5144" s="12" t="inlineStr">
        <is>
          <t>MOD-LV 480 V board + 480 V : 13.8 kV step-up</t>
        </is>
      </c>
      <c r="G5144" s="12" t="inlineStr">
        <is>
          <t>TM-2</t>
        </is>
      </c>
      <c r="H5144" s="12" t="inlineStr">
        <is>
          <t>TM-2: trailer-mounted aeroderivative GT (TM2500 class, ~35 MW)</t>
        </is>
      </c>
      <c r="I5144" s="12" t="inlineStr">
        <is>
          <t>LV 600 V</t>
        </is>
      </c>
      <c r="J5144" s="12" t="inlineStr">
        <is>
          <t>Type TC-ER 600 V 3/C Cu XHHW-2 + ground, PVC jacket</t>
        </is>
      </c>
      <c r="K5144" s="12" t="inlineStr">
        <is>
          <t>LV|3/C+G|4/0</t>
        </is>
      </c>
      <c r="L5144" s="12" t="inlineStr">
        <is>
          <t>3/C+G</t>
        </is>
      </c>
      <c r="M5144" s="12" t="inlineStr">
        <is>
          <t>4/0</t>
        </is>
      </c>
      <c r="N5144" s="12" t="n">
        <v>1</v>
      </c>
      <c r="O5144" s="12" t="n">
        <v>1</v>
      </c>
      <c r="P5144" s="12" t="n">
        <v>480</v>
      </c>
      <c r="Q5144" s="12" t="n">
        <v>22</v>
      </c>
      <c r="R5144" s="12" t="n">
        <v>31.1</v>
      </c>
      <c r="S5144" s="12" t="inlineStr">
        <is>
          <t>Duct bank</t>
        </is>
      </c>
      <c r="T5144" s="16" t="n">
        <v>3194</v>
      </c>
      <c r="U5144" s="16" t="n">
        <v>76</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I-P-0243</t>
        </is>
      </c>
      <c r="B5145" s="12" t="inlineStr">
        <is>
          <t>I</t>
        </is>
      </c>
      <c r="C5145" s="12" t="inlineStr">
        <is>
          <t>Modular / portable power</t>
        </is>
      </c>
      <c r="D5145" s="12" t="inlineStr">
        <is>
          <t>Motor 2 of 6, 22 kW</t>
        </is>
      </c>
      <c r="E5145" s="12" t="inlineStr"/>
      <c r="F5145" s="12" t="inlineStr">
        <is>
          <t>MOD-LV 480 V board + 480 V : 13.8 kV step-up</t>
        </is>
      </c>
      <c r="G5145" s="12" t="inlineStr">
        <is>
          <t>TM-2</t>
        </is>
      </c>
      <c r="H5145" s="12" t="inlineStr">
        <is>
          <t>TM-2: trailer-mounted aeroderivative GT (TM2500 class, ~35 MW)</t>
        </is>
      </c>
      <c r="I5145" s="12" t="inlineStr">
        <is>
          <t>LV 600 V</t>
        </is>
      </c>
      <c r="J5145" s="12" t="inlineStr">
        <is>
          <t>Type TC-ER 600 V 3/C Cu XHHW-2 + ground, PVC jacket</t>
        </is>
      </c>
      <c r="K5145" s="12" t="inlineStr">
        <is>
          <t>LV|3/C+G|4/0</t>
        </is>
      </c>
      <c r="L5145" s="12" t="inlineStr">
        <is>
          <t>3/C+G</t>
        </is>
      </c>
      <c r="M5145" s="12" t="inlineStr">
        <is>
          <t>4/0</t>
        </is>
      </c>
      <c r="N5145" s="12" t="n">
        <v>1</v>
      </c>
      <c r="O5145" s="12" t="n">
        <v>1</v>
      </c>
      <c r="P5145" s="12" t="n">
        <v>480</v>
      </c>
      <c r="Q5145" s="12" t="n">
        <v>22</v>
      </c>
      <c r="R5145" s="12" t="n">
        <v>31.1</v>
      </c>
      <c r="S5145" s="12" t="inlineStr">
        <is>
          <t>Duct bank</t>
        </is>
      </c>
      <c r="T5145" s="16" t="n">
        <v>3194</v>
      </c>
      <c r="U5145" s="16" t="n">
        <v>76</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I-P-0244</t>
        </is>
      </c>
      <c r="B5146" s="12" t="inlineStr">
        <is>
          <t>I</t>
        </is>
      </c>
      <c r="C5146" s="12" t="inlineStr">
        <is>
          <t>Modular / portable power</t>
        </is>
      </c>
      <c r="D5146" s="12" t="inlineStr">
        <is>
          <t>Motor 3 of 6, 22 kW</t>
        </is>
      </c>
      <c r="E5146" s="12" t="inlineStr"/>
      <c r="F5146" s="12" t="inlineStr">
        <is>
          <t>MOD-LV 480 V board + 480 V : 13.8 kV step-up</t>
        </is>
      </c>
      <c r="G5146" s="12" t="inlineStr">
        <is>
          <t>TM-2</t>
        </is>
      </c>
      <c r="H5146" s="12" t="inlineStr">
        <is>
          <t>TM-2: trailer-mounted aeroderivative GT (TM2500 class, ~35 MW)</t>
        </is>
      </c>
      <c r="I5146" s="12" t="inlineStr">
        <is>
          <t>LV 600 V</t>
        </is>
      </c>
      <c r="J5146" s="12" t="inlineStr">
        <is>
          <t>Type TC-ER 600 V 3/C Cu XHHW-2 + ground, PVC jacket</t>
        </is>
      </c>
      <c r="K5146" s="12" t="inlineStr">
        <is>
          <t>LV|3/C+G|4/0</t>
        </is>
      </c>
      <c r="L5146" s="12" t="inlineStr">
        <is>
          <t>3/C+G</t>
        </is>
      </c>
      <c r="M5146" s="12" t="inlineStr">
        <is>
          <t>4/0</t>
        </is>
      </c>
      <c r="N5146" s="12" t="n">
        <v>1</v>
      </c>
      <c r="O5146" s="12" t="n">
        <v>1</v>
      </c>
      <c r="P5146" s="12" t="n">
        <v>480</v>
      </c>
      <c r="Q5146" s="12" t="n">
        <v>22</v>
      </c>
      <c r="R5146" s="12" t="n">
        <v>31.1</v>
      </c>
      <c r="S5146" s="12" t="inlineStr">
        <is>
          <t>Duct bank</t>
        </is>
      </c>
      <c r="T5146" s="16" t="n">
        <v>3194</v>
      </c>
      <c r="U5146" s="16" t="n">
        <v>76</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I-P-0245</t>
        </is>
      </c>
      <c r="B5147" s="12" t="inlineStr">
        <is>
          <t>I</t>
        </is>
      </c>
      <c r="C5147" s="12" t="inlineStr">
        <is>
          <t>Modular / portable power</t>
        </is>
      </c>
      <c r="D5147" s="12" t="inlineStr">
        <is>
          <t>Motor 4 of 6, 22 kW</t>
        </is>
      </c>
      <c r="E5147" s="12" t="inlineStr"/>
      <c r="F5147" s="12" t="inlineStr">
        <is>
          <t>MOD-LV 480 V board + 480 V : 13.8 kV step-up</t>
        </is>
      </c>
      <c r="G5147" s="12" t="inlineStr">
        <is>
          <t>TM-2</t>
        </is>
      </c>
      <c r="H5147" s="12" t="inlineStr">
        <is>
          <t>TM-2: trailer-mounted aeroderivative GT (TM2500 class, ~35 MW)</t>
        </is>
      </c>
      <c r="I5147" s="12" t="inlineStr">
        <is>
          <t>LV 600 V</t>
        </is>
      </c>
      <c r="J5147" s="12" t="inlineStr">
        <is>
          <t>Type TC-ER 600 V 3/C Cu XHHW-2 + ground, PVC jacket</t>
        </is>
      </c>
      <c r="K5147" s="12" t="inlineStr">
        <is>
          <t>LV|3/C+G|4/0</t>
        </is>
      </c>
      <c r="L5147" s="12" t="inlineStr">
        <is>
          <t>3/C+G</t>
        </is>
      </c>
      <c r="M5147" s="12" t="inlineStr">
        <is>
          <t>4/0</t>
        </is>
      </c>
      <c r="N5147" s="12" t="n">
        <v>1</v>
      </c>
      <c r="O5147" s="12" t="n">
        <v>1</v>
      </c>
      <c r="P5147" s="12" t="n">
        <v>480</v>
      </c>
      <c r="Q5147" s="12" t="n">
        <v>22</v>
      </c>
      <c r="R5147" s="12" t="n">
        <v>31.1</v>
      </c>
      <c r="S5147" s="12" t="inlineStr">
        <is>
          <t>Duct bank</t>
        </is>
      </c>
      <c r="T5147" s="16" t="n">
        <v>3194</v>
      </c>
      <c r="U5147" s="16" t="n">
        <v>76</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I-P-0246</t>
        </is>
      </c>
      <c r="B5148" s="12" t="inlineStr">
        <is>
          <t>I</t>
        </is>
      </c>
      <c r="C5148" s="12" t="inlineStr">
        <is>
          <t>Modular / portable power</t>
        </is>
      </c>
      <c r="D5148" s="12" t="inlineStr">
        <is>
          <t>Motor 5 of 6, 22 kW</t>
        </is>
      </c>
      <c r="E5148" s="12" t="inlineStr"/>
      <c r="F5148" s="12" t="inlineStr">
        <is>
          <t>MOD-LV 480 V board + 480 V : 13.8 kV step-up</t>
        </is>
      </c>
      <c r="G5148" s="12" t="inlineStr">
        <is>
          <t>TM-2</t>
        </is>
      </c>
      <c r="H5148" s="12" t="inlineStr">
        <is>
          <t>TM-2: trailer-mounted aeroderivative GT (TM2500 class, ~35 MW)</t>
        </is>
      </c>
      <c r="I5148" s="12" t="inlineStr">
        <is>
          <t>LV 600 V</t>
        </is>
      </c>
      <c r="J5148" s="12" t="inlineStr">
        <is>
          <t>Type TC-ER 600 V 3/C Cu XHHW-2 + ground, PVC jacket</t>
        </is>
      </c>
      <c r="K5148" s="12" t="inlineStr">
        <is>
          <t>LV|3/C+G|4/0</t>
        </is>
      </c>
      <c r="L5148" s="12" t="inlineStr">
        <is>
          <t>3/C+G</t>
        </is>
      </c>
      <c r="M5148" s="12" t="inlineStr">
        <is>
          <t>4/0</t>
        </is>
      </c>
      <c r="N5148" s="12" t="n">
        <v>1</v>
      </c>
      <c r="O5148" s="12" t="n">
        <v>1</v>
      </c>
      <c r="P5148" s="12" t="n">
        <v>480</v>
      </c>
      <c r="Q5148" s="12" t="n">
        <v>22</v>
      </c>
      <c r="R5148" s="12" t="n">
        <v>31.1</v>
      </c>
      <c r="S5148" s="12" t="inlineStr">
        <is>
          <t>Duct bank</t>
        </is>
      </c>
      <c r="T5148" s="16" t="n">
        <v>3194</v>
      </c>
      <c r="U5148" s="16" t="n">
        <v>76</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I-P-0247</t>
        </is>
      </c>
      <c r="B5149" s="12" t="inlineStr">
        <is>
          <t>I</t>
        </is>
      </c>
      <c r="C5149" s="12" t="inlineStr">
        <is>
          <t>Modular / portable power</t>
        </is>
      </c>
      <c r="D5149" s="12" t="inlineStr">
        <is>
          <t>Motor 6 of 6, 22 kW</t>
        </is>
      </c>
      <c r="E5149" s="12" t="inlineStr"/>
      <c r="F5149" s="12" t="inlineStr">
        <is>
          <t>MOD-LV 480 V board + 480 V : 13.8 kV step-up</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LV|3/C+G|4/0</t>
        </is>
      </c>
      <c r="L5149" s="12" t="inlineStr">
        <is>
          <t>3/C+G</t>
        </is>
      </c>
      <c r="M5149" s="12" t="inlineStr">
        <is>
          <t>4/0</t>
        </is>
      </c>
      <c r="N5149" s="12" t="n">
        <v>1</v>
      </c>
      <c r="O5149" s="12" t="n">
        <v>1</v>
      </c>
      <c r="P5149" s="12" t="n">
        <v>480</v>
      </c>
      <c r="Q5149" s="12" t="n">
        <v>22</v>
      </c>
      <c r="R5149" s="12" t="n">
        <v>31.1</v>
      </c>
      <c r="S5149" s="12" t="inlineStr">
        <is>
          <t>Duct bank</t>
        </is>
      </c>
      <c r="T5149" s="16" t="n">
        <v>3194</v>
      </c>
      <c r="U5149" s="16" t="n">
        <v>76</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I-P-0248</t>
        </is>
      </c>
      <c r="B5150" s="12" t="inlineStr">
        <is>
          <t>I</t>
        </is>
      </c>
      <c r="C5150" s="12" t="inlineStr">
        <is>
          <t>Modular / portable power</t>
        </is>
      </c>
      <c r="D5150" s="12" t="inlineStr">
        <is>
          <t>LV power feeder</t>
        </is>
      </c>
      <c r="E5150" s="12" t="inlineStr"/>
      <c r="F5150" s="12" t="inlineStr">
        <is>
          <t>MOD-LV 480 V board + 480 V : 13.8 kV step-up</t>
        </is>
      </c>
      <c r="G5150" s="12" t="inlineStr"/>
      <c r="H5150" s="12" t="inlineStr">
        <is>
          <t>Water-injection skid</t>
        </is>
      </c>
      <c r="I5150" s="12" t="inlineStr">
        <is>
          <t>LV 600 V</t>
        </is>
      </c>
      <c r="J5150" s="12" t="inlineStr">
        <is>
          <t>Type TC-ER 600 V 3/C Cu XHHW-2 + ground, PVC jacket</t>
        </is>
      </c>
      <c r="K5150" s="12" t="inlineStr">
        <is>
          <t>LV|3/C+G|3/0</t>
        </is>
      </c>
      <c r="L5150" s="12" t="inlineStr">
        <is>
          <t>3/C+G</t>
        </is>
      </c>
      <c r="M5150" s="12" t="inlineStr">
        <is>
          <t>3/0</t>
        </is>
      </c>
      <c r="N5150" s="12" t="n">
        <v>1</v>
      </c>
      <c r="O5150" s="12" t="n">
        <v>1</v>
      </c>
      <c r="P5150" s="12" t="n">
        <v>480</v>
      </c>
      <c r="Q5150" s="12" t="n">
        <v>15</v>
      </c>
      <c r="R5150" s="12" t="n">
        <v>21.2</v>
      </c>
      <c r="S5150" s="12" t="inlineStr">
        <is>
          <t>HV duct bank</t>
        </is>
      </c>
      <c r="T5150" s="16" t="n">
        <v>4262</v>
      </c>
      <c r="U5150" s="16" t="n">
        <v>89</v>
      </c>
      <c r="V5150" s="16">
        <f>ROUNDUP((T5150+U5150+2*'Read Me'!$B$13)*(1+'Read Me'!$B$12),-1)</f>
        <v/>
      </c>
      <c r="W5150" s="16">
        <f>V5150*N5150*O5150</f>
        <v/>
      </c>
      <c r="X5150" s="12">
        <f>IF(LEFT(I5150,2)="MV",2*N5150*IF(L5150="1/C",O5150,1),0)</f>
        <v/>
      </c>
      <c r="Y5150" s="12">
        <f>IF(OR(LEFT(K5150,4)="LVAX",LEFT(K5150,6)="MV15AX",LEFT(K5150,4)="CTAX",LEFT(K5150,2)="W|"),2*N5150*O5150,0)</f>
        <v/>
      </c>
      <c r="Z5150" s="12" t="inlineStr">
        <is>
          <t>VD 2.8 %</t>
        </is>
      </c>
      <c r="AA5150" s="12">
        <f>N5150*O5150</f>
        <v/>
      </c>
    </row>
    <row r="5151">
      <c r="A5151" s="12" t="inlineStr">
        <is>
          <t>I-MV-0001</t>
        </is>
      </c>
      <c r="B5151" s="12" t="inlineStr">
        <is>
          <t>I</t>
        </is>
      </c>
      <c r="C5151" s="12" t="inlineStr">
        <is>
          <t>Modular / portable power</t>
        </is>
      </c>
      <c r="D5151" s="12" t="inlineStr">
        <is>
          <t>Modular-yard fuel-gas compressor</t>
        </is>
      </c>
      <c r="E5151" s="12" t="inlineStr">
        <is>
          <t>MOD-EH</t>
        </is>
      </c>
      <c r="F5151" s="12" t="inlineStr">
        <is>
          <t>MOD-EH: 13.8 kV modular collector e-house</t>
        </is>
      </c>
      <c r="G5151" s="12" t="inlineStr"/>
      <c r="H5151" s="12" t="inlineStr">
        <is>
          <t>Fuel-gas compressors 3 x 100% electric</t>
        </is>
      </c>
      <c r="I5151" s="12" t="inlineStr">
        <is>
          <t>MV 15 kV</t>
        </is>
      </c>
      <c r="J5151" s="12" t="inlineStr">
        <is>
          <t>ARMOR-X MC-HL / MV-105 15 kV 3/C Cu, EPR 133%, tape shield, gnd, CWA, red PVC</t>
        </is>
      </c>
      <c r="K5151" s="12" t="inlineStr">
        <is>
          <t>MV15AX|3/C|2</t>
        </is>
      </c>
      <c r="L5151" s="12" t="inlineStr">
        <is>
          <t>3/C</t>
        </is>
      </c>
      <c r="M5151" s="12" t="inlineStr">
        <is>
          <t>2</t>
        </is>
      </c>
      <c r="N5151" s="12" t="n">
        <v>1</v>
      </c>
      <c r="O5151" s="12" t="n">
        <v>1</v>
      </c>
      <c r="P5151" s="12" t="n">
        <v>13800</v>
      </c>
      <c r="Q5151" s="12" t="n">
        <v>1500</v>
      </c>
      <c r="R5151" s="12" t="n">
        <v>70</v>
      </c>
      <c r="S5151" s="12" t="inlineStr">
        <is>
          <t>HV duct bank</t>
        </is>
      </c>
      <c r="T5151" s="16" t="n">
        <v>4010</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I-MV-0002</t>
        </is>
      </c>
      <c r="B5152" s="12" t="inlineStr">
        <is>
          <t>I</t>
        </is>
      </c>
      <c r="C5152" s="12" t="inlineStr">
        <is>
          <t>Modular / portable power</t>
        </is>
      </c>
      <c r="D5152" s="12" t="inlineStr">
        <is>
          <t>Modular-yard fuel-gas compressor</t>
        </is>
      </c>
      <c r="E5152" s="12" t="inlineStr">
        <is>
          <t>MOD-EH</t>
        </is>
      </c>
      <c r="F5152" s="12" t="inlineStr">
        <is>
          <t>MOD-EH: 13.8 kV modular collector e-house</t>
        </is>
      </c>
      <c r="G5152" s="12" t="inlineStr"/>
      <c r="H5152" s="12" t="inlineStr">
        <is>
          <t>Fuel-gas compressors 3 x 100% electric</t>
        </is>
      </c>
      <c r="I5152" s="12" t="inlineStr">
        <is>
          <t>MV 15 kV</t>
        </is>
      </c>
      <c r="J5152" s="12" t="inlineStr">
        <is>
          <t>ARMOR-X MC-HL / MV-105 15 kV 3/C Cu, EPR 133%, tape shield, gnd, CWA, red PVC</t>
        </is>
      </c>
      <c r="K5152" s="12" t="inlineStr">
        <is>
          <t>MV15AX|3/C|2</t>
        </is>
      </c>
      <c r="L5152" s="12" t="inlineStr">
        <is>
          <t>3/C</t>
        </is>
      </c>
      <c r="M5152" s="12" t="inlineStr">
        <is>
          <t>2</t>
        </is>
      </c>
      <c r="N5152" s="12" t="n">
        <v>1</v>
      </c>
      <c r="O5152" s="12" t="n">
        <v>1</v>
      </c>
      <c r="P5152" s="12" t="n">
        <v>13800</v>
      </c>
      <c r="Q5152" s="12" t="n">
        <v>1500</v>
      </c>
      <c r="R5152" s="12" t="n">
        <v>70</v>
      </c>
      <c r="S5152" s="12" t="inlineStr">
        <is>
          <t>HV duct bank</t>
        </is>
      </c>
      <c r="T5152" s="16" t="n">
        <v>4010</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I-MV-0003</t>
        </is>
      </c>
      <c r="B5153" s="12" t="inlineStr">
        <is>
          <t>I</t>
        </is>
      </c>
      <c r="C5153" s="12" t="inlineStr">
        <is>
          <t>Modular / portable power</t>
        </is>
      </c>
      <c r="D5153" s="12" t="inlineStr">
        <is>
          <t>Modular-yard fuel-gas compressor</t>
        </is>
      </c>
      <c r="E5153" s="12" t="inlineStr">
        <is>
          <t>MOD-EH</t>
        </is>
      </c>
      <c r="F5153" s="12" t="inlineStr">
        <is>
          <t>MOD-EH: 13.8 kV modular collector e-house</t>
        </is>
      </c>
      <c r="G5153" s="12" t="inlineStr"/>
      <c r="H5153" s="12" t="inlineStr">
        <is>
          <t>Fuel-gas compressors 3 x 100% electric</t>
        </is>
      </c>
      <c r="I5153" s="12" t="inlineStr">
        <is>
          <t>MV 15 kV</t>
        </is>
      </c>
      <c r="J5153" s="12" t="inlineStr">
        <is>
          <t>ARMOR-X MC-HL / MV-105 15 kV 3/C Cu, EPR 133%, tape shield, gnd, CWA, red PVC</t>
        </is>
      </c>
      <c r="K5153" s="12" t="inlineStr">
        <is>
          <t>MV15AX|3/C|2</t>
        </is>
      </c>
      <c r="L5153" s="12" t="inlineStr">
        <is>
          <t>3/C</t>
        </is>
      </c>
      <c r="M5153" s="12" t="inlineStr">
        <is>
          <t>2</t>
        </is>
      </c>
      <c r="N5153" s="12" t="n">
        <v>1</v>
      </c>
      <c r="O5153" s="12" t="n">
        <v>1</v>
      </c>
      <c r="P5153" s="12" t="n">
        <v>13800</v>
      </c>
      <c r="Q5153" s="12" t="n">
        <v>1500</v>
      </c>
      <c r="R5153" s="12" t="n">
        <v>70</v>
      </c>
      <c r="S5153" s="12" t="inlineStr">
        <is>
          <t>HV duct bank</t>
        </is>
      </c>
      <c r="T5153" s="16" t="n">
        <v>4010</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I-MV-0004</t>
        </is>
      </c>
      <c r="B5154" s="12" t="inlineStr">
        <is>
          <t>I</t>
        </is>
      </c>
      <c r="C5154" s="12" t="inlineStr">
        <is>
          <t>Modular / portable power</t>
        </is>
      </c>
      <c r="D5154" s="12" t="inlineStr">
        <is>
          <t>SC-1 PCM to MOD-EH</t>
        </is>
      </c>
      <c r="E5154" s="12" t="inlineStr"/>
      <c r="F5154" s="12" t="inlineStr">
        <is>
          <t>SC-1 PCM + 15 kV GCB</t>
        </is>
      </c>
      <c r="G5154" s="12" t="inlineStr">
        <is>
          <t>MOD-EH</t>
        </is>
      </c>
      <c r="H5154" s="12" t="inlineStr">
        <is>
          <t>MOD-EH: 13.8 kV modular collector e-house</t>
        </is>
      </c>
      <c r="I5154" s="12" t="inlineStr">
        <is>
          <t>MV 15 kV</t>
        </is>
      </c>
      <c r="J5154" s="12" t="inlineStr">
        <is>
          <t>MV-105 15 kV 1/C Cu, EPR 133%, Cu tape shield, PVC jacket (triplexed)</t>
        </is>
      </c>
      <c r="K5154" s="12" t="inlineStr">
        <is>
          <t>MV15|1/C|750</t>
        </is>
      </c>
      <c r="L5154" s="12" t="inlineStr">
        <is>
          <t>1/C</t>
        </is>
      </c>
      <c r="M5154" s="12" t="inlineStr">
        <is>
          <t>750 kcmil</t>
        </is>
      </c>
      <c r="N5154" s="12" t="n">
        <v>5</v>
      </c>
      <c r="O5154" s="12" t="n">
        <v>3</v>
      </c>
      <c r="P5154" s="12" t="n">
        <v>13800</v>
      </c>
      <c r="Q5154" s="12" t="n">
        <v>50000</v>
      </c>
      <c r="R5154" s="12" t="n">
        <v>2092</v>
      </c>
      <c r="S5154" s="12" t="inlineStr">
        <is>
          <t>Duct bank</t>
        </is>
      </c>
      <c r="T5154" s="16" t="n">
        <v>390</v>
      </c>
      <c r="U5154" s="16" t="n">
        <v>32</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I-MV-0005</t>
        </is>
      </c>
      <c r="B5155" s="12" t="inlineStr">
        <is>
          <t>I</t>
        </is>
      </c>
      <c r="C5155" s="12" t="inlineStr">
        <is>
          <t>Modular / portable power</t>
        </is>
      </c>
      <c r="D5155" s="12" t="inlineStr">
        <is>
          <t>SC-2 PCM to MOD-EH</t>
        </is>
      </c>
      <c r="E5155" s="12" t="inlineStr"/>
      <c r="F5155" s="12" t="inlineStr">
        <is>
          <t>SC-2 PCM + 15 kV GCB</t>
        </is>
      </c>
      <c r="G5155" s="12" t="inlineStr">
        <is>
          <t>MOD-EH</t>
        </is>
      </c>
      <c r="H5155" s="12" t="inlineStr">
        <is>
          <t>MOD-EH: 13.8 kV modular collector e-house</t>
        </is>
      </c>
      <c r="I5155" s="12" t="inlineStr">
        <is>
          <t>MV 15 kV</t>
        </is>
      </c>
      <c r="J5155" s="12" t="inlineStr">
        <is>
          <t>MV-105 15 kV 1/C Cu, EPR 133%, Cu tape shield, PVC jacket (triplexed)</t>
        </is>
      </c>
      <c r="K5155" s="12" t="inlineStr">
        <is>
          <t>MV15|1/C|750</t>
        </is>
      </c>
      <c r="L5155" s="12" t="inlineStr">
        <is>
          <t>1/C</t>
        </is>
      </c>
      <c r="M5155" s="12" t="inlineStr">
        <is>
          <t>750 kcmil</t>
        </is>
      </c>
      <c r="N5155" s="12" t="n">
        <v>5</v>
      </c>
      <c r="O5155" s="12" t="n">
        <v>3</v>
      </c>
      <c r="P5155" s="12" t="n">
        <v>13800</v>
      </c>
      <c r="Q5155" s="12" t="n">
        <v>50000</v>
      </c>
      <c r="R5155" s="12" t="n">
        <v>2092</v>
      </c>
      <c r="S5155" s="12" t="inlineStr">
        <is>
          <t>HV duct bank</t>
        </is>
      </c>
      <c r="T5155" s="16" t="n">
        <v>4028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I-MV-0006</t>
        </is>
      </c>
      <c r="B5156" s="12" t="inlineStr">
        <is>
          <t>I</t>
        </is>
      </c>
      <c r="C5156" s="12" t="inlineStr">
        <is>
          <t>Modular / portable power</t>
        </is>
      </c>
      <c r="D5156" s="12" t="inlineStr">
        <is>
          <t>MOD-LV step-up to MOD-EH</t>
        </is>
      </c>
      <c r="E5156" s="12" t="inlineStr"/>
      <c r="F5156" s="12" t="inlineStr">
        <is>
          <t>MOD-LV 480 V board + 480 V : 13.8 kV step-up</t>
        </is>
      </c>
      <c r="G5156" s="12" t="inlineStr">
        <is>
          <t>MOD-EH</t>
        </is>
      </c>
      <c r="H5156" s="12" t="inlineStr">
        <is>
          <t>MOD-EH: 13.8 kV modular collector e-house</t>
        </is>
      </c>
      <c r="I5156" s="12" t="inlineStr">
        <is>
          <t>MV 15 kV</t>
        </is>
      </c>
      <c r="J5156" s="12" t="inlineStr">
        <is>
          <t>MV-105 15 kV 1/C Cu, EPR 133%, Cu tape shield, PVC jacket (triplexed)</t>
        </is>
      </c>
      <c r="K5156" s="12" t="inlineStr">
        <is>
          <t>MV15|1/C|500</t>
        </is>
      </c>
      <c r="L5156" s="12" t="inlineStr">
        <is>
          <t>1/C</t>
        </is>
      </c>
      <c r="M5156" s="12" t="inlineStr">
        <is>
          <t>500 kcmil</t>
        </is>
      </c>
      <c r="N5156" s="12" t="n">
        <v>1</v>
      </c>
      <c r="O5156" s="12" t="n">
        <v>3</v>
      </c>
      <c r="P5156" s="12" t="n">
        <v>13800</v>
      </c>
      <c r="Q5156" s="12" t="n">
        <v>7500</v>
      </c>
      <c r="R5156" s="12" t="n">
        <v>314</v>
      </c>
      <c r="S5156" s="12" t="inlineStr">
        <is>
          <t>Duct bank</t>
        </is>
      </c>
      <c r="T5156" s="16" t="n">
        <v>368</v>
      </c>
      <c r="U5156" s="16" t="n">
        <v>34</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I-MV-0007</t>
        </is>
      </c>
      <c r="B5157" s="12" t="inlineStr">
        <is>
          <t>I</t>
        </is>
      </c>
      <c r="C5157" s="12" t="inlineStr">
        <is>
          <t>Modular / portable power</t>
        </is>
      </c>
      <c r="D5157" s="12" t="inlineStr">
        <is>
          <t>CONT-3 13.8 kV to PAD-EH (extension section, ground tray)</t>
        </is>
      </c>
      <c r="E5157" s="12" t="inlineStr">
        <is>
          <t>CONT-3</t>
        </is>
      </c>
      <c r="F5157" s="12" t="inlineStr">
        <is>
          <t>CONT-3: containerized gas genset 13.8 kV (40 ft)</t>
        </is>
      </c>
      <c r="G5157" s="12" t="inlineStr">
        <is>
          <t>PAD-EH</t>
        </is>
      </c>
      <c r="H5157" s="12" t="inlineStr">
        <is>
          <t>PAD-EH 13.8 kV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6" t="n">
        <v>191</v>
      </c>
      <c r="U5157" s="16" t="n">
        <v>32</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I-MV-0008</t>
        </is>
      </c>
      <c r="B5158" s="12" t="inlineStr">
        <is>
          <t>I</t>
        </is>
      </c>
      <c r="C5158" s="12" t="inlineStr">
        <is>
          <t>Modular / portable power</t>
        </is>
      </c>
      <c r="D5158" s="12" t="inlineStr">
        <is>
          <t>CONT-4 13.8 kV to PAD-EH (extension section, ground tray)</t>
        </is>
      </c>
      <c r="E5158" s="12" t="inlineStr">
        <is>
          <t>CONT-4</t>
        </is>
      </c>
      <c r="F5158" s="12" t="inlineStr">
        <is>
          <t>CONT-4: containerized gas genset 13.8 kV (40 ft)</t>
        </is>
      </c>
      <c r="G5158" s="12" t="inlineStr">
        <is>
          <t>PAD-EH</t>
        </is>
      </c>
      <c r="H5158" s="12" t="inlineStr">
        <is>
          <t>PAD-EH 13.8 kV switchgear e-house</t>
        </is>
      </c>
      <c r="I5158" s="12" t="inlineStr">
        <is>
          <t>MV 15 kV</t>
        </is>
      </c>
      <c r="J5158" s="12" t="inlineStr">
        <is>
          <t>MV-105 15 kV 1/C Cu, EPR 133%, Cu tape shield, PVC jacket (triplexed)</t>
        </is>
      </c>
      <c r="K5158" s="12" t="inlineStr">
        <is>
          <t>MV15|1/C|2</t>
        </is>
      </c>
      <c r="L5158" s="12" t="inlineStr">
        <is>
          <t>1/C</t>
        </is>
      </c>
      <c r="M5158" s="12" t="inlineStr">
        <is>
          <t>2</t>
        </is>
      </c>
      <c r="N5158" s="12" t="n">
        <v>1</v>
      </c>
      <c r="O5158" s="12" t="n">
        <v>3</v>
      </c>
      <c r="P5158" s="12" t="n">
        <v>13800</v>
      </c>
      <c r="Q5158" s="12" t="n">
        <v>2000</v>
      </c>
      <c r="R5158" s="12" t="n">
        <v>93</v>
      </c>
      <c r="S5158" s="12" t="inlineStr">
        <is>
          <t>Surface</t>
        </is>
      </c>
      <c r="T5158" s="16" t="n">
        <v>71</v>
      </c>
      <c r="U5158" s="16" t="n">
        <v>72</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I-MV-0009</t>
        </is>
      </c>
      <c r="B5159" s="12" t="inlineStr">
        <is>
          <t>I</t>
        </is>
      </c>
      <c r="C5159" s="12" t="inlineStr">
        <is>
          <t>Modular / portable power</t>
        </is>
      </c>
      <c r="D5159" s="12" t="inlineStr">
        <is>
          <t>CONT-5 13.8 kV to PAD-EH (extension section, ground tray)</t>
        </is>
      </c>
      <c r="E5159" s="12" t="inlineStr">
        <is>
          <t>CONT-5</t>
        </is>
      </c>
      <c r="F5159" s="12" t="inlineStr">
        <is>
          <t>CONT-5: containerized gas genset 13.8 kV (40 ft)</t>
        </is>
      </c>
      <c r="G5159" s="12" t="inlineStr">
        <is>
          <t>PAD-EH</t>
        </is>
      </c>
      <c r="H5159" s="12" t="inlineStr">
        <is>
          <t>PAD-EH 13.8 kV switchgear e-house</t>
        </is>
      </c>
      <c r="I5159" s="12" t="inlineStr">
        <is>
          <t>MV 15 kV</t>
        </is>
      </c>
      <c r="J5159" s="12" t="inlineStr">
        <is>
          <t>MV-105 15 kV 1/C Cu, EPR 133%, Cu tape shield, PVC jacket (triplexed)</t>
        </is>
      </c>
      <c r="K5159" s="12" t="inlineStr">
        <is>
          <t>MV15|1/C|2</t>
        </is>
      </c>
      <c r="L5159" s="12" t="inlineStr">
        <is>
          <t>1/C</t>
        </is>
      </c>
      <c r="M5159" s="12" t="inlineStr">
        <is>
          <t>2</t>
        </is>
      </c>
      <c r="N5159" s="12" t="n">
        <v>1</v>
      </c>
      <c r="O5159" s="12" t="n">
        <v>3</v>
      </c>
      <c r="P5159" s="12" t="n">
        <v>13800</v>
      </c>
      <c r="Q5159" s="12" t="n">
        <v>2000</v>
      </c>
      <c r="R5159" s="12" t="n">
        <v>93</v>
      </c>
      <c r="S5159" s="12" t="inlineStr">
        <is>
          <t>Duct bank</t>
        </is>
      </c>
      <c r="T5159" s="16" t="n">
        <v>47</v>
      </c>
      <c r="U5159" s="16" t="n">
        <v>36</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I-MV-0010</t>
        </is>
      </c>
      <c r="B5160" s="12" t="inlineStr">
        <is>
          <t>I</t>
        </is>
      </c>
      <c r="C5160" s="12" t="inlineStr">
        <is>
          <t>Modular / portable power</t>
        </is>
      </c>
      <c r="D5160" s="12" t="inlineStr">
        <is>
          <t>CONT-6 13.8 kV to PAD-EH (extension section, ground tray)</t>
        </is>
      </c>
      <c r="E5160" s="12" t="inlineStr">
        <is>
          <t>CONT-6</t>
        </is>
      </c>
      <c r="F5160" s="12" t="inlineStr">
        <is>
          <t>CONT-6: containerized gas genset 13.8 kV (40 ft)</t>
        </is>
      </c>
      <c r="G5160" s="12" t="inlineStr">
        <is>
          <t>PAD-EH</t>
        </is>
      </c>
      <c r="H5160" s="12" t="inlineStr">
        <is>
          <t>PAD-EH 13.8 kV switchgear e-house</t>
        </is>
      </c>
      <c r="I5160" s="12" t="inlineStr">
        <is>
          <t>MV 15 kV</t>
        </is>
      </c>
      <c r="J5160" s="12" t="inlineStr">
        <is>
          <t>MV-105 15 kV 1/C Cu, EPR 133%, Cu tape shield, PVC jacket (triplexed)</t>
        </is>
      </c>
      <c r="K5160" s="12" t="inlineStr">
        <is>
          <t>MV15|1/C|2</t>
        </is>
      </c>
      <c r="L5160" s="12" t="inlineStr">
        <is>
          <t>1/C</t>
        </is>
      </c>
      <c r="M5160" s="12" t="inlineStr">
        <is>
          <t>2</t>
        </is>
      </c>
      <c r="N5160" s="12" t="n">
        <v>1</v>
      </c>
      <c r="O5160" s="12" t="n">
        <v>3</v>
      </c>
      <c r="P5160" s="12" t="n">
        <v>13800</v>
      </c>
      <c r="Q5160" s="12" t="n">
        <v>2000</v>
      </c>
      <c r="R5160" s="12" t="n">
        <v>93</v>
      </c>
      <c r="S5160" s="12" t="inlineStr">
        <is>
          <t>Surface</t>
        </is>
      </c>
      <c r="T5160" s="16" t="n">
        <v>242</v>
      </c>
      <c r="U5160" s="16" t="n">
        <v>32</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I-MV-0011</t>
        </is>
      </c>
      <c r="B5161" s="12" t="inlineStr">
        <is>
          <t>I</t>
        </is>
      </c>
      <c r="C5161" s="12" t="inlineStr">
        <is>
          <t>Modular / portable power</t>
        </is>
      </c>
      <c r="D5161" s="12" t="inlineStr">
        <is>
          <t>CONT-7 13.8 kV to PAD-EH (extension section, ground tray)</t>
        </is>
      </c>
      <c r="E5161" s="12" t="inlineStr">
        <is>
          <t>CONT-7</t>
        </is>
      </c>
      <c r="F5161" s="12" t="inlineStr">
        <is>
          <t>CONT-7: containerized gas genset 13.8 kV (40 ft)</t>
        </is>
      </c>
      <c r="G5161" s="12" t="inlineStr">
        <is>
          <t>PAD-EH</t>
        </is>
      </c>
      <c r="H5161" s="12" t="inlineStr">
        <is>
          <t>PAD-EH 13.8 kV switchgear e-house</t>
        </is>
      </c>
      <c r="I5161" s="12" t="inlineStr">
        <is>
          <t>MV 15 kV</t>
        </is>
      </c>
      <c r="J5161" s="12" t="inlineStr">
        <is>
          <t>MV-105 15 kV 1/C Cu, EPR 133%, Cu tape shield, PVC jacket (triplexed)</t>
        </is>
      </c>
      <c r="K5161" s="12" t="inlineStr">
        <is>
          <t>MV15|1/C|2</t>
        </is>
      </c>
      <c r="L5161" s="12" t="inlineStr">
        <is>
          <t>1/C</t>
        </is>
      </c>
      <c r="M5161" s="12" t="inlineStr">
        <is>
          <t>2</t>
        </is>
      </c>
      <c r="N5161" s="12" t="n">
        <v>1</v>
      </c>
      <c r="O5161" s="12" t="n">
        <v>3</v>
      </c>
      <c r="P5161" s="12" t="n">
        <v>13800</v>
      </c>
      <c r="Q5161" s="12" t="n">
        <v>2000</v>
      </c>
      <c r="R5161" s="12" t="n">
        <v>93</v>
      </c>
      <c r="S5161" s="12" t="inlineStr">
        <is>
          <t>Surface</t>
        </is>
      </c>
      <c r="T5161" s="16" t="n">
        <v>228</v>
      </c>
      <c r="U5161" s="16" t="n">
        <v>46</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I-MV-0012</t>
        </is>
      </c>
      <c r="B5162" s="12" t="inlineStr">
        <is>
          <t>I</t>
        </is>
      </c>
      <c r="C5162" s="12" t="inlineStr">
        <is>
          <t>Modular / portable power</t>
        </is>
      </c>
      <c r="D5162" s="12" t="inlineStr">
        <is>
          <t>CONT-8 13.8 kV to PAD-EH (extension section, ground tray)</t>
        </is>
      </c>
      <c r="E5162" s="12" t="inlineStr">
        <is>
          <t>CONT-8</t>
        </is>
      </c>
      <c r="F5162" s="12" t="inlineStr">
        <is>
          <t>CONT-8: containerized gas genset 13.8 kV (40 ft)</t>
        </is>
      </c>
      <c r="G5162" s="12" t="inlineStr">
        <is>
          <t>PAD-EH</t>
        </is>
      </c>
      <c r="H5162" s="12" t="inlineStr">
        <is>
          <t>PAD-EH 13.8 kV switchgear e-house</t>
        </is>
      </c>
      <c r="I5162" s="12" t="inlineStr">
        <is>
          <t>MV 15 kV</t>
        </is>
      </c>
      <c r="J5162" s="12" t="inlineStr">
        <is>
          <t>MV-105 15 kV 1/C Cu, EPR 133%, Cu tape shield, PVC jacket (triplexed)</t>
        </is>
      </c>
      <c r="K5162" s="12" t="inlineStr">
        <is>
          <t>MV15|1/C|2</t>
        </is>
      </c>
      <c r="L5162" s="12" t="inlineStr">
        <is>
          <t>1/C</t>
        </is>
      </c>
      <c r="M5162" s="12" t="inlineStr">
        <is>
          <t>2</t>
        </is>
      </c>
      <c r="N5162" s="12" t="n">
        <v>1</v>
      </c>
      <c r="O5162" s="12" t="n">
        <v>3</v>
      </c>
      <c r="P5162" s="12" t="n">
        <v>13800</v>
      </c>
      <c r="Q5162" s="12" t="n">
        <v>2000</v>
      </c>
      <c r="R5162" s="12" t="n">
        <v>93</v>
      </c>
      <c r="S5162" s="12" t="inlineStr">
        <is>
          <t>Surface</t>
        </is>
      </c>
      <c r="T5162" s="16" t="n">
        <v>97</v>
      </c>
      <c r="U5162" s="16" t="n">
        <v>36</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I-MV-0013</t>
        </is>
      </c>
      <c r="B5163" s="12" t="inlineStr">
        <is>
          <t>I</t>
        </is>
      </c>
      <c r="C5163" s="12" t="inlineStr">
        <is>
          <t>Modular / portable power</t>
        </is>
      </c>
      <c r="D5163" s="12" t="inlineStr">
        <is>
          <t>TM-1 (TM2500) generator leads to PAD-EH</t>
        </is>
      </c>
      <c r="E5163" s="12" t="inlineStr">
        <is>
          <t>TM-1</t>
        </is>
      </c>
      <c r="F5163" s="12" t="inlineStr">
        <is>
          <t>TM-1: trailer-mounted aeroderivative GT (TM2500 class, ~35 MW)</t>
        </is>
      </c>
      <c r="G5163" s="12" t="inlineStr">
        <is>
          <t>PAD-EH</t>
        </is>
      </c>
      <c r="H5163" s="12" t="inlineStr">
        <is>
          <t>PAD-EH 13.8 kV switchgear e-house</t>
        </is>
      </c>
      <c r="I5163" s="12" t="inlineStr">
        <is>
          <t>MV 15 kV</t>
        </is>
      </c>
      <c r="J5163" s="12" t="inlineStr">
        <is>
          <t>MV-105 15 kV 1/C Cu, EPR 133%, Cu tape shield, PVC jacket (triplexed)</t>
        </is>
      </c>
      <c r="K5163" s="12" t="inlineStr">
        <is>
          <t>MV15|1/C|1000</t>
        </is>
      </c>
      <c r="L5163" s="12" t="inlineStr">
        <is>
          <t>1/C</t>
        </is>
      </c>
      <c r="M5163" s="12" t="inlineStr">
        <is>
          <t>1000 kcmil</t>
        </is>
      </c>
      <c r="N5163" s="12" t="n">
        <v>3</v>
      </c>
      <c r="O5163" s="12" t="n">
        <v>3</v>
      </c>
      <c r="P5163" s="12" t="n">
        <v>13800</v>
      </c>
      <c r="Q5163" s="12" t="n">
        <v>35000</v>
      </c>
      <c r="R5163" s="12" t="n">
        <v>1464</v>
      </c>
      <c r="S5163" s="12" t="inlineStr">
        <is>
          <t>Surface</t>
        </is>
      </c>
      <c r="T5163" s="16" t="n">
        <v>405</v>
      </c>
      <c r="U5163" s="16" t="n">
        <v>27</v>
      </c>
      <c r="V5163" s="16">
        <f>ROUNDUP((T5163+U5163+2*'Read Me'!$B$13)*(1+'Read Me'!$B$12),-1)</f>
        <v/>
      </c>
      <c r="W5163" s="16">
        <f>V5163*N5163*O5163</f>
        <v/>
      </c>
      <c r="X5163" s="12">
        <f>IF(LEFT(I5163,2)="MV",2*N5163*IF(L5163="1/C",O5163,1),0)</f>
        <v/>
      </c>
      <c r="Y5163" s="12">
        <f>IF(OR(LEFT(K5163,4)="LVAX",LEFT(K5163,6)="MV15AX",LEFT(K5163,4)="CTAX",LEFT(K5163,2)="W|"),2*N5163*O5163,0)</f>
        <v/>
      </c>
      <c r="Z5163" s="12" t="inlineStr">
        <is>
          <t>3 per phase for 125 % (the model shows 2 per phase: update the model)</t>
        </is>
      </c>
      <c r="AA5163" s="12">
        <f>N5163*O5163</f>
        <v/>
      </c>
    </row>
    <row r="5164">
      <c r="A5164" s="12" t="inlineStr">
        <is>
          <t>I-MV-0014</t>
        </is>
      </c>
      <c r="B5164" s="12" t="inlineStr">
        <is>
          <t>I</t>
        </is>
      </c>
      <c r="C5164" s="12" t="inlineStr">
        <is>
          <t>Modular / portable power</t>
        </is>
      </c>
      <c r="D5164" s="12" t="inlineStr">
        <is>
          <t>TM-2 (TM2500) generator leads to PAD-EH</t>
        </is>
      </c>
      <c r="E5164" s="12" t="inlineStr">
        <is>
          <t>TM-2</t>
        </is>
      </c>
      <c r="F5164" s="12" t="inlineStr">
        <is>
          <t>TM-2: trailer-mounted aeroderivative GT (TM2500 class, ~35 MW)</t>
        </is>
      </c>
      <c r="G5164" s="12" t="inlineStr">
        <is>
          <t>PAD-EH</t>
        </is>
      </c>
      <c r="H5164" s="12" t="inlineStr">
        <is>
          <t>PAD-EH 13.8 kV switchgear e-house</t>
        </is>
      </c>
      <c r="I5164" s="12" t="inlineStr">
        <is>
          <t>MV 15 kV</t>
        </is>
      </c>
      <c r="J5164" s="12" t="inlineStr">
        <is>
          <t>MV-105 15 kV 1/C Cu, EPR 133%, Cu tape shield, PVC jacket (triplexed)</t>
        </is>
      </c>
      <c r="K5164" s="12" t="inlineStr">
        <is>
          <t>MV15|1/C|1000</t>
        </is>
      </c>
      <c r="L5164" s="12" t="inlineStr">
        <is>
          <t>1/C</t>
        </is>
      </c>
      <c r="M5164" s="12" t="inlineStr">
        <is>
          <t>1000 kcmil</t>
        </is>
      </c>
      <c r="N5164" s="12" t="n">
        <v>3</v>
      </c>
      <c r="O5164" s="12" t="n">
        <v>3</v>
      </c>
      <c r="P5164" s="12" t="n">
        <v>13800</v>
      </c>
      <c r="Q5164" s="12" t="n">
        <v>35000</v>
      </c>
      <c r="R5164" s="12" t="n">
        <v>1464</v>
      </c>
      <c r="S5164" s="12" t="inlineStr">
        <is>
          <t>Surface</t>
        </is>
      </c>
      <c r="T5164" s="16" t="n">
        <v>411</v>
      </c>
      <c r="U5164" s="16" t="n">
        <v>27</v>
      </c>
      <c r="V5164" s="16">
        <f>ROUNDUP((T5164+U5164+2*'Read Me'!$B$13)*(1+'Read Me'!$B$12),-1)</f>
        <v/>
      </c>
      <c r="W5164" s="16">
        <f>V5164*N5164*O5164</f>
        <v/>
      </c>
      <c r="X5164" s="12">
        <f>IF(LEFT(I5164,2)="MV",2*N5164*IF(L5164="1/C",O5164,1),0)</f>
        <v/>
      </c>
      <c r="Y5164" s="12">
        <f>IF(OR(LEFT(K5164,4)="LVAX",LEFT(K5164,6)="MV15AX",LEFT(K5164,4)="CTAX",LEFT(K5164,2)="W|"),2*N5164*O5164,0)</f>
        <v/>
      </c>
      <c r="Z5164" s="12" t="inlineStr">
        <is>
          <t>3 per phase for 125 % (the model shows 2 per phase: update the model)</t>
        </is>
      </c>
      <c r="AA5164" s="12">
        <f>N5164*O5164</f>
        <v/>
      </c>
    </row>
    <row r="5165">
      <c r="A5165" s="12" t="inlineStr">
        <is>
          <t>I-MV-0015</t>
        </is>
      </c>
      <c r="B5165" s="12" t="inlineStr">
        <is>
          <t>I</t>
        </is>
      </c>
      <c r="C5165" s="12" t="inlineStr">
        <is>
          <t>Modular / portable power</t>
        </is>
      </c>
      <c r="D5165" s="12" t="inlineStr">
        <is>
          <t>RICE-1 generator leads to the PCM</t>
        </is>
      </c>
      <c r="E5165" s="12" t="inlineStr">
        <is>
          <t>RICE-1</t>
        </is>
      </c>
      <c r="F5165" s="12" t="inlineStr">
        <is>
          <t>RICE engine-generator 1</t>
        </is>
      </c>
      <c r="G5165" s="12" t="inlineStr"/>
      <c r="H5165" s="12" t="inlineStr">
        <is>
          <t>PCM: power control module</t>
        </is>
      </c>
      <c r="I5165" s="12" t="inlineStr">
        <is>
          <t>MV 15 kV</t>
        </is>
      </c>
      <c r="J5165" s="12" t="inlineStr">
        <is>
          <t>MV-105 15 kV 1/C Cu, EPR 133%, Cu tape shield, PVC jacket (triplexed)</t>
        </is>
      </c>
      <c r="K5165" s="12" t="inlineStr">
        <is>
          <t>MV15|1/C|750</t>
        </is>
      </c>
      <c r="L5165" s="12" t="inlineStr">
        <is>
          <t>1/C</t>
        </is>
      </c>
      <c r="M5165" s="12" t="inlineStr">
        <is>
          <t>750 kcmil</t>
        </is>
      </c>
      <c r="N5165" s="12" t="n">
        <v>2</v>
      </c>
      <c r="O5165" s="12" t="n">
        <v>3</v>
      </c>
      <c r="P5165" s="12" t="n">
        <v>13800</v>
      </c>
      <c r="Q5165" s="12" t="n">
        <v>18400</v>
      </c>
      <c r="R5165" s="12" t="n">
        <v>770</v>
      </c>
      <c r="S5165" s="12" t="inlineStr">
        <is>
          <t>Duct bank</t>
        </is>
      </c>
      <c r="T5165" s="16" t="n">
        <v>576</v>
      </c>
      <c r="U5165" s="16" t="n">
        <v>111</v>
      </c>
      <c r="V5165" s="16">
        <f>ROUNDUP((T5165+U5165+2*'Read Me'!$B$13)*(1+'Read Me'!$B$12),-1)</f>
        <v/>
      </c>
      <c r="W5165" s="16">
        <f>V5165*N5165*O5165</f>
        <v/>
      </c>
      <c r="X5165" s="12">
        <f>IF(LEFT(I5165,2)="MV",2*N5165*IF(L5165="1/C",O5165,1),0)</f>
        <v/>
      </c>
      <c r="Y5165" s="12">
        <f>IF(OR(LEFT(K5165,4)="LVAX",LEFT(K5165,6)="MV15AX",LEFT(K5165,4)="CTAX",LEFT(K5165,2)="W|"),2*N5165*O5165,0)</f>
        <v/>
      </c>
      <c r="Z5165" s="12" t="inlineStr">
        <is>
          <t>18V50 class ~18 MW (typ.)</t>
        </is>
      </c>
      <c r="AA5165" s="12">
        <f>N5165*O5165</f>
        <v/>
      </c>
    </row>
    <row r="5166">
      <c r="A5166" s="12" t="inlineStr">
        <is>
          <t>I-MV-0016</t>
        </is>
      </c>
      <c r="B5166" s="12" t="inlineStr">
        <is>
          <t>I</t>
        </is>
      </c>
      <c r="C5166" s="12" t="inlineStr">
        <is>
          <t>Modular / portable power</t>
        </is>
      </c>
      <c r="D5166" s="12" t="inlineStr">
        <is>
          <t>RICE-2 generator leads to the PCM</t>
        </is>
      </c>
      <c r="E5166" s="12" t="inlineStr">
        <is>
          <t>RICE-2</t>
        </is>
      </c>
      <c r="F5166" s="12" t="inlineStr">
        <is>
          <t>RICE engine-generator 2</t>
        </is>
      </c>
      <c r="G5166" s="12" t="inlineStr"/>
      <c r="H5166" s="12" t="inlineStr">
        <is>
          <t>PCM: power control module</t>
        </is>
      </c>
      <c r="I5166" s="12" t="inlineStr">
        <is>
          <t>MV 15 kV</t>
        </is>
      </c>
      <c r="J5166" s="12" t="inlineStr">
        <is>
          <t>MV-105 15 kV 1/C Cu, EPR 133%, Cu tape shield, PVC jacket (triplexed)</t>
        </is>
      </c>
      <c r="K5166" s="12" t="inlineStr">
        <is>
          <t>MV15|1/C|750</t>
        </is>
      </c>
      <c r="L5166" s="12" t="inlineStr">
        <is>
          <t>1/C</t>
        </is>
      </c>
      <c r="M5166" s="12" t="inlineStr">
        <is>
          <t>750 kcmil</t>
        </is>
      </c>
      <c r="N5166" s="12" t="n">
        <v>2</v>
      </c>
      <c r="O5166" s="12" t="n">
        <v>3</v>
      </c>
      <c r="P5166" s="12" t="n">
        <v>13800</v>
      </c>
      <c r="Q5166" s="12" t="n">
        <v>18400</v>
      </c>
      <c r="R5166" s="12" t="n">
        <v>770</v>
      </c>
      <c r="S5166" s="12" t="inlineStr">
        <is>
          <t>Duct bank</t>
        </is>
      </c>
      <c r="T5166" s="16" t="n">
        <v>550</v>
      </c>
      <c r="U5166" s="16" t="n">
        <v>109</v>
      </c>
      <c r="V5166" s="16">
        <f>ROUNDUP((T5166+U5166+2*'Read Me'!$B$13)*(1+'Read Me'!$B$12),-1)</f>
        <v/>
      </c>
      <c r="W5166" s="16">
        <f>V5166*N5166*O5166</f>
        <v/>
      </c>
      <c r="X5166" s="12">
        <f>IF(LEFT(I5166,2)="MV",2*N5166*IF(L5166="1/C",O5166,1),0)</f>
        <v/>
      </c>
      <c r="Y5166" s="12">
        <f>IF(OR(LEFT(K5166,4)="LVAX",LEFT(K5166,6)="MV15AX",LEFT(K5166,4)="CTAX",LEFT(K5166,2)="W|"),2*N5166*O5166,0)</f>
        <v/>
      </c>
      <c r="Z5166" s="12" t="inlineStr">
        <is>
          <t>18V50 class ~18 MW (typ.)</t>
        </is>
      </c>
      <c r="AA5166" s="12">
        <f>N5166*O5166</f>
        <v/>
      </c>
    </row>
    <row r="5167">
      <c r="A5167" s="12" t="inlineStr">
        <is>
          <t>I-MV-0017</t>
        </is>
      </c>
      <c r="B5167" s="12" t="inlineStr">
        <is>
          <t>I</t>
        </is>
      </c>
      <c r="C5167" s="12" t="inlineStr">
        <is>
          <t>Modular / portable power</t>
        </is>
      </c>
      <c r="D5167" s="12" t="inlineStr">
        <is>
          <t>RICE-3 generator leads to the PCM</t>
        </is>
      </c>
      <c r="E5167" s="12" t="inlineStr">
        <is>
          <t>RICE-3</t>
        </is>
      </c>
      <c r="F5167" s="12" t="inlineStr">
        <is>
          <t>RICE engine-generator 3</t>
        </is>
      </c>
      <c r="G5167" s="12" t="inlineStr"/>
      <c r="H5167" s="12" t="inlineStr">
        <is>
          <t>PCM: power control module</t>
        </is>
      </c>
      <c r="I5167" s="12" t="inlineStr">
        <is>
          <t>MV 15 kV</t>
        </is>
      </c>
      <c r="J5167" s="12" t="inlineStr">
        <is>
          <t>MV-105 15 kV 1/C Cu, EPR 133%, Cu tape shield, PVC jacket (triplexed)</t>
        </is>
      </c>
      <c r="K5167" s="12" t="inlineStr">
        <is>
          <t>MV15|1/C|750</t>
        </is>
      </c>
      <c r="L5167" s="12" t="inlineStr">
        <is>
          <t>1/C</t>
        </is>
      </c>
      <c r="M5167" s="12" t="inlineStr">
        <is>
          <t>750 kcmil</t>
        </is>
      </c>
      <c r="N5167" s="12" t="n">
        <v>2</v>
      </c>
      <c r="O5167" s="12" t="n">
        <v>3</v>
      </c>
      <c r="P5167" s="12" t="n">
        <v>13800</v>
      </c>
      <c r="Q5167" s="12" t="n">
        <v>18400</v>
      </c>
      <c r="R5167" s="12" t="n">
        <v>770</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18V50 class ~18 MW (typ.)</t>
        </is>
      </c>
      <c r="AA5167" s="12">
        <f>N5167*O5167</f>
        <v/>
      </c>
    </row>
    <row r="5168">
      <c r="A5168" s="12" t="inlineStr">
        <is>
          <t>I-MV-0018</t>
        </is>
      </c>
      <c r="B5168" s="12" t="inlineStr">
        <is>
          <t>I</t>
        </is>
      </c>
      <c r="C5168" s="12" t="inlineStr">
        <is>
          <t>Modular / portable power</t>
        </is>
      </c>
      <c r="D5168" s="12" t="inlineStr">
        <is>
          <t>RICE-4 generator leads to the PCM</t>
        </is>
      </c>
      <c r="E5168" s="12" t="inlineStr">
        <is>
          <t>RICE-4</t>
        </is>
      </c>
      <c r="F5168" s="12" t="inlineStr">
        <is>
          <t>RICE engine-generator 4</t>
        </is>
      </c>
      <c r="G5168" s="12" t="inlineStr"/>
      <c r="H5168" s="12" t="inlineStr">
        <is>
          <t>PCM: power control module</t>
        </is>
      </c>
      <c r="I5168" s="12" t="inlineStr">
        <is>
          <t>MV 15 kV</t>
        </is>
      </c>
      <c r="J5168" s="12" t="inlineStr">
        <is>
          <t>MV-105 15 kV 1/C Cu, EPR 133%, Cu tape shield, PVC jacket (triplexed)</t>
        </is>
      </c>
      <c r="K5168" s="12" t="inlineStr">
        <is>
          <t>MV15|1/C|750</t>
        </is>
      </c>
      <c r="L5168" s="12" t="inlineStr">
        <is>
          <t>1/C</t>
        </is>
      </c>
      <c r="M5168" s="12" t="inlineStr">
        <is>
          <t>750 kcmil</t>
        </is>
      </c>
      <c r="N5168" s="12" t="n">
        <v>2</v>
      </c>
      <c r="O5168" s="12" t="n">
        <v>3</v>
      </c>
      <c r="P5168" s="12" t="n">
        <v>13800</v>
      </c>
      <c r="Q5168" s="12" t="n">
        <v>18400</v>
      </c>
      <c r="R5168" s="12" t="n">
        <v>770</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18V50 class ~18 MW (typ.)</t>
        </is>
      </c>
      <c r="AA5168" s="12">
        <f>N5168*O5168</f>
        <v/>
      </c>
    </row>
    <row r="5169">
      <c r="A5169" s="12" t="inlineStr">
        <is>
          <t>I-MV-0019</t>
        </is>
      </c>
      <c r="B5169" s="12" t="inlineStr">
        <is>
          <t>I</t>
        </is>
      </c>
      <c r="C5169" s="12" t="inlineStr">
        <is>
          <t>Modular / portable power</t>
        </is>
      </c>
      <c r="D5169" s="12" t="inlineStr">
        <is>
          <t>RICE-5 generator leads to the PCM</t>
        </is>
      </c>
      <c r="E5169" s="12" t="inlineStr">
        <is>
          <t>RICE-5</t>
        </is>
      </c>
      <c r="F5169" s="12" t="inlineStr">
        <is>
          <t>RICE engine-generator 5</t>
        </is>
      </c>
      <c r="G5169" s="12" t="inlineStr"/>
      <c r="H5169" s="12" t="inlineStr">
        <is>
          <t>PCM: power control module</t>
        </is>
      </c>
      <c r="I5169" s="12" t="inlineStr">
        <is>
          <t>MV 15 kV</t>
        </is>
      </c>
      <c r="J5169" s="12" t="inlineStr">
        <is>
          <t>MV-105 15 kV 1/C Cu, EPR 133%, Cu tape shield, PVC jacket (triplexed)</t>
        </is>
      </c>
      <c r="K5169" s="12" t="inlineStr">
        <is>
          <t>MV15|1/C|750</t>
        </is>
      </c>
      <c r="L5169" s="12" t="inlineStr">
        <is>
          <t>1/C</t>
        </is>
      </c>
      <c r="M5169" s="12" t="inlineStr">
        <is>
          <t>750 kcmil</t>
        </is>
      </c>
      <c r="N5169" s="12" t="n">
        <v>2</v>
      </c>
      <c r="O5169" s="12" t="n">
        <v>3</v>
      </c>
      <c r="P5169" s="12" t="n">
        <v>13800</v>
      </c>
      <c r="Q5169" s="12" t="n">
        <v>18400</v>
      </c>
      <c r="R5169" s="12" t="n">
        <v>770</v>
      </c>
      <c r="S5169" s="12" t="inlineStr">
        <is>
          <t>Duct bank</t>
        </is>
      </c>
      <c r="T5169" s="16" t="n">
        <v>525</v>
      </c>
      <c r="U5169" s="16" t="n">
        <v>50</v>
      </c>
      <c r="V5169" s="16">
        <f>ROUNDUP((T5169+U5169+2*'Read Me'!$B$13)*(1+'Read Me'!$B$12),-1)</f>
        <v/>
      </c>
      <c r="W5169" s="16">
        <f>V5169*N5169*O5169</f>
        <v/>
      </c>
      <c r="X5169" s="12">
        <f>IF(LEFT(I5169,2)="MV",2*N5169*IF(L5169="1/C",O5169,1),0)</f>
        <v/>
      </c>
      <c r="Y5169" s="12">
        <f>IF(OR(LEFT(K5169,4)="LVAX",LEFT(K5169,6)="MV15AX",LEFT(K5169,4)="CTAX",LEFT(K5169,2)="W|"),2*N5169*O5169,0)</f>
        <v/>
      </c>
      <c r="Z5169" s="12" t="inlineStr">
        <is>
          <t>18V50 class ~18 MW (typ.)</t>
        </is>
      </c>
      <c r="AA5169" s="12">
        <f>N5169*O5169</f>
        <v/>
      </c>
    </row>
    <row r="5170">
      <c r="A5170" s="12" t="inlineStr">
        <is>
          <t>I-MV-0020</t>
        </is>
      </c>
      <c r="B5170" s="12" t="inlineStr">
        <is>
          <t>I</t>
        </is>
      </c>
      <c r="C5170" s="12" t="inlineStr">
        <is>
          <t>Modular / portable power</t>
        </is>
      </c>
      <c r="D5170" s="12" t="inlineStr">
        <is>
          <t>RICE-6 generator leads to the PCM</t>
        </is>
      </c>
      <c r="E5170" s="12" t="inlineStr">
        <is>
          <t>RICE-6</t>
        </is>
      </c>
      <c r="F5170" s="12" t="inlineStr">
        <is>
          <t>RICE engine-generator 6</t>
        </is>
      </c>
      <c r="G5170" s="12" t="inlineStr"/>
      <c r="H5170" s="12" t="inlineStr">
        <is>
          <t>PCM: power control module</t>
        </is>
      </c>
      <c r="I5170" s="12" t="inlineStr">
        <is>
          <t>MV 15 kV</t>
        </is>
      </c>
      <c r="J5170" s="12" t="inlineStr">
        <is>
          <t>MV-105 15 kV 1/C Cu, EPR 133%, Cu tape shield, PVC jacket (triplexed)</t>
        </is>
      </c>
      <c r="K5170" s="12" t="inlineStr">
        <is>
          <t>MV15|1/C|750</t>
        </is>
      </c>
      <c r="L5170" s="12" t="inlineStr">
        <is>
          <t>1/C</t>
        </is>
      </c>
      <c r="M5170" s="12" t="inlineStr">
        <is>
          <t>750 kcmil</t>
        </is>
      </c>
      <c r="N5170" s="12" t="n">
        <v>2</v>
      </c>
      <c r="O5170" s="12" t="n">
        <v>3</v>
      </c>
      <c r="P5170" s="12" t="n">
        <v>13800</v>
      </c>
      <c r="Q5170" s="12" t="n">
        <v>18400</v>
      </c>
      <c r="R5170" s="12" t="n">
        <v>770</v>
      </c>
      <c r="S5170" s="12" t="inlineStr">
        <is>
          <t>Duct bank</t>
        </is>
      </c>
      <c r="T5170" s="16" t="n">
        <v>469</v>
      </c>
      <c r="U5170" s="16" t="n">
        <v>78</v>
      </c>
      <c r="V5170" s="16">
        <f>ROUNDUP((T5170+U5170+2*'Read Me'!$B$13)*(1+'Read Me'!$B$12),-1)</f>
        <v/>
      </c>
      <c r="W5170" s="16">
        <f>V5170*N5170*O5170</f>
        <v/>
      </c>
      <c r="X5170" s="12">
        <f>IF(LEFT(I5170,2)="MV",2*N5170*IF(L5170="1/C",O5170,1),0)</f>
        <v/>
      </c>
      <c r="Y5170" s="12">
        <f>IF(OR(LEFT(K5170,4)="LVAX",LEFT(K5170,6)="MV15AX",LEFT(K5170,4)="CTAX",LEFT(K5170,2)="W|"),2*N5170*O5170,0)</f>
        <v/>
      </c>
      <c r="Z5170" s="12" t="inlineStr">
        <is>
          <t>18V50 class ~18 MW (typ.)</t>
        </is>
      </c>
      <c r="AA5170" s="12">
        <f>N5170*O5170</f>
        <v/>
      </c>
    </row>
    <row r="5171">
      <c r="A5171" s="12" t="inlineStr">
        <is>
          <t>I-MV-0021</t>
        </is>
      </c>
      <c r="B5171" s="12" t="inlineStr">
        <is>
          <t>I</t>
        </is>
      </c>
      <c r="C5171" s="12" t="inlineStr">
        <is>
          <t>Modular / portable power</t>
        </is>
      </c>
      <c r="D5171" s="12" t="inlineStr">
        <is>
          <t>RICE-7 generator leads to the PCM</t>
        </is>
      </c>
      <c r="E5171" s="12" t="inlineStr">
        <is>
          <t>RICE-7</t>
        </is>
      </c>
      <c r="F5171" s="12" t="inlineStr">
        <is>
          <t>RICE engine-generator 7</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Tray</t>
        </is>
      </c>
      <c r="T5171" s="16" t="n">
        <v>83</v>
      </c>
      <c r="U5171" s="16" t="n">
        <v>106</v>
      </c>
      <c r="V5171" s="16">
        <f>ROUNDUP((T5171+U5171+2*'Read Me'!$B$13)*(1+'Read Me'!$B$12),-1)</f>
        <v/>
      </c>
      <c r="W5171" s="16">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I-MV-0022</t>
        </is>
      </c>
      <c r="B5172" s="12" t="inlineStr">
        <is>
          <t>I</t>
        </is>
      </c>
      <c r="C5172" s="12" t="inlineStr">
        <is>
          <t>Modular / portable power</t>
        </is>
      </c>
      <c r="D5172" s="12" t="inlineStr">
        <is>
          <t>RICE-8 generator leads to the PCM</t>
        </is>
      </c>
      <c r="E5172" s="12" t="inlineStr">
        <is>
          <t>RICE-8</t>
        </is>
      </c>
      <c r="F5172" s="12" t="inlineStr">
        <is>
          <t>RICE engine-generator 8</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Tray</t>
        </is>
      </c>
      <c r="T5172" s="16" t="n">
        <v>37</v>
      </c>
      <c r="U5172" s="16" t="n">
        <v>124</v>
      </c>
      <c r="V5172" s="16">
        <f>ROUNDUP((T5172+U5172+2*'Read Me'!$B$13)*(1+'Read Me'!$B$12),-1)</f>
        <v/>
      </c>
      <c r="W5172" s="16">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I-MV-0023</t>
        </is>
      </c>
      <c r="B5173" s="12" t="inlineStr">
        <is>
          <t>I</t>
        </is>
      </c>
      <c r="C5173" s="12" t="inlineStr">
        <is>
          <t>Modular / portable power</t>
        </is>
      </c>
      <c r="D5173" s="12" t="inlineStr">
        <is>
          <t>SC-1 (LM6000 class) generator leads to its PCM / GCB</t>
        </is>
      </c>
      <c r="E5173" s="12" t="inlineStr">
        <is>
          <t>SC-1</t>
        </is>
      </c>
      <c r="F5173" s="12" t="inlineStr">
        <is>
          <t>SC-1: aeroderivative simple-cycle unit (LM6000 class)</t>
        </is>
      </c>
      <c r="G5173" s="12" t="inlineStr"/>
      <c r="H5173" s="12" t="inlineStr">
        <is>
          <t>SC-1 PCM + 15 kV GCB</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5</v>
      </c>
      <c r="O5173" s="12" t="n">
        <v>3</v>
      </c>
      <c r="P5173" s="12" t="n">
        <v>13800</v>
      </c>
      <c r="Q5173" s="12" t="n">
        <v>50000</v>
      </c>
      <c r="R5173" s="12" t="n">
        <v>2092</v>
      </c>
      <c r="S5173" s="12" t="inlineStr">
        <is>
          <t>Tray</t>
        </is>
      </c>
      <c r="T5173" s="16" t="n">
        <v>12</v>
      </c>
      <c r="U5173" s="16" t="n">
        <v>52</v>
      </c>
      <c r="V5173" s="16">
        <f>ROUNDUP((T5173+U5173+2*'Read Me'!$B$13)*(1+'Read Me'!$B$12),-1)</f>
        <v/>
      </c>
      <c r="W5173" s="16">
        <f>V5173*N5173*O5173</f>
        <v/>
      </c>
      <c r="X5173" s="12">
        <f>IF(LEFT(I5173,2)="MV",2*N5173*IF(L5173="1/C",O5173,1),0)</f>
        <v/>
      </c>
      <c r="Y5173" s="12">
        <f>IF(OR(LEFT(K5173,4)="LVAX",LEFT(K5173,6)="MV15AX",LEFT(K5173,4)="CTAX",LEFT(K5173,2)="W|"),2*N5173*O5173,0)</f>
        <v/>
      </c>
      <c r="Z5173" s="12" t="inlineStr"/>
      <c r="AA5173" s="12">
        <f>N5173*O5173</f>
        <v/>
      </c>
    </row>
    <row r="5174">
      <c r="A5174" s="12" t="inlineStr">
        <is>
          <t>I-MV-0024</t>
        </is>
      </c>
      <c r="B5174" s="12" t="inlineStr">
        <is>
          <t>I</t>
        </is>
      </c>
      <c r="C5174" s="12" t="inlineStr">
        <is>
          <t>Modular / portable power</t>
        </is>
      </c>
      <c r="D5174" s="12" t="inlineStr">
        <is>
          <t>SC-2 (LM6000 class) generator leads to its PCM / GCB</t>
        </is>
      </c>
      <c r="E5174" s="12" t="inlineStr">
        <is>
          <t>SC-2</t>
        </is>
      </c>
      <c r="F5174" s="12" t="inlineStr">
        <is>
          <t>SC-2: aeroderivative simple-cycle unit (LM6000 class)</t>
        </is>
      </c>
      <c r="G5174" s="12" t="inlineStr"/>
      <c r="H5174" s="12" t="inlineStr">
        <is>
          <t>SC-2 PCM + 15 kV GCB</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5</v>
      </c>
      <c r="O5174" s="12" t="n">
        <v>3</v>
      </c>
      <c r="P5174" s="12" t="n">
        <v>13800</v>
      </c>
      <c r="Q5174" s="12" t="n">
        <v>50000</v>
      </c>
      <c r="R5174" s="12" t="n">
        <v>2092</v>
      </c>
      <c r="S5174" s="12" t="inlineStr">
        <is>
          <t>Tray</t>
        </is>
      </c>
      <c r="T5174" s="16" t="n">
        <v>0</v>
      </c>
      <c r="U5174" s="16" t="n">
        <v>62</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I-PP-0001</t>
        </is>
      </c>
      <c r="B5175" s="12" t="inlineStr">
        <is>
          <t>I</t>
        </is>
      </c>
      <c r="C5175" s="12" t="inlineStr">
        <is>
          <t>Modular / portable power</t>
        </is>
      </c>
      <c r="D5175" s="12" t="inlineStr">
        <is>
          <t>GEN-E 480 V to PAD-LV (Type W sets, cam-lock)</t>
        </is>
      </c>
      <c r="E5175" s="12" t="inlineStr">
        <is>
          <t>GEN-E</t>
        </is>
      </c>
      <c r="F5175" s="12" t="inlineStr">
        <is>
          <t>GEN-E: enclosed industrial gas genset 2 MW</t>
        </is>
      </c>
      <c r="G5175" s="12" t="inlineStr">
        <is>
          <t>PAD-LV</t>
        </is>
      </c>
      <c r="H5175" s="12" t="inlineStr">
        <is>
          <t>PAD-LV 480 V paralleling switchboard</t>
        </is>
      </c>
      <c r="I5175" s="12" t="inlineStr">
        <is>
          <t>Portable LV</t>
        </is>
      </c>
      <c r="J5175" s="12" t="inlineStr">
        <is>
          <t>Type W 2 kV 1/C Cu, EPDM / CPE (portable, cam-lock)</t>
        </is>
      </c>
      <c r="K5175" s="12" t="inlineStr">
        <is>
          <t>W|1/C|4/0</t>
        </is>
      </c>
      <c r="L5175" s="12" t="inlineStr">
        <is>
          <t>1/C</t>
        </is>
      </c>
      <c r="M5175" s="12" t="inlineStr">
        <is>
          <t>4/0</t>
        </is>
      </c>
      <c r="N5175" s="12" t="n">
        <v>8</v>
      </c>
      <c r="O5175" s="12" t="n">
        <v>4</v>
      </c>
      <c r="P5175" s="12" t="n">
        <v>480</v>
      </c>
      <c r="Q5175" s="12" t="n">
        <v>2000</v>
      </c>
      <c r="R5175" s="12" t="n">
        <v>2406</v>
      </c>
      <c r="S5175" s="12" t="inlineStr">
        <is>
          <t>Surface</t>
        </is>
      </c>
      <c r="T5175" s="16" t="n">
        <v>143</v>
      </c>
      <c r="U5175" s="16" t="n">
        <v>27</v>
      </c>
      <c r="V5175" s="16">
        <f>ROUNDUP((T5175+U5175+2*'Read Me'!$B$13)*(1+'Read Me'!$B$12),-1)</f>
        <v/>
      </c>
      <c r="W5175" s="16">
        <f>V5175*N5175*O5175</f>
        <v/>
      </c>
      <c r="X5175" s="12">
        <f>IF(LEFT(I5175,2)="MV",2*N5175*IF(L5175="1/C",O5175,1),0)</f>
        <v/>
      </c>
      <c r="Y5175" s="12">
        <f>IF(OR(LEFT(K5175,4)="LVAX",LEFT(K5175,6)="MV15AX",LEFT(K5175,4)="CTAX",LEFT(K5175,2)="W|"),2*N5175*O5175,0)</f>
        <v/>
      </c>
      <c r="Z5175" s="12" t="inlineStr">
        <is>
          <t>4 x 1/C per set incl. ground</t>
        </is>
      </c>
      <c r="AA5175" s="12">
        <f>N5175*O5175</f>
        <v/>
      </c>
    </row>
    <row r="5176">
      <c r="A5176" s="12" t="inlineStr">
        <is>
          <t>I-PP-0002</t>
        </is>
      </c>
      <c r="B5176" s="12" t="inlineStr">
        <is>
          <t>I</t>
        </is>
      </c>
      <c r="C5176" s="12" t="inlineStr">
        <is>
          <t>Modular / portable power</t>
        </is>
      </c>
      <c r="D5176" s="12" t="inlineStr">
        <is>
          <t>GEN-O 480 V to PAD-LV (Type W sets, cam-lock)</t>
        </is>
      </c>
      <c r="E5176" s="12" t="inlineStr">
        <is>
          <t>GEN-O</t>
        </is>
      </c>
      <c r="F5176" s="12" t="inlineStr">
        <is>
          <t>GEN-O: open engine-generator skid</t>
        </is>
      </c>
      <c r="G5176" s="12" t="inlineStr">
        <is>
          <t>PAD-LV</t>
        </is>
      </c>
      <c r="H5176" s="12" t="inlineStr">
        <is>
          <t>PAD-LV 480 V paralleling switchboard</t>
        </is>
      </c>
      <c r="I5176" s="12" t="inlineStr">
        <is>
          <t>Portable LV</t>
        </is>
      </c>
      <c r="J5176" s="12" t="inlineStr">
        <is>
          <t>Type W 2 kV 1/C Cu, EPDM / CPE (portable, cam-lock)</t>
        </is>
      </c>
      <c r="K5176" s="12" t="inlineStr">
        <is>
          <t>W|1/C|4/0</t>
        </is>
      </c>
      <c r="L5176" s="12" t="inlineStr">
        <is>
          <t>1/C</t>
        </is>
      </c>
      <c r="M5176" s="12" t="inlineStr">
        <is>
          <t>4/0</t>
        </is>
      </c>
      <c r="N5176" s="12" t="n">
        <v>4</v>
      </c>
      <c r="O5176" s="12" t="n">
        <v>4</v>
      </c>
      <c r="P5176" s="12" t="n">
        <v>480</v>
      </c>
      <c r="Q5176" s="12" t="n">
        <v>1000</v>
      </c>
      <c r="R5176" s="12" t="n">
        <v>1203</v>
      </c>
      <c r="S5176" s="12" t="inlineStr">
        <is>
          <t>Surface</t>
        </is>
      </c>
      <c r="T5176" s="16" t="n">
        <v>132</v>
      </c>
      <c r="U5176" s="16" t="n">
        <v>27</v>
      </c>
      <c r="V5176" s="16">
        <f>ROUNDUP((T5176+U5176+2*'Read Me'!$B$13)*(1+'Read Me'!$B$12),-1)</f>
        <v/>
      </c>
      <c r="W5176" s="16">
        <f>V5176*N5176*O5176</f>
        <v/>
      </c>
      <c r="X5176" s="12">
        <f>IF(LEFT(I5176,2)="MV",2*N5176*IF(L5176="1/C",O5176,1),0)</f>
        <v/>
      </c>
      <c r="Y5176" s="12">
        <f>IF(OR(LEFT(K5176,4)="LVAX",LEFT(K5176,6)="MV15AX",LEFT(K5176,4)="CTAX",LEFT(K5176,2)="W|"),2*N5176*O5176,0)</f>
        <v/>
      </c>
      <c r="Z5176" s="12" t="inlineStr">
        <is>
          <t>4 x 1/C per set incl. ground</t>
        </is>
      </c>
      <c r="AA5176" s="12">
        <f>N5176*O5176</f>
        <v/>
      </c>
    </row>
    <row r="5177">
      <c r="A5177" s="12" t="inlineStr">
        <is>
          <t>I-PP-0003</t>
        </is>
      </c>
      <c r="B5177" s="12" t="inlineStr">
        <is>
          <t>I</t>
        </is>
      </c>
      <c r="C5177" s="12" t="inlineStr">
        <is>
          <t>Modular / portable power</t>
        </is>
      </c>
      <c r="D5177" s="12" t="inlineStr">
        <is>
          <t>CONT-1 13.8 kV leads to GSP-1</t>
        </is>
      </c>
      <c r="E5177" s="12" t="inlineStr">
        <is>
          <t>CONT-1</t>
        </is>
      </c>
      <c r="F5177" s="12" t="inlineStr">
        <is>
          <t>CONT-1: containerized genset 13.8 kV (40 ft)</t>
        </is>
      </c>
      <c r="G5177" s="12" t="inlineStr">
        <is>
          <t>GSP-1</t>
        </is>
      </c>
      <c r="H5177" s="12" t="inlineStr">
        <is>
          <t>GSP-1: generator breaker / protection</t>
        </is>
      </c>
      <c r="I5177" s="12" t="inlineStr">
        <is>
          <t>Portable MV</t>
        </is>
      </c>
      <c r="J5177" s="12" t="inlineStr">
        <is>
          <t>Type SHD-GC 15 kV 3/C Cu, 2 grounds + GC, yellow CPE (portable)</t>
        </is>
      </c>
      <c r="K5177" s="12" t="inlineStr">
        <is>
          <t>SHD|3/C|2</t>
        </is>
      </c>
      <c r="L5177" s="12" t="inlineStr">
        <is>
          <t>3/C</t>
        </is>
      </c>
      <c r="M5177" s="12" t="inlineStr">
        <is>
          <t>2</t>
        </is>
      </c>
      <c r="N5177" s="12" t="n">
        <v>1</v>
      </c>
      <c r="O5177" s="12" t="n">
        <v>1</v>
      </c>
      <c r="P5177" s="12" t="n">
        <v>13800</v>
      </c>
      <c r="Q5177" s="12" t="n">
        <v>2000</v>
      </c>
      <c r="R5177" s="12" t="n">
        <v>93</v>
      </c>
      <c r="S5177" s="12" t="inlineStr">
        <is>
          <t>Tray</t>
        </is>
      </c>
      <c r="T5177" s="16" t="n">
        <v>0</v>
      </c>
      <c r="U5177" s="16" t="n">
        <v>29</v>
      </c>
      <c r="V5177" s="16">
        <f>ROUNDUP((T5177+U5177+2*'Read Me'!$B$13)*(1+'Read Me'!$B$12),-1)</f>
        <v/>
      </c>
      <c r="W5177" s="16">
        <f>V5177*N5177*O5177</f>
        <v/>
      </c>
      <c r="X5177" s="12">
        <f>IF(LEFT(I5177,2)="MV",2*N5177*IF(L5177="1/C",O5177,1),0)</f>
        <v/>
      </c>
      <c r="Y5177" s="12">
        <f>IF(OR(LEFT(K5177,4)="LVAX",LEFT(K5177,6)="MV15AX",LEFT(K5177,4)="CTAX",LEFT(K5177,2)="W|"),2*N5177*O5177,0)</f>
        <v/>
      </c>
      <c r="Z5177" s="12" t="inlineStr">
        <is>
          <t>portable, on grade</t>
        </is>
      </c>
      <c r="AA5177" s="12">
        <f>N5177*O5177</f>
        <v/>
      </c>
    </row>
    <row r="5178">
      <c r="A5178" s="12" t="inlineStr">
        <is>
          <t>I-PP-0004</t>
        </is>
      </c>
      <c r="B5178" s="12" t="inlineStr">
        <is>
          <t>I</t>
        </is>
      </c>
      <c r="C5178" s="12" t="inlineStr">
        <is>
          <t>Modular / portable power</t>
        </is>
      </c>
      <c r="D5178" s="12" t="inlineStr">
        <is>
          <t>CONT-2 13.8 kV leads to GSP-2</t>
        </is>
      </c>
      <c r="E5178" s="12" t="inlineStr">
        <is>
          <t>CONT-2</t>
        </is>
      </c>
      <c r="F5178" s="12" t="inlineStr">
        <is>
          <t>CONT-2: containerized genset 13.8 kV (40 ft)</t>
        </is>
      </c>
      <c r="G5178" s="12" t="inlineStr">
        <is>
          <t>GSP-2</t>
        </is>
      </c>
      <c r="H5178" s="12" t="inlineStr">
        <is>
          <t>GSP-2: generator breaker / protection</t>
        </is>
      </c>
      <c r="I5178" s="12" t="inlineStr">
        <is>
          <t>Portable MV</t>
        </is>
      </c>
      <c r="J5178" s="12" t="inlineStr">
        <is>
          <t>Type SHD-GC 15 kV 3/C Cu, 2 grounds + GC, yellow CPE (portable)</t>
        </is>
      </c>
      <c r="K5178" s="12" t="inlineStr">
        <is>
          <t>SHD|3/C|2</t>
        </is>
      </c>
      <c r="L5178" s="12" t="inlineStr">
        <is>
          <t>3/C</t>
        </is>
      </c>
      <c r="M5178" s="12" t="inlineStr">
        <is>
          <t>2</t>
        </is>
      </c>
      <c r="N5178" s="12" t="n">
        <v>1</v>
      </c>
      <c r="O5178" s="12" t="n">
        <v>1</v>
      </c>
      <c r="P5178" s="12" t="n">
        <v>13800</v>
      </c>
      <c r="Q5178" s="12" t="n">
        <v>2000</v>
      </c>
      <c r="R5178" s="12" t="n">
        <v>93</v>
      </c>
      <c r="S5178" s="12" t="inlineStr">
        <is>
          <t>Riser</t>
        </is>
      </c>
      <c r="T5178" s="16" t="n">
        <v>2</v>
      </c>
      <c r="U5178" s="16" t="n">
        <v>27</v>
      </c>
      <c r="V5178" s="16">
        <f>ROUNDUP((T5178+U5178+2*'Read Me'!$B$13)*(1+'Read Me'!$B$12),-1)</f>
        <v/>
      </c>
      <c r="W5178" s="16">
        <f>V5178*N5178*O5178</f>
        <v/>
      </c>
      <c r="X5178" s="12">
        <f>IF(LEFT(I5178,2)="MV",2*N5178*IF(L5178="1/C",O5178,1),0)</f>
        <v/>
      </c>
      <c r="Y5178" s="12">
        <f>IF(OR(LEFT(K5178,4)="LVAX",LEFT(K5178,6)="MV15AX",LEFT(K5178,4)="CTAX",LEFT(K5178,2)="W|"),2*N5178*O5178,0)</f>
        <v/>
      </c>
      <c r="Z5178" s="12" t="inlineStr">
        <is>
          <t>portable, on grade</t>
        </is>
      </c>
      <c r="AA5178" s="12">
        <f>N5178*O5178</f>
        <v/>
      </c>
    </row>
    <row r="5179">
      <c r="A5179" s="12" t="inlineStr">
        <is>
          <t>I-PP-0005</t>
        </is>
      </c>
      <c r="B5179" s="12" t="inlineStr">
        <is>
          <t>I</t>
        </is>
      </c>
      <c r="C5179" s="12" t="inlineStr">
        <is>
          <t>Modular / portable power</t>
        </is>
      </c>
      <c r="D5179" s="12" t="inlineStr">
        <is>
          <t>PIC to commissioning load bank</t>
        </is>
      </c>
      <c r="E5179" s="12" t="inlineStr">
        <is>
          <t>PIC</t>
        </is>
      </c>
      <c r="F5179" s="12" t="inlineStr">
        <is>
          <t>PIC: portable input cabinet</t>
        </is>
      </c>
      <c r="G5179" s="12" t="inlineStr">
        <is>
          <t>LB</t>
        </is>
      </c>
      <c r="H5179" s="12" t="inlineStr">
        <is>
          <t>LB: commissioning load bank (trailer)</t>
        </is>
      </c>
      <c r="I5179" s="12" t="inlineStr">
        <is>
          <t>Portable MV</t>
        </is>
      </c>
      <c r="J5179" s="12" t="inlineStr">
        <is>
          <t>Type SHD-GC 15 kV 3/C Cu, 2 grounds + GC, yellow CPE (portable)</t>
        </is>
      </c>
      <c r="K5179" s="12" t="inlineStr">
        <is>
          <t>SHD|3/C|2</t>
        </is>
      </c>
      <c r="L5179" s="12" t="inlineStr">
        <is>
          <t>3/C</t>
        </is>
      </c>
      <c r="M5179" s="12" t="inlineStr">
        <is>
          <t>2</t>
        </is>
      </c>
      <c r="N5179" s="12" t="n">
        <v>1</v>
      </c>
      <c r="O5179" s="12" t="n">
        <v>1</v>
      </c>
      <c r="P5179" s="12" t="n">
        <v>13800</v>
      </c>
      <c r="Q5179" s="12" t="n">
        <v>2000</v>
      </c>
      <c r="R5179" s="12" t="n">
        <v>93</v>
      </c>
      <c r="S5179" s="12" t="inlineStr">
        <is>
          <t>Surface</t>
        </is>
      </c>
      <c r="T5179" s="16" t="n">
        <v>27</v>
      </c>
      <c r="U5179" s="16" t="n">
        <v>39</v>
      </c>
      <c r="V5179" s="16">
        <f>ROUNDUP((T5179+U5179+2*'Read Me'!$B$13)*(1+'Read Me'!$B$12),-1)</f>
        <v/>
      </c>
      <c r="W5179" s="16">
        <f>V5179*N5179*O5179</f>
        <v/>
      </c>
      <c r="X5179" s="12">
        <f>IF(LEFT(I5179,2)="MV",2*N5179*IF(L5179="1/C",O5179,1),0)</f>
        <v/>
      </c>
      <c r="Y5179" s="12">
        <f>IF(OR(LEFT(K5179,4)="LVAX",LEFT(K5179,6)="MV15AX",LEFT(K5179,4)="CTAX",LEFT(K5179,2)="W|"),2*N5179*O5179,0)</f>
        <v/>
      </c>
      <c r="Z5179" s="12" t="inlineStr">
        <is>
          <t>portable</t>
        </is>
      </c>
      <c r="AA5179" s="12">
        <f>N5179*O5179</f>
        <v/>
      </c>
    </row>
    <row r="5180">
      <c r="A5180" s="12" t="inlineStr">
        <is>
          <t>I-PP-0006</t>
        </is>
      </c>
      <c r="B5180" s="12" t="inlineStr">
        <is>
          <t>I</t>
        </is>
      </c>
      <c r="C5180" s="12" t="inlineStr">
        <is>
          <t>Modular / portable power</t>
        </is>
      </c>
      <c r="D5180" s="12" t="inlineStr">
        <is>
          <t>GSP-1 to PAD-EH</t>
        </is>
      </c>
      <c r="E5180" s="12" t="inlineStr">
        <is>
          <t>GSP-1</t>
        </is>
      </c>
      <c r="F5180" s="12" t="inlineStr">
        <is>
          <t>GSP-1: generator breaker / protection</t>
        </is>
      </c>
      <c r="G5180" s="12" t="inlineStr">
        <is>
          <t>PAD-EH</t>
        </is>
      </c>
      <c r="H5180" s="12" t="inlineStr">
        <is>
          <t>PAD-EH 13.8 kV switchgear e-house</t>
        </is>
      </c>
      <c r="I5180" s="12" t="inlineStr">
        <is>
          <t>Portable MV</t>
        </is>
      </c>
      <c r="J5180" s="12" t="inlineStr">
        <is>
          <t>Type SHD-GC 15 kV 3/C Cu, 2 grounds + GC, yellow CPE (portable)</t>
        </is>
      </c>
      <c r="K5180" s="12" t="inlineStr">
        <is>
          <t>SHD|3/C|2</t>
        </is>
      </c>
      <c r="L5180" s="12" t="inlineStr">
        <is>
          <t>3/C</t>
        </is>
      </c>
      <c r="M5180" s="12" t="inlineStr">
        <is>
          <t>2</t>
        </is>
      </c>
      <c r="N5180" s="12" t="n">
        <v>1</v>
      </c>
      <c r="O5180" s="12" t="n">
        <v>1</v>
      </c>
      <c r="P5180" s="12" t="n">
        <v>13800</v>
      </c>
      <c r="Q5180" s="12" t="n">
        <v>2000</v>
      </c>
      <c r="R5180" s="12" t="n">
        <v>93</v>
      </c>
      <c r="S5180" s="12" t="inlineStr">
        <is>
          <t>Surface</t>
        </is>
      </c>
      <c r="T5180" s="16" t="n">
        <v>298</v>
      </c>
      <c r="U5180" s="16" t="n">
        <v>37</v>
      </c>
      <c r="V5180" s="16">
        <f>ROUNDUP((T5180+U5180+2*'Read Me'!$B$13)*(1+'Read Me'!$B$12),-1)</f>
        <v/>
      </c>
      <c r="W5180" s="16">
        <f>V5180*N5180*O5180</f>
        <v/>
      </c>
      <c r="X5180" s="12">
        <f>IF(LEFT(I5180,2)="MV",2*N5180*IF(L5180="1/C",O5180,1),0)</f>
        <v/>
      </c>
      <c r="Y5180" s="12">
        <f>IF(OR(LEFT(K5180,4)="LVAX",LEFT(K5180,6)="MV15AX",LEFT(K5180,4)="CTAX",LEFT(K5180,2)="W|"),2*N5180*O5180,0)</f>
        <v/>
      </c>
      <c r="Z5180" s="12" t="inlineStr">
        <is>
          <t>portable, on grade</t>
        </is>
      </c>
      <c r="AA5180" s="12">
        <f>N5180*O5180</f>
        <v/>
      </c>
    </row>
    <row r="5181">
      <c r="A5181" s="12" t="inlineStr">
        <is>
          <t>I-PP-0007</t>
        </is>
      </c>
      <c r="B5181" s="12" t="inlineStr">
        <is>
          <t>I</t>
        </is>
      </c>
      <c r="C5181" s="12" t="inlineStr">
        <is>
          <t>Modular / portable power</t>
        </is>
      </c>
      <c r="D5181" s="12" t="inlineStr">
        <is>
          <t>GSP-2 to PAD-EH</t>
        </is>
      </c>
      <c r="E5181" s="12" t="inlineStr">
        <is>
          <t>GSP-2</t>
        </is>
      </c>
      <c r="F5181" s="12" t="inlineStr">
        <is>
          <t>GSP-2: generator breaker / protection</t>
        </is>
      </c>
      <c r="G5181" s="12" t="inlineStr">
        <is>
          <t>PAD-EH</t>
        </is>
      </c>
      <c r="H5181" s="12" t="inlineStr">
        <is>
          <t>PAD-EH 13.8 kV switchgear e-house</t>
        </is>
      </c>
      <c r="I5181" s="12" t="inlineStr">
        <is>
          <t>Portable MV</t>
        </is>
      </c>
      <c r="J5181" s="12" t="inlineStr">
        <is>
          <t>Type SHD-GC 15 kV 3/C Cu, 2 grounds + GC, yellow CPE (portable)</t>
        </is>
      </c>
      <c r="K5181" s="12" t="inlineStr">
        <is>
          <t>SHD|3/C|2</t>
        </is>
      </c>
      <c r="L5181" s="12" t="inlineStr">
        <is>
          <t>3/C</t>
        </is>
      </c>
      <c r="M5181" s="12" t="inlineStr">
        <is>
          <t>2</t>
        </is>
      </c>
      <c r="N5181" s="12" t="n">
        <v>1</v>
      </c>
      <c r="O5181" s="12" t="n">
        <v>1</v>
      </c>
      <c r="P5181" s="12" t="n">
        <v>13800</v>
      </c>
      <c r="Q5181" s="12" t="n">
        <v>2000</v>
      </c>
      <c r="R5181" s="12" t="n">
        <v>93</v>
      </c>
      <c r="S5181" s="12" t="inlineStr">
        <is>
          <t>Surface</t>
        </is>
      </c>
      <c r="T5181" s="16" t="n">
        <v>269</v>
      </c>
      <c r="U5181" s="16" t="n">
        <v>37</v>
      </c>
      <c r="V5181" s="16">
        <f>ROUNDUP((T5181+U5181+2*'Read Me'!$B$13)*(1+'Read Me'!$B$12),-1)</f>
        <v/>
      </c>
      <c r="W5181" s="16">
        <f>V5181*N5181*O5181</f>
        <v/>
      </c>
      <c r="X5181" s="12">
        <f>IF(LEFT(I5181,2)="MV",2*N5181*IF(L5181="1/C",O5181,1),0)</f>
        <v/>
      </c>
      <c r="Y5181" s="12">
        <f>IF(OR(LEFT(K5181,4)="LVAX",LEFT(K5181,6)="MV15AX",LEFT(K5181,4)="CTAX",LEFT(K5181,2)="W|"),2*N5181*O5181,0)</f>
        <v/>
      </c>
      <c r="Z5181" s="12" t="inlineStr">
        <is>
          <t>portable, on grade</t>
        </is>
      </c>
      <c r="AA5181" s="12">
        <f>N5181*O5181</f>
        <v/>
      </c>
    </row>
    <row r="5182">
      <c r="A5182" s="12" t="inlineStr">
        <is>
          <t>I-PP-0008</t>
        </is>
      </c>
      <c r="B5182" s="12" t="inlineStr">
        <is>
          <t>I</t>
        </is>
      </c>
      <c r="C5182" s="12" t="inlineStr">
        <is>
          <t>Modular / portable power</t>
        </is>
      </c>
      <c r="D5182" s="12" t="inlineStr">
        <is>
          <t>MOB-1 13.8 kV to PIC through the C-L01 ramp</t>
        </is>
      </c>
      <c r="E5182" s="12" t="inlineStr">
        <is>
          <t>MOB-1</t>
        </is>
      </c>
      <c r="F5182" s="12" t="inlineStr">
        <is>
          <t>MOB-1: trailer genset</t>
        </is>
      </c>
      <c r="G5182" s="12" t="inlineStr">
        <is>
          <t>PIC</t>
        </is>
      </c>
      <c r="H5182" s="12" t="inlineStr">
        <is>
          <t>PIC: portable input cabinet</t>
        </is>
      </c>
      <c r="I5182" s="12" t="inlineStr">
        <is>
          <t>Portable MV</t>
        </is>
      </c>
      <c r="J5182" s="12" t="inlineStr">
        <is>
          <t>Type SHD-GC 15 kV 3/C Cu, 2 grounds + GC, yellow CPE (portable)</t>
        </is>
      </c>
      <c r="K5182" s="12" t="inlineStr">
        <is>
          <t>SHD|3/C|2</t>
        </is>
      </c>
      <c r="L5182" s="12" t="inlineStr">
        <is>
          <t>3/C</t>
        </is>
      </c>
      <c r="M5182" s="12" t="inlineStr">
        <is>
          <t>2</t>
        </is>
      </c>
      <c r="N5182" s="12" t="n">
        <v>1</v>
      </c>
      <c r="O5182" s="12" t="n">
        <v>1</v>
      </c>
      <c r="P5182" s="12" t="n">
        <v>13800</v>
      </c>
      <c r="Q5182" s="12" t="n">
        <v>2000</v>
      </c>
      <c r="R5182" s="12" t="n">
        <v>93</v>
      </c>
      <c r="S5182" s="12" t="inlineStr">
        <is>
          <t>Surface</t>
        </is>
      </c>
      <c r="T5182" s="16" t="n">
        <v>162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portable</t>
        </is>
      </c>
      <c r="AA5182" s="12">
        <f>N5182*O5182</f>
        <v/>
      </c>
    </row>
    <row r="5183">
      <c r="A5183" s="12" t="inlineStr">
        <is>
          <t>J-C-0001</t>
        </is>
      </c>
      <c r="B5183" s="12" t="inlineStr">
        <is>
          <t>J</t>
        </is>
      </c>
      <c r="C5183" s="12" t="inlineStr">
        <is>
          <t>GT inlet chilling</t>
        </is>
      </c>
      <c r="D5183" s="12" t="inlineStr">
        <is>
          <t>Motor 1 of 4: control / local station</t>
        </is>
      </c>
      <c r="E5183" s="12" t="inlineStr"/>
      <c r="F5183" s="12" t="inlineStr">
        <is>
          <t>Inlet-chilling e-house / transformer</t>
        </is>
      </c>
      <c r="G5183" s="12" t="inlineStr"/>
      <c r="H5183" s="12" t="inlineStr">
        <is>
          <t>CHW pumps</t>
        </is>
      </c>
      <c r="I5183" s="12" t="inlineStr">
        <is>
          <t>Control</t>
        </is>
      </c>
      <c r="J5183" s="12" t="inlineStr">
        <is>
          <t>Control cable 600 V Type TC-ER, Cu #14 AWG, PVC jacket</t>
        </is>
      </c>
      <c r="K5183" s="12" t="inlineStr">
        <is>
          <t>CT|7/C|14</t>
        </is>
      </c>
      <c r="L5183" s="12" t="inlineStr">
        <is>
          <t>7/C</t>
        </is>
      </c>
      <c r="M5183" s="12" t="inlineStr">
        <is>
          <t>14</t>
        </is>
      </c>
      <c r="N5183" s="12" t="n">
        <v>1</v>
      </c>
      <c r="O5183" s="12" t="n">
        <v>1</v>
      </c>
      <c r="P5183" s="12" t="n"/>
      <c r="Q5183" s="12" t="n"/>
      <c r="R5183" s="12" t="n"/>
      <c r="S5183" s="12" t="inlineStr">
        <is>
          <t>Duct bank</t>
        </is>
      </c>
      <c r="T5183" s="16" t="n">
        <v>579</v>
      </c>
      <c r="U5183" s="16" t="n">
        <v>32</v>
      </c>
      <c r="V5183" s="16">
        <f>ROUNDUP((T5183+U5183+2*'Read Me'!$B$13)*(1+'Read Me'!$B$12),-1)</f>
        <v/>
      </c>
      <c r="W5183" s="16">
        <f>V5183*N5183*O5183</f>
        <v/>
      </c>
      <c r="X5183" s="12">
        <f>IF(LEFT(I5183,2)="MV",2*N5183*IF(L5183="1/C",O5183,1),0)</f>
        <v/>
      </c>
      <c r="Y5183" s="12">
        <f>IF(OR(LEFT(K5183,4)="LVAX",LEFT(K5183,6)="MV15AX",LEFT(K5183,4)="CTAX",LEFT(K5183,2)="W|"),2*N5183*O5183,0)</f>
        <v/>
      </c>
      <c r="Z5183" s="12" t="inlineStr"/>
      <c r="AA5183" s="12">
        <f>N5183*O5183</f>
        <v/>
      </c>
    </row>
    <row r="5184">
      <c r="A5184" s="12" t="inlineStr">
        <is>
          <t>J-C-0002</t>
        </is>
      </c>
      <c r="B5184" s="12" t="inlineStr">
        <is>
          <t>J</t>
        </is>
      </c>
      <c r="C5184" s="12" t="inlineStr">
        <is>
          <t>GT inlet chilling</t>
        </is>
      </c>
      <c r="D5184" s="12" t="inlineStr">
        <is>
          <t>Motor 2 of 4: control / local station</t>
        </is>
      </c>
      <c r="E5184" s="12" t="inlineStr"/>
      <c r="F5184" s="12" t="inlineStr">
        <is>
          <t>Inlet-chilling e-house / transformer</t>
        </is>
      </c>
      <c r="G5184" s="12" t="inlineStr"/>
      <c r="H5184" s="12" t="inlineStr">
        <is>
          <t>CHW pumps</t>
        </is>
      </c>
      <c r="I5184" s="12" t="inlineStr">
        <is>
          <t>Control</t>
        </is>
      </c>
      <c r="J5184" s="12" t="inlineStr">
        <is>
          <t>Control cable 600 V Type TC-ER, Cu #14 AWG, PVC jacket</t>
        </is>
      </c>
      <c r="K5184" s="12" t="inlineStr">
        <is>
          <t>CT|7/C|14</t>
        </is>
      </c>
      <c r="L5184" s="12" t="inlineStr">
        <is>
          <t>7/C</t>
        </is>
      </c>
      <c r="M5184" s="12" t="inlineStr">
        <is>
          <t>14</t>
        </is>
      </c>
      <c r="N5184" s="12" t="n">
        <v>1</v>
      </c>
      <c r="O5184" s="12" t="n">
        <v>1</v>
      </c>
      <c r="P5184" s="12" t="n"/>
      <c r="Q5184" s="12" t="n"/>
      <c r="R5184" s="12" t="n"/>
      <c r="S5184" s="12" t="inlineStr">
        <is>
          <t>Duct bank</t>
        </is>
      </c>
      <c r="T5184" s="16" t="n">
        <v>579</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J-C-0003</t>
        </is>
      </c>
      <c r="B5185" s="12" t="inlineStr">
        <is>
          <t>J</t>
        </is>
      </c>
      <c r="C5185" s="12" t="inlineStr">
        <is>
          <t>GT inlet chilling</t>
        </is>
      </c>
      <c r="D5185" s="12" t="inlineStr">
        <is>
          <t>Motor 3 of 4: control / local station</t>
        </is>
      </c>
      <c r="E5185" s="12" t="inlineStr"/>
      <c r="F5185" s="12" t="inlineStr">
        <is>
          <t>Inlet-chilling e-house / transformer</t>
        </is>
      </c>
      <c r="G5185" s="12" t="inlineStr"/>
      <c r="H5185" s="12" t="inlineStr">
        <is>
          <t>CHW pumps</t>
        </is>
      </c>
      <c r="I5185" s="12" t="inlineStr">
        <is>
          <t>Control</t>
        </is>
      </c>
      <c r="J5185" s="12" t="inlineStr">
        <is>
          <t>Control cable 600 V Type TC-ER, Cu #14 AWG, PVC jacket</t>
        </is>
      </c>
      <c r="K5185" s="12" t="inlineStr">
        <is>
          <t>CT|7/C|14</t>
        </is>
      </c>
      <c r="L5185" s="12" t="inlineStr">
        <is>
          <t>7/C</t>
        </is>
      </c>
      <c r="M5185" s="12" t="inlineStr">
        <is>
          <t>14</t>
        </is>
      </c>
      <c r="N5185" s="12" t="n">
        <v>1</v>
      </c>
      <c r="O5185" s="12" t="n">
        <v>1</v>
      </c>
      <c r="P5185" s="12" t="n"/>
      <c r="Q5185" s="12" t="n"/>
      <c r="R5185" s="12" t="n"/>
      <c r="S5185" s="12" t="inlineStr">
        <is>
          <t>Duct bank</t>
        </is>
      </c>
      <c r="T5185" s="16" t="n">
        <v>579</v>
      </c>
      <c r="U5185" s="16" t="n">
        <v>32</v>
      </c>
      <c r="V5185" s="16">
        <f>ROUNDUP((T5185+U5185+2*'Read Me'!$B$13)*(1+'Read Me'!$B$12),-1)</f>
        <v/>
      </c>
      <c r="W5185" s="16">
        <f>V5185*N5185*O5185</f>
        <v/>
      </c>
      <c r="X5185" s="12">
        <f>IF(LEFT(I5185,2)="MV",2*N5185*IF(L5185="1/C",O5185,1),0)</f>
        <v/>
      </c>
      <c r="Y5185" s="12">
        <f>IF(OR(LEFT(K5185,4)="LVAX",LEFT(K5185,6)="MV15AX",LEFT(K5185,4)="CTAX",LEFT(K5185,2)="W|"),2*N5185*O5185,0)</f>
        <v/>
      </c>
      <c r="Z5185" s="12" t="inlineStr"/>
      <c r="AA5185" s="12">
        <f>N5185*O5185</f>
        <v/>
      </c>
    </row>
    <row r="5186">
      <c r="A5186" s="12" t="inlineStr">
        <is>
          <t>J-C-0004</t>
        </is>
      </c>
      <c r="B5186" s="12" t="inlineStr">
        <is>
          <t>J</t>
        </is>
      </c>
      <c r="C5186" s="12" t="inlineStr">
        <is>
          <t>GT inlet chilling</t>
        </is>
      </c>
      <c r="D5186" s="12" t="inlineStr">
        <is>
          <t>Motor 4 of 4: control / local station</t>
        </is>
      </c>
      <c r="E5186" s="12" t="inlineStr"/>
      <c r="F5186" s="12" t="inlineStr">
        <is>
          <t>Inlet-chilling e-house / transformer</t>
        </is>
      </c>
      <c r="G5186" s="12" t="inlineStr"/>
      <c r="H5186" s="12" t="inlineStr">
        <is>
          <t>CHW pumps</t>
        </is>
      </c>
      <c r="I5186" s="12" t="inlineStr">
        <is>
          <t>Control</t>
        </is>
      </c>
      <c r="J5186" s="12" t="inlineStr">
        <is>
          <t>Control cable 600 V Type TC-ER, Cu #14 AWG, PVC jacket</t>
        </is>
      </c>
      <c r="K5186" s="12" t="inlineStr">
        <is>
          <t>CT|7/C|14</t>
        </is>
      </c>
      <c r="L5186" s="12" t="inlineStr">
        <is>
          <t>7/C</t>
        </is>
      </c>
      <c r="M5186" s="12" t="inlineStr">
        <is>
          <t>14</t>
        </is>
      </c>
      <c r="N5186" s="12" t="n">
        <v>1</v>
      </c>
      <c r="O5186" s="12" t="n">
        <v>1</v>
      </c>
      <c r="P5186" s="12" t="n"/>
      <c r="Q5186" s="12" t="n"/>
      <c r="R5186" s="12" t="n"/>
      <c r="S5186" s="12" t="inlineStr">
        <is>
          <t>Duct bank</t>
        </is>
      </c>
      <c r="T5186" s="16" t="n">
        <v>579</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J-C-0005</t>
        </is>
      </c>
      <c r="B5187" s="12" t="inlineStr">
        <is>
          <t>J</t>
        </is>
      </c>
      <c r="C5187" s="12" t="inlineStr">
        <is>
          <t>GT inlet chilling</t>
        </is>
      </c>
      <c r="D5187" s="12" t="inlineStr">
        <is>
          <t>Motor 1 of 6: control / local station</t>
        </is>
      </c>
      <c r="E5187" s="12" t="inlineStr"/>
      <c r="F5187" s="12" t="inlineStr">
        <is>
          <t>Inlet-chilling e-house / transformer</t>
        </is>
      </c>
      <c r="G5187" s="12" t="inlineStr"/>
      <c r="H5187" s="12" t="inlineStr">
        <is>
          <t>Chillers x6 (water-cooled)</t>
        </is>
      </c>
      <c r="I5187" s="12" t="inlineStr">
        <is>
          <t>Control</t>
        </is>
      </c>
      <c r="J5187" s="12" t="inlineStr">
        <is>
          <t>Control cable 600 V Type TC-ER, Cu #14 AWG, PVC jacket</t>
        </is>
      </c>
      <c r="K5187" s="12" t="inlineStr">
        <is>
          <t>CT|7/C|14</t>
        </is>
      </c>
      <c r="L5187" s="12" t="inlineStr">
        <is>
          <t>7/C</t>
        </is>
      </c>
      <c r="M5187" s="12" t="inlineStr">
        <is>
          <t>14</t>
        </is>
      </c>
      <c r="N5187" s="12" t="n">
        <v>1</v>
      </c>
      <c r="O5187" s="12" t="n">
        <v>1</v>
      </c>
      <c r="P5187" s="12" t="n"/>
      <c r="Q5187" s="12" t="n"/>
      <c r="R5187" s="12" t="n"/>
      <c r="S5187" s="12" t="inlineStr">
        <is>
          <t>Duct bank</t>
        </is>
      </c>
      <c r="T5187" s="16" t="n">
        <v>10</v>
      </c>
      <c r="U5187" s="16" t="n">
        <v>32</v>
      </c>
      <c r="V5187" s="16">
        <f>ROUNDUP((T5187+U5187+2*'Read Me'!$B$13)*(1+'Read Me'!$B$12),-1)</f>
        <v/>
      </c>
      <c r="W5187" s="16">
        <f>V5187*N5187*O5187</f>
        <v/>
      </c>
      <c r="X5187" s="12">
        <f>IF(LEFT(I5187,2)="MV",2*N5187*IF(L5187="1/C",O5187,1),0)</f>
        <v/>
      </c>
      <c r="Y5187" s="12">
        <f>IF(OR(LEFT(K5187,4)="LVAX",LEFT(K5187,6)="MV15AX",LEFT(K5187,4)="CTAX",LEFT(K5187,2)="W|"),2*N5187*O5187,0)</f>
        <v/>
      </c>
      <c r="Z5187" s="12" t="inlineStr"/>
      <c r="AA5187" s="12">
        <f>N5187*O5187</f>
        <v/>
      </c>
    </row>
    <row r="5188">
      <c r="A5188" s="12" t="inlineStr">
        <is>
          <t>J-C-0006</t>
        </is>
      </c>
      <c r="B5188" s="12" t="inlineStr">
        <is>
          <t>J</t>
        </is>
      </c>
      <c r="C5188" s="12" t="inlineStr">
        <is>
          <t>GT inlet chilling</t>
        </is>
      </c>
      <c r="D5188" s="12" t="inlineStr">
        <is>
          <t>Motor 2 of 6: control / local station</t>
        </is>
      </c>
      <c r="E5188" s="12" t="inlineStr"/>
      <c r="F5188" s="12" t="inlineStr">
        <is>
          <t>Inlet-chilling e-house / transformer</t>
        </is>
      </c>
      <c r="G5188" s="12" t="inlineStr"/>
      <c r="H5188" s="12" t="inlineStr">
        <is>
          <t>Chillers x6 (water-cooled)</t>
        </is>
      </c>
      <c r="I5188" s="12" t="inlineStr">
        <is>
          <t>Control</t>
        </is>
      </c>
      <c r="J5188" s="12" t="inlineStr">
        <is>
          <t>Control cable 600 V Type TC-ER, Cu #14 AWG, PVC jacket</t>
        </is>
      </c>
      <c r="K5188" s="12" t="inlineStr">
        <is>
          <t>CT|7/C|14</t>
        </is>
      </c>
      <c r="L5188" s="12" t="inlineStr">
        <is>
          <t>7/C</t>
        </is>
      </c>
      <c r="M5188" s="12" t="inlineStr">
        <is>
          <t>14</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J-C-0007</t>
        </is>
      </c>
      <c r="B5189" s="12" t="inlineStr">
        <is>
          <t>J</t>
        </is>
      </c>
      <c r="C5189" s="12" t="inlineStr">
        <is>
          <t>GT inlet chilling</t>
        </is>
      </c>
      <c r="D5189" s="12" t="inlineStr">
        <is>
          <t>Motor 3 of 6: control / local station</t>
        </is>
      </c>
      <c r="E5189" s="12" t="inlineStr"/>
      <c r="F5189" s="12" t="inlineStr">
        <is>
          <t>Inlet-chilling e-house / transformer</t>
        </is>
      </c>
      <c r="G5189" s="12" t="inlineStr"/>
      <c r="H5189" s="12" t="inlineStr">
        <is>
          <t>Chillers x6 (water-cooled)</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Duct bank</t>
        </is>
      </c>
      <c r="T5189" s="16" t="n">
        <v>10</v>
      </c>
      <c r="U5189" s="16" t="n">
        <v>32</v>
      </c>
      <c r="V5189" s="16">
        <f>ROUNDUP((T5189+U5189+2*'Read Me'!$B$13)*(1+'Read Me'!$B$12),-1)</f>
        <v/>
      </c>
      <c r="W5189" s="16">
        <f>V5189*N5189*O5189</f>
        <v/>
      </c>
      <c r="X5189" s="12">
        <f>IF(LEFT(I5189,2)="MV",2*N5189*IF(L5189="1/C",O5189,1),0)</f>
        <v/>
      </c>
      <c r="Y5189" s="12">
        <f>IF(OR(LEFT(K5189,4)="LVAX",LEFT(K5189,6)="MV15AX",LEFT(K5189,4)="CTAX",LEFT(K5189,2)="W|"),2*N5189*O5189,0)</f>
        <v/>
      </c>
      <c r="Z5189" s="12" t="inlineStr"/>
      <c r="AA5189" s="12">
        <f>N5189*O5189</f>
        <v/>
      </c>
    </row>
    <row r="5190">
      <c r="A5190" s="12" t="inlineStr">
        <is>
          <t>J-C-0008</t>
        </is>
      </c>
      <c r="B5190" s="12" t="inlineStr">
        <is>
          <t>J</t>
        </is>
      </c>
      <c r="C5190" s="12" t="inlineStr">
        <is>
          <t>GT inlet chilling</t>
        </is>
      </c>
      <c r="D5190" s="12" t="inlineStr">
        <is>
          <t>Motor 4 of 6: control / local station</t>
        </is>
      </c>
      <c r="E5190" s="12" t="inlineStr"/>
      <c r="F5190" s="12" t="inlineStr">
        <is>
          <t>Inlet-chilling e-house / transformer</t>
        </is>
      </c>
      <c r="G5190" s="12" t="inlineStr"/>
      <c r="H5190" s="12" t="inlineStr">
        <is>
          <t>Chillers x6 (water-cooled)</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J-C-0009</t>
        </is>
      </c>
      <c r="B5191" s="12" t="inlineStr">
        <is>
          <t>J</t>
        </is>
      </c>
      <c r="C5191" s="12" t="inlineStr">
        <is>
          <t>GT inlet chilling</t>
        </is>
      </c>
      <c r="D5191" s="12" t="inlineStr">
        <is>
          <t>Motor 5 of 6: control / local station</t>
        </is>
      </c>
      <c r="E5191" s="12" t="inlineStr"/>
      <c r="F5191" s="12" t="inlineStr">
        <is>
          <t>Inlet-chilling e-house / transformer</t>
        </is>
      </c>
      <c r="G5191" s="12" t="inlineStr"/>
      <c r="H5191" s="12" t="inlineStr">
        <is>
          <t>Chillers x6 (water-cooled)</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Duct bank</t>
        </is>
      </c>
      <c r="T5191" s="16" t="n">
        <v>10</v>
      </c>
      <c r="U5191" s="16" t="n">
        <v>32</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J-C-0010</t>
        </is>
      </c>
      <c r="B5192" s="12" t="inlineStr">
        <is>
          <t>J</t>
        </is>
      </c>
      <c r="C5192" s="12" t="inlineStr">
        <is>
          <t>GT inlet chilling</t>
        </is>
      </c>
      <c r="D5192" s="12" t="inlineStr">
        <is>
          <t>Motor 6 of 6: control / local station</t>
        </is>
      </c>
      <c r="E5192" s="12" t="inlineStr"/>
      <c r="F5192" s="12" t="inlineStr">
        <is>
          <t>Inlet-chilling e-house / transformer</t>
        </is>
      </c>
      <c r="G5192" s="12" t="inlineStr"/>
      <c r="H5192" s="12" t="inlineStr">
        <is>
          <t>Chillers x6 (water-cooled)</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J-C-0011</t>
        </is>
      </c>
      <c r="B5193" s="12" t="inlineStr">
        <is>
          <t>J</t>
        </is>
      </c>
      <c r="C5193" s="12" t="inlineStr">
        <is>
          <t>GT inlet chilling</t>
        </is>
      </c>
      <c r="D5193" s="12" t="inlineStr">
        <is>
          <t>Control</t>
        </is>
      </c>
      <c r="E5193" s="12" t="inlineStr"/>
      <c r="F5193" s="12" t="inlineStr">
        <is>
          <t>Inlet-chilling e-house / transformer</t>
        </is>
      </c>
      <c r="G5193" s="12" t="inlineStr"/>
      <c r="H5193" s="12" t="inlineStr">
        <is>
          <t>Inlet-chilling e-house / transformer</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Tray</t>
        </is>
      </c>
      <c r="T5193" s="16" t="n">
        <v>0</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c r="AA5193" s="12">
        <f>N5193*O5193</f>
        <v/>
      </c>
    </row>
    <row r="5194">
      <c r="A5194" s="12" t="inlineStr">
        <is>
          <t>J-C-0012</t>
        </is>
      </c>
      <c r="B5194" s="12" t="inlineStr">
        <is>
          <t>J</t>
        </is>
      </c>
      <c r="C5194" s="12" t="inlineStr">
        <is>
          <t>GT inlet chilling</t>
        </is>
      </c>
      <c r="D5194" s="12" t="inlineStr">
        <is>
          <t>Control</t>
        </is>
      </c>
      <c r="E5194" s="12" t="inlineStr"/>
      <c r="F5194" s="12" t="inlineStr">
        <is>
          <t>Inlet-chilling e-house / transformer</t>
        </is>
      </c>
      <c r="G5194" s="12" t="inlineStr"/>
      <c r="H5194" s="12" t="inlineStr">
        <is>
          <t>Inlet-chilling e-house / transformer</t>
        </is>
      </c>
      <c r="I5194" s="12" t="inlineStr">
        <is>
          <t>Control</t>
        </is>
      </c>
      <c r="J5194" s="12" t="inlineStr">
        <is>
          <t>Control cable 600 V Type TC-ER, Cu #14 AWG, PVC jacket</t>
        </is>
      </c>
      <c r="K5194" s="12" t="inlineStr">
        <is>
          <t>CT|12/C|14</t>
        </is>
      </c>
      <c r="L5194" s="12" t="inlineStr">
        <is>
          <t>12/C</t>
        </is>
      </c>
      <c r="M5194" s="12" t="inlineStr">
        <is>
          <t>14</t>
        </is>
      </c>
      <c r="N5194" s="12" t="n">
        <v>1</v>
      </c>
      <c r="O5194" s="12" t="n">
        <v>1</v>
      </c>
      <c r="P5194" s="12" t="n"/>
      <c r="Q5194" s="12" t="n"/>
      <c r="R5194" s="12" t="n"/>
      <c r="S5194" s="12" t="inlineStr">
        <is>
          <t>Tray</t>
        </is>
      </c>
      <c r="T5194" s="16" t="n">
        <v>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J-C-0013</t>
        </is>
      </c>
      <c r="B5195" s="12" t="inlineStr">
        <is>
          <t>J</t>
        </is>
      </c>
      <c r="C5195" s="12" t="inlineStr">
        <is>
          <t>GT inlet chilling</t>
        </is>
      </c>
      <c r="D5195" s="12" t="inlineStr">
        <is>
          <t>CT / VT</t>
        </is>
      </c>
      <c r="E5195" s="12" t="inlineStr"/>
      <c r="F5195" s="12" t="inlineStr">
        <is>
          <t>Inlet-chilling e-house / transformer</t>
        </is>
      </c>
      <c r="G5195" s="12" t="inlineStr"/>
      <c r="H5195" s="12" t="inlineStr">
        <is>
          <t>Inlet-chilling e-house / transformer</t>
        </is>
      </c>
      <c r="I5195" s="12" t="inlineStr">
        <is>
          <t>Control</t>
        </is>
      </c>
      <c r="J5195" s="12" t="inlineStr">
        <is>
          <t>Control cable 600 V Type TC-ER, Cu #10 AWG (CT / VT circuits)</t>
        </is>
      </c>
      <c r="K5195" s="12" t="inlineStr">
        <is>
          <t>CTCT|4/C|10</t>
        </is>
      </c>
      <c r="L5195" s="12" t="inlineStr">
        <is>
          <t>4/C</t>
        </is>
      </c>
      <c r="M5195" s="12" t="inlineStr">
        <is>
          <t>10</t>
        </is>
      </c>
      <c r="N5195" s="12" t="n">
        <v>1</v>
      </c>
      <c r="O5195" s="12" t="n">
        <v>1</v>
      </c>
      <c r="P5195" s="12" t="n"/>
      <c r="Q5195" s="12" t="n"/>
      <c r="R5195" s="12" t="n"/>
      <c r="S5195" s="12" t="inlineStr">
        <is>
          <t>Tray</t>
        </is>
      </c>
      <c r="T5195" s="16" t="n">
        <v>0</v>
      </c>
      <c r="U5195" s="16" t="n">
        <v>32</v>
      </c>
      <c r="V5195" s="16">
        <f>ROUNDUP((T5195+U5195+2*'Read Me'!$B$13)*(1+'Read Me'!$B$12),-1)</f>
        <v/>
      </c>
      <c r="W5195" s="16">
        <f>V5195*N5195*O5195</f>
        <v/>
      </c>
      <c r="X5195" s="12">
        <f>IF(LEFT(I5195,2)="MV",2*N5195*IF(L5195="1/C",O5195,1),0)</f>
        <v/>
      </c>
      <c r="Y5195" s="12">
        <f>IF(OR(LEFT(K5195,4)="LVAX",LEFT(K5195,6)="MV15AX",LEFT(K5195,4)="CTAX",LEFT(K5195,2)="W|"),2*N5195*O5195,0)</f>
        <v/>
      </c>
      <c r="Z5195" s="12" t="inlineStr"/>
      <c r="AA5195" s="12">
        <f>N5195*O5195</f>
        <v/>
      </c>
    </row>
    <row r="5196">
      <c r="A5196" s="12" t="inlineStr">
        <is>
          <t>J-C-0014</t>
        </is>
      </c>
      <c r="B5196" s="12" t="inlineStr">
        <is>
          <t>J</t>
        </is>
      </c>
      <c r="C5196" s="12" t="inlineStr">
        <is>
          <t>GT inlet chilling</t>
        </is>
      </c>
      <c r="D5196" s="12" t="inlineStr">
        <is>
          <t>CT / VT</t>
        </is>
      </c>
      <c r="E5196" s="12" t="inlineStr"/>
      <c r="F5196" s="12" t="inlineStr">
        <is>
          <t>Inlet-chilling e-house / transformer</t>
        </is>
      </c>
      <c r="G5196" s="12" t="inlineStr"/>
      <c r="H5196" s="12" t="inlineStr">
        <is>
          <t>Inlet-chilling e-house / transformer</t>
        </is>
      </c>
      <c r="I5196" s="12" t="inlineStr">
        <is>
          <t>Control</t>
        </is>
      </c>
      <c r="J5196" s="12" t="inlineStr">
        <is>
          <t>Control cable 600 V Type TC-ER, Cu #10 AWG (CT / VT circuits)</t>
        </is>
      </c>
      <c r="K5196" s="12" t="inlineStr">
        <is>
          <t>CTCT|4/C|10</t>
        </is>
      </c>
      <c r="L5196" s="12" t="inlineStr">
        <is>
          <t>4/C</t>
        </is>
      </c>
      <c r="M5196" s="12" t="inlineStr">
        <is>
          <t>10</t>
        </is>
      </c>
      <c r="N5196" s="12" t="n">
        <v>1</v>
      </c>
      <c r="O5196" s="12" t="n">
        <v>1</v>
      </c>
      <c r="P5196" s="12" t="n"/>
      <c r="Q5196" s="12" t="n"/>
      <c r="R5196" s="12" t="n"/>
      <c r="S5196" s="12" t="inlineStr">
        <is>
          <t>Tray</t>
        </is>
      </c>
      <c r="T5196" s="16" t="n">
        <v>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J-C-0015</t>
        </is>
      </c>
      <c r="B5197" s="12" t="inlineStr">
        <is>
          <t>J</t>
        </is>
      </c>
      <c r="C5197" s="12" t="inlineStr">
        <is>
          <t>GT inlet chilling</t>
        </is>
      </c>
      <c r="D5197" s="12" t="inlineStr">
        <is>
          <t>Motor 1 of 12: control / local station</t>
        </is>
      </c>
      <c r="E5197" s="12" t="inlineStr"/>
      <c r="F5197" s="12" t="inlineStr">
        <is>
          <t>Inlet-chilling e-house / transformer</t>
        </is>
      </c>
      <c r="G5197" s="12" t="inlineStr"/>
      <c r="H5197" s="12" t="inlineStr">
        <is>
          <t>Inlet-chilling tower (12 cells): chiller heat rejection</t>
        </is>
      </c>
      <c r="I5197" s="12" t="inlineStr">
        <is>
          <t>Control</t>
        </is>
      </c>
      <c r="J5197" s="12" t="inlineStr">
        <is>
          <t>Control cable 600 V Type TC-ER, Cu #14 AWG, PVC jacket</t>
        </is>
      </c>
      <c r="K5197" s="12" t="inlineStr">
        <is>
          <t>CT|7/C|14</t>
        </is>
      </c>
      <c r="L5197" s="12" t="inlineStr">
        <is>
          <t>7/C</t>
        </is>
      </c>
      <c r="M5197" s="12" t="inlineStr">
        <is>
          <t>14</t>
        </is>
      </c>
      <c r="N5197" s="12" t="n">
        <v>1</v>
      </c>
      <c r="O5197" s="12" t="n">
        <v>1</v>
      </c>
      <c r="P5197" s="12" t="n"/>
      <c r="Q5197" s="12" t="n"/>
      <c r="R5197" s="12" t="n"/>
      <c r="S5197" s="12" t="inlineStr">
        <is>
          <t>Duct bank</t>
        </is>
      </c>
      <c r="T5197" s="16" t="n">
        <v>478</v>
      </c>
      <c r="U5197" s="16" t="n">
        <v>38</v>
      </c>
      <c r="V5197" s="16">
        <f>ROUNDUP((T5197+U5197+2*'Read Me'!$B$13)*(1+'Read Me'!$B$12),-1)</f>
        <v/>
      </c>
      <c r="W5197" s="16">
        <f>V5197*N5197*O5197</f>
        <v/>
      </c>
      <c r="X5197" s="12">
        <f>IF(LEFT(I5197,2)="MV",2*N5197*IF(L5197="1/C",O5197,1),0)</f>
        <v/>
      </c>
      <c r="Y5197" s="12">
        <f>IF(OR(LEFT(K5197,4)="LVAX",LEFT(K5197,6)="MV15AX",LEFT(K5197,4)="CTAX",LEFT(K5197,2)="W|"),2*N5197*O5197,0)</f>
        <v/>
      </c>
      <c r="Z5197" s="12" t="inlineStr"/>
      <c r="AA5197" s="12">
        <f>N5197*O5197</f>
        <v/>
      </c>
    </row>
    <row r="5198">
      <c r="A5198" s="12" t="inlineStr">
        <is>
          <t>J-C-0016</t>
        </is>
      </c>
      <c r="B5198" s="12" t="inlineStr">
        <is>
          <t>J</t>
        </is>
      </c>
      <c r="C5198" s="12" t="inlineStr">
        <is>
          <t>GT inlet chilling</t>
        </is>
      </c>
      <c r="D5198" s="12" t="inlineStr">
        <is>
          <t>Motor 2 of 12: control / local station</t>
        </is>
      </c>
      <c r="E5198" s="12" t="inlineStr"/>
      <c r="F5198" s="12" t="inlineStr">
        <is>
          <t>Inlet-chilling e-house / transformer</t>
        </is>
      </c>
      <c r="G5198" s="12" t="inlineStr"/>
      <c r="H5198" s="12" t="inlineStr">
        <is>
          <t>Inlet-chilling tower (12 cells): chiller heat rejection</t>
        </is>
      </c>
      <c r="I5198" s="12" t="inlineStr">
        <is>
          <t>Control</t>
        </is>
      </c>
      <c r="J5198" s="12" t="inlineStr">
        <is>
          <t>Control cable 600 V Type TC-ER, Cu #14 AWG, PVC jacket</t>
        </is>
      </c>
      <c r="K5198" s="12" t="inlineStr">
        <is>
          <t>CT|7/C|14</t>
        </is>
      </c>
      <c r="L5198" s="12" t="inlineStr">
        <is>
          <t>7/C</t>
        </is>
      </c>
      <c r="M5198" s="12" t="inlineStr">
        <is>
          <t>14</t>
        </is>
      </c>
      <c r="N5198" s="12" t="n">
        <v>1</v>
      </c>
      <c r="O5198" s="12" t="n">
        <v>1</v>
      </c>
      <c r="P5198" s="12" t="n"/>
      <c r="Q5198" s="12" t="n"/>
      <c r="R5198" s="12" t="n"/>
      <c r="S5198" s="12" t="inlineStr">
        <is>
          <t>Duct bank</t>
        </is>
      </c>
      <c r="T5198" s="16" t="n">
        <v>478</v>
      </c>
      <c r="U5198" s="16" t="n">
        <v>38</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J-C-0017</t>
        </is>
      </c>
      <c r="B5199" s="12" t="inlineStr">
        <is>
          <t>J</t>
        </is>
      </c>
      <c r="C5199" s="12" t="inlineStr">
        <is>
          <t>GT inlet chilling</t>
        </is>
      </c>
      <c r="D5199" s="12" t="inlineStr">
        <is>
          <t>Motor 3 of 12: control / local station</t>
        </is>
      </c>
      <c r="E5199" s="12" t="inlineStr"/>
      <c r="F5199" s="12" t="inlineStr">
        <is>
          <t>Inlet-chilling e-house / transformer</t>
        </is>
      </c>
      <c r="G5199" s="12" t="inlineStr"/>
      <c r="H5199" s="12" t="inlineStr">
        <is>
          <t>Inlet-chilling tower (12 cells): chiller heat rejection</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Duct bank</t>
        </is>
      </c>
      <c r="T5199" s="16" t="n">
        <v>478</v>
      </c>
      <c r="U5199" s="16" t="n">
        <v>38</v>
      </c>
      <c r="V5199" s="16">
        <f>ROUNDUP((T5199+U5199+2*'Read Me'!$B$13)*(1+'Read Me'!$B$12),-1)</f>
        <v/>
      </c>
      <c r="W5199" s="16">
        <f>V5199*N5199*O5199</f>
        <v/>
      </c>
      <c r="X5199" s="12">
        <f>IF(LEFT(I5199,2)="MV",2*N5199*IF(L5199="1/C",O5199,1),0)</f>
        <v/>
      </c>
      <c r="Y5199" s="12">
        <f>IF(OR(LEFT(K5199,4)="LVAX",LEFT(K5199,6)="MV15AX",LEFT(K5199,4)="CTAX",LEFT(K5199,2)="W|"),2*N5199*O5199,0)</f>
        <v/>
      </c>
      <c r="Z5199" s="12" t="inlineStr"/>
      <c r="AA5199" s="12">
        <f>N5199*O5199</f>
        <v/>
      </c>
    </row>
    <row r="5200">
      <c r="A5200" s="12" t="inlineStr">
        <is>
          <t>J-C-0018</t>
        </is>
      </c>
      <c r="B5200" s="12" t="inlineStr">
        <is>
          <t>J</t>
        </is>
      </c>
      <c r="C5200" s="12" t="inlineStr">
        <is>
          <t>GT inlet chilling</t>
        </is>
      </c>
      <c r="D5200" s="12" t="inlineStr">
        <is>
          <t>Motor 4 of 12: control / local station</t>
        </is>
      </c>
      <c r="E5200" s="12" t="inlineStr"/>
      <c r="F5200" s="12" t="inlineStr">
        <is>
          <t>Inlet-chilling e-house / transformer</t>
        </is>
      </c>
      <c r="G5200" s="12" t="inlineStr"/>
      <c r="H5200" s="12" t="inlineStr">
        <is>
          <t>Inlet-chilling tower (12 cells): chiller heat rejection</t>
        </is>
      </c>
      <c r="I5200" s="12" t="inlineStr">
        <is>
          <t>Control</t>
        </is>
      </c>
      <c r="J5200" s="12" t="inlineStr">
        <is>
          <t>Control cable 600 V Type TC-ER, Cu #14 AWG, PVC jacket</t>
        </is>
      </c>
      <c r="K5200" s="12" t="inlineStr">
        <is>
          <t>CT|7/C|14</t>
        </is>
      </c>
      <c r="L5200" s="12" t="inlineStr">
        <is>
          <t>7/C</t>
        </is>
      </c>
      <c r="M5200" s="12" t="inlineStr">
        <is>
          <t>14</t>
        </is>
      </c>
      <c r="N5200" s="12" t="n">
        <v>1</v>
      </c>
      <c r="O5200" s="12" t="n">
        <v>1</v>
      </c>
      <c r="P5200" s="12" t="n"/>
      <c r="Q5200" s="12" t="n"/>
      <c r="R5200" s="12" t="n"/>
      <c r="S5200" s="12" t="inlineStr">
        <is>
          <t>Duct bank</t>
        </is>
      </c>
      <c r="T5200" s="16" t="n">
        <v>478</v>
      </c>
      <c r="U5200" s="16" t="n">
        <v>38</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J-C-0019</t>
        </is>
      </c>
      <c r="B5201" s="12" t="inlineStr">
        <is>
          <t>J</t>
        </is>
      </c>
      <c r="C5201" s="12" t="inlineStr">
        <is>
          <t>GT inlet chilling</t>
        </is>
      </c>
      <c r="D5201" s="12" t="inlineStr">
        <is>
          <t>Motor 5 of 12: control / local station</t>
        </is>
      </c>
      <c r="E5201" s="12" t="inlineStr"/>
      <c r="F5201" s="12" t="inlineStr">
        <is>
          <t>Inlet-chilling e-house / transformer</t>
        </is>
      </c>
      <c r="G5201" s="12" t="inlineStr"/>
      <c r="H5201" s="12" t="inlineStr">
        <is>
          <t>Inlet-chilling tower (12 cells): chiller heat rejection</t>
        </is>
      </c>
      <c r="I5201" s="12" t="inlineStr">
        <is>
          <t>Control</t>
        </is>
      </c>
      <c r="J5201" s="12" t="inlineStr">
        <is>
          <t>Control cable 600 V Type TC-ER, Cu #14 AWG, PVC jacket</t>
        </is>
      </c>
      <c r="K5201" s="12" t="inlineStr">
        <is>
          <t>CT|7/C|14</t>
        </is>
      </c>
      <c r="L5201" s="12" t="inlineStr">
        <is>
          <t>7/C</t>
        </is>
      </c>
      <c r="M5201" s="12" t="inlineStr">
        <is>
          <t>14</t>
        </is>
      </c>
      <c r="N5201" s="12" t="n">
        <v>1</v>
      </c>
      <c r="O5201" s="12" t="n">
        <v>1</v>
      </c>
      <c r="P5201" s="12" t="n"/>
      <c r="Q5201" s="12" t="n"/>
      <c r="R5201" s="12" t="n"/>
      <c r="S5201" s="12" t="inlineStr">
        <is>
          <t>Duct bank</t>
        </is>
      </c>
      <c r="T5201" s="16" t="n">
        <v>478</v>
      </c>
      <c r="U5201" s="16" t="n">
        <v>38</v>
      </c>
      <c r="V5201" s="16">
        <f>ROUNDUP((T5201+U5201+2*'Read Me'!$B$13)*(1+'Read Me'!$B$12),-1)</f>
        <v/>
      </c>
      <c r="W5201" s="16">
        <f>V5201*N5201*O5201</f>
        <v/>
      </c>
      <c r="X5201" s="12">
        <f>IF(LEFT(I5201,2)="MV",2*N5201*IF(L5201="1/C",O5201,1),0)</f>
        <v/>
      </c>
      <c r="Y5201" s="12">
        <f>IF(OR(LEFT(K5201,4)="LVAX",LEFT(K5201,6)="MV15AX",LEFT(K5201,4)="CTAX",LEFT(K5201,2)="W|"),2*N5201*O5201,0)</f>
        <v/>
      </c>
      <c r="Z5201" s="12" t="inlineStr"/>
      <c r="AA5201" s="12">
        <f>N5201*O5201</f>
        <v/>
      </c>
    </row>
    <row r="5202">
      <c r="A5202" s="12" t="inlineStr">
        <is>
          <t>J-C-0020</t>
        </is>
      </c>
      <c r="B5202" s="12" t="inlineStr">
        <is>
          <t>J</t>
        </is>
      </c>
      <c r="C5202" s="12" t="inlineStr">
        <is>
          <t>GT inlet chilling</t>
        </is>
      </c>
      <c r="D5202" s="12" t="inlineStr">
        <is>
          <t>Motor 6 of 12: control / local station</t>
        </is>
      </c>
      <c r="E5202" s="12" t="inlineStr"/>
      <c r="F5202" s="12" t="inlineStr">
        <is>
          <t>Inlet-chilling e-house / transformer</t>
        </is>
      </c>
      <c r="G5202" s="12" t="inlineStr"/>
      <c r="H5202" s="12" t="inlineStr">
        <is>
          <t>Inlet-chilling tower (12 cells): chiller heat rejection</t>
        </is>
      </c>
      <c r="I5202" s="12" t="inlineStr">
        <is>
          <t>Control</t>
        </is>
      </c>
      <c r="J5202" s="12" t="inlineStr">
        <is>
          <t>Control cable 600 V Type TC-ER, Cu #14 AWG, PVC jacket</t>
        </is>
      </c>
      <c r="K5202" s="12" t="inlineStr">
        <is>
          <t>CT|7/C|14</t>
        </is>
      </c>
      <c r="L5202" s="12" t="inlineStr">
        <is>
          <t>7/C</t>
        </is>
      </c>
      <c r="M5202" s="12" t="inlineStr">
        <is>
          <t>14</t>
        </is>
      </c>
      <c r="N5202" s="12" t="n">
        <v>1</v>
      </c>
      <c r="O5202" s="12" t="n">
        <v>1</v>
      </c>
      <c r="P5202" s="12" t="n"/>
      <c r="Q5202" s="12" t="n"/>
      <c r="R5202" s="12" t="n"/>
      <c r="S5202" s="12" t="inlineStr">
        <is>
          <t>Duct bank</t>
        </is>
      </c>
      <c r="T5202" s="16" t="n">
        <v>478</v>
      </c>
      <c r="U5202" s="16" t="n">
        <v>38</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J-C-0021</t>
        </is>
      </c>
      <c r="B5203" s="12" t="inlineStr">
        <is>
          <t>J</t>
        </is>
      </c>
      <c r="C5203" s="12" t="inlineStr">
        <is>
          <t>GT inlet chilling</t>
        </is>
      </c>
      <c r="D5203" s="12" t="inlineStr">
        <is>
          <t>Motor 7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Duct bank</t>
        </is>
      </c>
      <c r="T5203" s="16" t="n">
        <v>478</v>
      </c>
      <c r="U5203" s="16" t="n">
        <v>38</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J-C-0022</t>
        </is>
      </c>
      <c r="B5204" s="12" t="inlineStr">
        <is>
          <t>J</t>
        </is>
      </c>
      <c r="C5204" s="12" t="inlineStr">
        <is>
          <t>GT inlet chilling</t>
        </is>
      </c>
      <c r="D5204" s="12" t="inlineStr">
        <is>
          <t>Motor 8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Duct bank</t>
        </is>
      </c>
      <c r="T5204" s="16" t="n">
        <v>478</v>
      </c>
      <c r="U5204" s="16" t="n">
        <v>38</v>
      </c>
      <c r="V5204" s="16">
        <f>ROUNDUP((T5204+U5204+2*'Read Me'!$B$13)*(1+'Read Me'!$B$12),-1)</f>
        <v/>
      </c>
      <c r="W5204" s="16">
        <f>V5204*N5204*O5204</f>
        <v/>
      </c>
      <c r="X5204" s="12">
        <f>IF(LEFT(I5204,2)="MV",2*N5204*IF(L5204="1/C",O5204,1),0)</f>
        <v/>
      </c>
      <c r="Y5204" s="12">
        <f>IF(OR(LEFT(K5204,4)="LVAX",LEFT(K5204,6)="MV15AX",LEFT(K5204,4)="CTAX",LEFT(K5204,2)="W|"),2*N5204*O5204,0)</f>
        <v/>
      </c>
      <c r="Z5204" s="12" t="inlineStr"/>
      <c r="AA5204" s="12">
        <f>N5204*O5204</f>
        <v/>
      </c>
    </row>
    <row r="5205">
      <c r="A5205" s="12" t="inlineStr">
        <is>
          <t>J-C-0023</t>
        </is>
      </c>
      <c r="B5205" s="12" t="inlineStr">
        <is>
          <t>J</t>
        </is>
      </c>
      <c r="C5205" s="12" t="inlineStr">
        <is>
          <t>GT inlet chilling</t>
        </is>
      </c>
      <c r="D5205" s="12" t="inlineStr">
        <is>
          <t>Motor 9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J-C-0024</t>
        </is>
      </c>
      <c r="B5206" s="12" t="inlineStr">
        <is>
          <t>J</t>
        </is>
      </c>
      <c r="C5206" s="12" t="inlineStr">
        <is>
          <t>GT inlet chilling</t>
        </is>
      </c>
      <c r="D5206" s="12" t="inlineStr">
        <is>
          <t>Motor 10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Duct bank</t>
        </is>
      </c>
      <c r="T5206" s="16" t="n">
        <v>478</v>
      </c>
      <c r="U5206" s="16" t="n">
        <v>38</v>
      </c>
      <c r="V5206" s="16">
        <f>ROUNDUP((T5206+U5206+2*'Read Me'!$B$13)*(1+'Read Me'!$B$12),-1)</f>
        <v/>
      </c>
      <c r="W5206" s="16">
        <f>V5206*N5206*O5206</f>
        <v/>
      </c>
      <c r="X5206" s="12">
        <f>IF(LEFT(I5206,2)="MV",2*N5206*IF(L5206="1/C",O5206,1),0)</f>
        <v/>
      </c>
      <c r="Y5206" s="12">
        <f>IF(OR(LEFT(K5206,4)="LVAX",LEFT(K5206,6)="MV15AX",LEFT(K5206,4)="CTAX",LEFT(K5206,2)="W|"),2*N5206*O5206,0)</f>
        <v/>
      </c>
      <c r="Z5206" s="12" t="inlineStr"/>
      <c r="AA5206" s="12">
        <f>N5206*O5206</f>
        <v/>
      </c>
    </row>
    <row r="5207">
      <c r="A5207" s="12" t="inlineStr">
        <is>
          <t>J-C-0025</t>
        </is>
      </c>
      <c r="B5207" s="12" t="inlineStr">
        <is>
          <t>J</t>
        </is>
      </c>
      <c r="C5207" s="12" t="inlineStr">
        <is>
          <t>GT inlet chilling</t>
        </is>
      </c>
      <c r="D5207" s="12" t="inlineStr">
        <is>
          <t>Motor 11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J-C-0026</t>
        </is>
      </c>
      <c r="B5208" s="12" t="inlineStr">
        <is>
          <t>J</t>
        </is>
      </c>
      <c r="C5208" s="12" t="inlineStr">
        <is>
          <t>GT inlet chilling</t>
        </is>
      </c>
      <c r="D5208" s="12" t="inlineStr">
        <is>
          <t>Motor 12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Duct bank</t>
        </is>
      </c>
      <c r="T5208" s="16" t="n">
        <v>478</v>
      </c>
      <c r="U5208" s="16" t="n">
        <v>38</v>
      </c>
      <c r="V5208" s="16">
        <f>ROUNDUP((T5208+U5208+2*'Read Me'!$B$13)*(1+'Read Me'!$B$12),-1)</f>
        <v/>
      </c>
      <c r="W5208" s="16">
        <f>V5208*N5208*O5208</f>
        <v/>
      </c>
      <c r="X5208" s="12">
        <f>IF(LEFT(I5208,2)="MV",2*N5208*IF(L5208="1/C",O5208,1),0)</f>
        <v/>
      </c>
      <c r="Y5208" s="12">
        <f>IF(OR(LEFT(K5208,4)="LVAX",LEFT(K5208,6)="MV15AX",LEFT(K5208,4)="CTAX",LEFT(K5208,2)="W|"),2*N5208*O5208,0)</f>
        <v/>
      </c>
      <c r="Z5208" s="12" t="inlineStr"/>
      <c r="AA5208" s="12">
        <f>N5208*O5208</f>
        <v/>
      </c>
    </row>
    <row r="5209">
      <c r="A5209" s="12" t="inlineStr">
        <is>
          <t>J-I-0001</t>
        </is>
      </c>
      <c r="B5209" s="12" t="inlineStr">
        <is>
          <t>J</t>
        </is>
      </c>
      <c r="C5209" s="12" t="inlineStr">
        <is>
          <t>GT inlet chilling</t>
        </is>
      </c>
      <c r="D5209" s="12" t="inlineStr">
        <is>
          <t>Analog instrument to JB JB-CHW pumps-AI01: 12 x 1 pr (field cables)</t>
        </is>
      </c>
      <c r="E5209" s="12" t="inlineStr"/>
      <c r="F5209" s="12" t="inlineStr">
        <is>
          <t>CHW pumps</t>
        </is>
      </c>
      <c r="G5209" s="12" t="inlineStr">
        <is>
          <t>JB-CHW pumps-AI01</t>
        </is>
      </c>
      <c r="H5209" s="12" t="inlineStr">
        <is>
          <t>CHW pumps</t>
        </is>
      </c>
      <c r="I5209" s="12" t="inlineStr">
        <is>
          <t>Instrumentation</t>
        </is>
      </c>
      <c r="J5209" s="12" t="inlineStr">
        <is>
          <t>Instrumentation PLTC / TC-ER 300 V, #18 twisted shielded pairs, overall shield</t>
        </is>
      </c>
      <c r="K5209" s="12" t="inlineStr">
        <is>
          <t>PLTC|1 pr|16</t>
        </is>
      </c>
      <c r="L5209" s="12" t="inlineStr">
        <is>
          <t>1 pr</t>
        </is>
      </c>
      <c r="M5209" s="12" t="inlineStr">
        <is>
          <t>16</t>
        </is>
      </c>
      <c r="N5209" s="12" t="n">
        <v>12</v>
      </c>
      <c r="O5209" s="12" t="n">
        <v>1</v>
      </c>
      <c r="P5209" s="12" t="n"/>
      <c r="Q5209" s="12" t="n"/>
      <c r="R5209" s="12" t="n"/>
      <c r="S5209" s="12" t="inlineStr">
        <is>
          <t>Tray / conduit</t>
        </is>
      </c>
      <c r="T5209" s="16" t="n">
        <v>92</v>
      </c>
      <c r="U5209" s="16" t="n">
        <v>10</v>
      </c>
      <c r="V5209" s="16">
        <f>ROUNDUP((T5209+U5209+2*'Read Me'!$B$13)*(1+'Read Me'!$B$12),-1)</f>
        <v/>
      </c>
      <c r="W5209" s="16">
        <f>V5209*N5209*O5209</f>
        <v/>
      </c>
      <c r="X5209" s="12">
        <f>IF(LEFT(I5209,2)="MV",2*N5209*IF(L5209="1/C",O5209,1),0)</f>
        <v/>
      </c>
      <c r="Y5209" s="12">
        <f>IF(OR(LEFT(K5209,4)="LVAX",LEFT(K5209,6)="MV15AX",LEFT(K5209,4)="CTAX",LEFT(K5209,2)="W|"),2*N5209*O5209,0)</f>
        <v/>
      </c>
      <c r="Z5209" s="12" t="inlineStr">
        <is>
          <t>device-to-JB field wiring, one cable per device</t>
        </is>
      </c>
      <c r="AA5209" s="12">
        <f>N5209*O5209</f>
        <v/>
      </c>
    </row>
    <row r="5210">
      <c r="A5210" s="12" t="inlineStr">
        <is>
          <t>J-I-0002</t>
        </is>
      </c>
      <c r="B5210" s="12" t="inlineStr">
        <is>
          <t>J</t>
        </is>
      </c>
      <c r="C5210" s="12" t="inlineStr">
        <is>
          <t>GT inlet chilling</t>
        </is>
      </c>
      <c r="D5210" s="12" t="inlineStr">
        <is>
          <t>Home run JB-CHW pumps-AI01 to the control / marshalling room</t>
        </is>
      </c>
      <c r="E5210" s="12" t="inlineStr"/>
      <c r="F5210" s="12" t="inlineStr">
        <is>
          <t>Inlet-chilling e-house / transformer</t>
        </is>
      </c>
      <c r="G5210" s="12" t="inlineStr">
        <is>
          <t>JB-CHW pumps-AI01</t>
        </is>
      </c>
      <c r="H5210" s="12" t="inlineStr">
        <is>
          <t>CHW pumps</t>
        </is>
      </c>
      <c r="I5210" s="12" t="inlineStr">
        <is>
          <t>Instrumentation</t>
        </is>
      </c>
      <c r="J5210" s="12" t="inlineStr">
        <is>
          <t>Instrumentation PLTC / TC-ER 300 V, #18 twisted shielded pairs, overall shield</t>
        </is>
      </c>
      <c r="K5210" s="12" t="inlineStr">
        <is>
          <t>PLTC|24 pr|18</t>
        </is>
      </c>
      <c r="L5210" s="12" t="inlineStr">
        <is>
          <t>24 pr</t>
        </is>
      </c>
      <c r="M5210" s="12" t="inlineStr">
        <is>
          <t>18</t>
        </is>
      </c>
      <c r="N5210" s="12" t="n">
        <v>1</v>
      </c>
      <c r="O5210" s="12" t="n">
        <v>1</v>
      </c>
      <c r="P5210" s="12" t="n"/>
      <c r="Q5210" s="12" t="n"/>
      <c r="R5210" s="12" t="n"/>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c r="AA5210" s="12">
        <f>N5210*O5210</f>
        <v/>
      </c>
    </row>
    <row r="5211">
      <c r="A5211" s="12" t="inlineStr">
        <is>
          <t>J-I-0003</t>
        </is>
      </c>
      <c r="B5211" s="12" t="inlineStr">
        <is>
          <t>J</t>
        </is>
      </c>
      <c r="C5211" s="12" t="inlineStr">
        <is>
          <t>GT inlet chilling</t>
        </is>
      </c>
      <c r="D5211" s="12" t="inlineStr">
        <is>
          <t>Discrete device to JB JB-CHW pumps-DI01: 12 x 1 pr (field cables)</t>
        </is>
      </c>
      <c r="E5211" s="12" t="inlineStr"/>
      <c r="F5211" s="12" t="inlineStr">
        <is>
          <t>CHW pumps</t>
        </is>
      </c>
      <c r="G5211" s="12" t="inlineStr">
        <is>
          <t>JB-CHW pumps-DI01</t>
        </is>
      </c>
      <c r="H5211" s="12" t="inlineStr">
        <is>
          <t>CHW pumps</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12</v>
      </c>
      <c r="O5211" s="12" t="n">
        <v>1</v>
      </c>
      <c r="P5211" s="12" t="n"/>
      <c r="Q5211" s="12" t="n"/>
      <c r="R5211" s="12" t="n"/>
      <c r="S5211" s="12" t="inlineStr">
        <is>
          <t>Tray / conduit</t>
        </is>
      </c>
      <c r="T5211" s="16" t="n">
        <v>92</v>
      </c>
      <c r="U5211" s="16" t="n">
        <v>10</v>
      </c>
      <c r="V5211" s="16">
        <f>ROUNDUP((T5211+U5211+2*'Read Me'!$B$13)*(1+'Read Me'!$B$12),-1)</f>
        <v/>
      </c>
      <c r="W5211" s="16">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J-I-0004</t>
        </is>
      </c>
      <c r="B5212" s="12" t="inlineStr">
        <is>
          <t>J</t>
        </is>
      </c>
      <c r="C5212" s="12" t="inlineStr">
        <is>
          <t>GT inlet chilling</t>
        </is>
      </c>
      <c r="D5212" s="12" t="inlineStr">
        <is>
          <t>Home run JB-CHW pumps-DI01 to the control / marshalling room</t>
        </is>
      </c>
      <c r="E5212" s="12" t="inlineStr"/>
      <c r="F5212" s="12" t="inlineStr">
        <is>
          <t>Inlet-chilling e-house / transformer</t>
        </is>
      </c>
      <c r="G5212" s="12" t="inlineStr">
        <is>
          <t>JB-CHW pumps-DI01</t>
        </is>
      </c>
      <c r="H5212" s="12" t="inlineStr">
        <is>
          <t>CHW pumps</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c r="AA5212" s="12">
        <f>N5212*O5212</f>
        <v/>
      </c>
    </row>
    <row r="5213">
      <c r="A5213" s="12" t="inlineStr">
        <is>
          <t>J-I-0005</t>
        </is>
      </c>
      <c r="B5213" s="12" t="inlineStr">
        <is>
          <t>J</t>
        </is>
      </c>
      <c r="C5213" s="12" t="inlineStr">
        <is>
          <t>GT inlet chilling</t>
        </is>
      </c>
      <c r="D5213" s="12" t="inlineStr">
        <is>
          <t>Analog instrument to JB JB-CONDITIONAL: TES c-AI01: 4 x 1 pr (field cables)</t>
        </is>
      </c>
      <c r="E5213" s="12" t="inlineStr"/>
      <c r="F5213" s="12" t="inlineStr">
        <is>
          <t>CONDITIONAL: TES chilled-water tank</t>
        </is>
      </c>
      <c r="G5213" s="12" t="inlineStr">
        <is>
          <t>JB-CONDITIONAL: TES c-AI01</t>
        </is>
      </c>
      <c r="H5213" s="12" t="inlineStr">
        <is>
          <t>CONDITIONAL: TES chilled-water tank</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4</v>
      </c>
      <c r="O5213" s="12" t="n">
        <v>1</v>
      </c>
      <c r="P5213" s="12" t="n"/>
      <c r="Q5213" s="12" t="n"/>
      <c r="R5213" s="12" t="n"/>
      <c r="S5213" s="12" t="inlineStr">
        <is>
          <t>Tray / conduit</t>
        </is>
      </c>
      <c r="T5213" s="16" t="n">
        <v>91</v>
      </c>
      <c r="U5213" s="16" t="n">
        <v>10</v>
      </c>
      <c r="V5213" s="16">
        <f>ROUNDUP((T5213+U5213+2*'Read Me'!$B$13)*(1+'Read Me'!$B$12),-1)</f>
        <v/>
      </c>
      <c r="W5213" s="16">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J-I-0006</t>
        </is>
      </c>
      <c r="B5214" s="12" t="inlineStr">
        <is>
          <t>J</t>
        </is>
      </c>
      <c r="C5214" s="12" t="inlineStr">
        <is>
          <t>GT inlet chilling</t>
        </is>
      </c>
      <c r="D5214" s="12" t="inlineStr">
        <is>
          <t>Home run JB-CONDITIONAL: TES c-AI01 to the control / marshalling room</t>
        </is>
      </c>
      <c r="E5214" s="12" t="inlineStr"/>
      <c r="F5214" s="12" t="inlineStr">
        <is>
          <t>Inlet-chilling e-house / transformer</t>
        </is>
      </c>
      <c r="G5214" s="12" t="inlineStr">
        <is>
          <t>JB-CONDITIONAL: TES c-AI01</t>
        </is>
      </c>
      <c r="H5214" s="12" t="inlineStr">
        <is>
          <t>CONDITIONAL: TES chilled-water tank</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c r="AA5214" s="12">
        <f>N5214*O5214</f>
        <v/>
      </c>
    </row>
    <row r="5215">
      <c r="A5215" s="12" t="inlineStr">
        <is>
          <t>J-I-0007</t>
        </is>
      </c>
      <c r="B5215" s="12" t="inlineStr">
        <is>
          <t>J</t>
        </is>
      </c>
      <c r="C5215" s="12" t="inlineStr">
        <is>
          <t>GT inlet chilling</t>
        </is>
      </c>
      <c r="D5215" s="12" t="inlineStr">
        <is>
          <t>Discrete device to JB JB-CONDITIONAL: TES c-DI01: 4 x 1 pr (field cables)</t>
        </is>
      </c>
      <c r="E5215" s="12" t="inlineStr"/>
      <c r="F5215" s="12" t="inlineStr">
        <is>
          <t>CONDITIONAL: TES chilled-water tank</t>
        </is>
      </c>
      <c r="G5215" s="12" t="inlineStr">
        <is>
          <t>JB-CONDITIONAL: TES c-DI01</t>
        </is>
      </c>
      <c r="H5215" s="12" t="inlineStr">
        <is>
          <t>CONDITIONAL: TES chilled-water tank</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4</v>
      </c>
      <c r="O5215" s="12" t="n">
        <v>1</v>
      </c>
      <c r="P5215" s="12" t="n"/>
      <c r="Q5215" s="12" t="n"/>
      <c r="R5215" s="12" t="n"/>
      <c r="S5215" s="12" t="inlineStr">
        <is>
          <t>Tray / conduit</t>
        </is>
      </c>
      <c r="T5215" s="16" t="n">
        <v>91</v>
      </c>
      <c r="U5215" s="16" t="n">
        <v>10</v>
      </c>
      <c r="V5215" s="16">
        <f>ROUNDUP((T5215+U5215+2*'Read Me'!$B$13)*(1+'Read Me'!$B$12),-1)</f>
        <v/>
      </c>
      <c r="W5215" s="16">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J-I-0008</t>
        </is>
      </c>
      <c r="B5216" s="12" t="inlineStr">
        <is>
          <t>J</t>
        </is>
      </c>
      <c r="C5216" s="12" t="inlineStr">
        <is>
          <t>GT inlet chilling</t>
        </is>
      </c>
      <c r="D5216" s="12" t="inlineStr">
        <is>
          <t>Home run JB-CONDITIONAL: TES c-DI01 to the control / marshalling room</t>
        </is>
      </c>
      <c r="E5216" s="12" t="inlineStr"/>
      <c r="F5216" s="12" t="inlineStr">
        <is>
          <t>Inlet-chilling e-house / transformer</t>
        </is>
      </c>
      <c r="G5216" s="12" t="inlineStr">
        <is>
          <t>JB-CONDITIONAL: TES c-DI01</t>
        </is>
      </c>
      <c r="H5216" s="12" t="inlineStr">
        <is>
          <t>CONDITIONAL: TES chilled-water tank</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Duct bank</t>
        </is>
      </c>
      <c r="T5216" s="16" t="n">
        <v>271</v>
      </c>
      <c r="U5216" s="16" t="n">
        <v>217</v>
      </c>
      <c r="V5216" s="16">
        <f>ROUNDUP((T5216+U5216+2*'Read Me'!$B$13)*(1+'Read Me'!$B$12),-1)</f>
        <v/>
      </c>
      <c r="W5216" s="16">
        <f>V5216*N5216*O5216</f>
        <v/>
      </c>
      <c r="X5216" s="12">
        <f>IF(LEFT(I5216,2)="MV",2*N5216*IF(L5216="1/C",O5216,1),0)</f>
        <v/>
      </c>
      <c r="Y5216" s="12">
        <f>IF(OR(LEFT(K5216,4)="LVAX",LEFT(K5216,6)="MV15AX",LEFT(K5216,4)="CTAX",LEFT(K5216,2)="W|"),2*N5216*O5216,0)</f>
        <v/>
      </c>
      <c r="Z5216" s="12" t="inlineStr"/>
      <c r="AA5216" s="12">
        <f>N5216*O5216</f>
        <v/>
      </c>
    </row>
    <row r="5217">
      <c r="A5217" s="12" t="inlineStr">
        <is>
          <t>J-I-0009</t>
        </is>
      </c>
      <c r="B5217" s="12" t="inlineStr">
        <is>
          <t>J</t>
        </is>
      </c>
      <c r="C5217" s="12" t="inlineStr">
        <is>
          <t>GT inlet chilling</t>
        </is>
      </c>
      <c r="D5217" s="12" t="inlineStr">
        <is>
          <t>Analog instrument to JB JB-CW pumps (inlet ch-AI01: 20 x 1 pr (field cables)</t>
        </is>
      </c>
      <c r="E5217" s="12" t="inlineStr"/>
      <c r="F5217" s="12" t="inlineStr">
        <is>
          <t>CW pumps (inlet chilling)</t>
        </is>
      </c>
      <c r="G5217" s="12" t="inlineStr">
        <is>
          <t>JB-CW pumps (inlet ch-AI01</t>
        </is>
      </c>
      <c r="H5217" s="12" t="inlineStr">
        <is>
          <t>CW pumps (inlet chilling)</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20</v>
      </c>
      <c r="O5217" s="12" t="n">
        <v>1</v>
      </c>
      <c r="P5217" s="12" t="n"/>
      <c r="Q5217" s="12" t="n"/>
      <c r="R5217" s="12" t="n"/>
      <c r="S5217" s="12" t="inlineStr">
        <is>
          <t>Tray / conduit</t>
        </is>
      </c>
      <c r="T5217" s="16" t="n">
        <v>92</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J-I-0010</t>
        </is>
      </c>
      <c r="B5218" s="12" t="inlineStr">
        <is>
          <t>J</t>
        </is>
      </c>
      <c r="C5218" s="12" t="inlineStr">
        <is>
          <t>GT inlet chilling</t>
        </is>
      </c>
      <c r="D5218" s="12" t="inlineStr">
        <is>
          <t>Home run JB-CW pumps (inlet ch-AI01 to the control / marshalling room</t>
        </is>
      </c>
      <c r="E5218" s="12" t="inlineStr"/>
      <c r="F5218" s="12" t="inlineStr">
        <is>
          <t>Inlet-chilling e-house / transformer</t>
        </is>
      </c>
      <c r="G5218" s="12" t="inlineStr">
        <is>
          <t>JB-CW pumps (inlet ch-AI01</t>
        </is>
      </c>
      <c r="H5218" s="12" t="inlineStr">
        <is>
          <t>CW pumps (inlet chilling)</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6" t="n">
        <v>0</v>
      </c>
      <c r="U5218" s="16" t="n">
        <v>70</v>
      </c>
      <c r="V5218" s="16">
        <f>ROUNDUP((T5218+U5218+2*'Read Me'!$B$13)*(1+'Read Me'!$B$12),-1)</f>
        <v/>
      </c>
      <c r="W5218" s="16">
        <f>V5218*N5218*O5218</f>
        <v/>
      </c>
      <c r="X5218" s="12">
        <f>IF(LEFT(I5218,2)="MV",2*N5218*IF(L5218="1/C",O5218,1),0)</f>
        <v/>
      </c>
      <c r="Y5218" s="12">
        <f>IF(OR(LEFT(K5218,4)="LVAX",LEFT(K5218,6)="MV15AX",LEFT(K5218,4)="CTAX",LEFT(K5218,2)="W|"),2*N5218*O5218,0)</f>
        <v/>
      </c>
      <c r="Z5218" s="12" t="inlineStr"/>
      <c r="AA5218" s="12">
        <f>N5218*O5218</f>
        <v/>
      </c>
    </row>
    <row r="5219">
      <c r="A5219" s="12" t="inlineStr">
        <is>
          <t>J-I-0011</t>
        </is>
      </c>
      <c r="B5219" s="12" t="inlineStr">
        <is>
          <t>J</t>
        </is>
      </c>
      <c r="C5219" s="12" t="inlineStr">
        <is>
          <t>GT inlet chilling</t>
        </is>
      </c>
      <c r="D5219" s="12" t="inlineStr">
        <is>
          <t>Analog instrument to JB JB-CW pumps (inlet ch-AI02: 4 x 1 pr (field cables)</t>
        </is>
      </c>
      <c r="E5219" s="12" t="inlineStr"/>
      <c r="F5219" s="12" t="inlineStr">
        <is>
          <t>CW pumps (inlet chilling)</t>
        </is>
      </c>
      <c r="G5219" s="12" t="inlineStr">
        <is>
          <t>JB-CW pumps (inlet ch-AI02</t>
        </is>
      </c>
      <c r="H5219" s="12" t="inlineStr">
        <is>
          <t>CW pumps (inlet chilling)</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4</v>
      </c>
      <c r="O5219" s="12" t="n">
        <v>1</v>
      </c>
      <c r="P5219" s="12" t="n"/>
      <c r="Q5219" s="12" t="n"/>
      <c r="R5219" s="12" t="n"/>
      <c r="S5219" s="12" t="inlineStr">
        <is>
          <t>Tray / conduit</t>
        </is>
      </c>
      <c r="T5219" s="16" t="n">
        <v>92</v>
      </c>
      <c r="U5219" s="16" t="n">
        <v>10</v>
      </c>
      <c r="V5219" s="16">
        <f>ROUNDUP((T5219+U5219+2*'Read Me'!$B$13)*(1+'Read Me'!$B$12),-1)</f>
        <v/>
      </c>
      <c r="W5219" s="16">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J-I-0012</t>
        </is>
      </c>
      <c r="B5220" s="12" t="inlineStr">
        <is>
          <t>J</t>
        </is>
      </c>
      <c r="C5220" s="12" t="inlineStr">
        <is>
          <t>GT inlet chilling</t>
        </is>
      </c>
      <c r="D5220" s="12" t="inlineStr">
        <is>
          <t>Home run JB-CW pumps (inlet ch-AI02 to the control / marshalling room</t>
        </is>
      </c>
      <c r="E5220" s="12" t="inlineStr"/>
      <c r="F5220" s="12" t="inlineStr">
        <is>
          <t>Inlet-chilling e-house / transformer</t>
        </is>
      </c>
      <c r="G5220" s="12" t="inlineStr">
        <is>
          <t>JB-CW pumps (inlet ch-AI02</t>
        </is>
      </c>
      <c r="H5220" s="12" t="inlineStr">
        <is>
          <t>CW pumps (inlet chilling)</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6" t="n">
        <v>0</v>
      </c>
      <c r="U5220" s="16" t="n">
        <v>70</v>
      </c>
      <c r="V5220" s="16">
        <f>ROUNDUP((T5220+U5220+2*'Read Me'!$B$13)*(1+'Read Me'!$B$12),-1)</f>
        <v/>
      </c>
      <c r="W5220" s="16">
        <f>V5220*N5220*O5220</f>
        <v/>
      </c>
      <c r="X5220" s="12">
        <f>IF(LEFT(I5220,2)="MV",2*N5220*IF(L5220="1/C",O5220,1),0)</f>
        <v/>
      </c>
      <c r="Y5220" s="12">
        <f>IF(OR(LEFT(K5220,4)="LVAX",LEFT(K5220,6)="MV15AX",LEFT(K5220,4)="CTAX",LEFT(K5220,2)="W|"),2*N5220*O5220,0)</f>
        <v/>
      </c>
      <c r="Z5220" s="12" t="inlineStr"/>
      <c r="AA5220" s="12">
        <f>N5220*O5220</f>
        <v/>
      </c>
    </row>
    <row r="5221">
      <c r="A5221" s="12" t="inlineStr">
        <is>
          <t>J-I-0013</t>
        </is>
      </c>
      <c r="B5221" s="12" t="inlineStr">
        <is>
          <t>J</t>
        </is>
      </c>
      <c r="C5221" s="12" t="inlineStr">
        <is>
          <t>GT inlet chilling</t>
        </is>
      </c>
      <c r="D5221" s="12" t="inlineStr">
        <is>
          <t>Discrete device to JB JB-CW pumps (inlet ch-DI01: 20 x 1 pr (field cables)</t>
        </is>
      </c>
      <c r="E5221" s="12" t="inlineStr"/>
      <c r="F5221" s="12" t="inlineStr">
        <is>
          <t>CW pumps (inlet chilling)</t>
        </is>
      </c>
      <c r="G5221" s="12" t="inlineStr">
        <is>
          <t>JB-CW pumps (inlet ch-DI01</t>
        </is>
      </c>
      <c r="H5221" s="12" t="inlineStr">
        <is>
          <t>CW pumps (inlet chilling)</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20</v>
      </c>
      <c r="O5221" s="12" t="n">
        <v>1</v>
      </c>
      <c r="P5221" s="12" t="n"/>
      <c r="Q5221" s="12" t="n"/>
      <c r="R5221" s="12" t="n"/>
      <c r="S5221" s="12" t="inlineStr">
        <is>
          <t>Tray / conduit</t>
        </is>
      </c>
      <c r="T5221" s="16" t="n">
        <v>92</v>
      </c>
      <c r="U5221" s="16" t="n">
        <v>10</v>
      </c>
      <c r="V5221" s="16">
        <f>ROUNDUP((T5221+U5221+2*'Read Me'!$B$13)*(1+'Read Me'!$B$12),-1)</f>
        <v/>
      </c>
      <c r="W5221" s="16">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J-I-0014</t>
        </is>
      </c>
      <c r="B5222" s="12" t="inlineStr">
        <is>
          <t>J</t>
        </is>
      </c>
      <c r="C5222" s="12" t="inlineStr">
        <is>
          <t>GT inlet chilling</t>
        </is>
      </c>
      <c r="D5222" s="12" t="inlineStr">
        <is>
          <t>Home run JB-CW pumps (inlet ch-DI01 to the control / marshalling room</t>
        </is>
      </c>
      <c r="E5222" s="12" t="inlineStr"/>
      <c r="F5222" s="12" t="inlineStr">
        <is>
          <t>Inlet-chilling e-house / transformer</t>
        </is>
      </c>
      <c r="G5222" s="12" t="inlineStr">
        <is>
          <t>JB-CW pumps (inlet ch-DI01</t>
        </is>
      </c>
      <c r="H5222" s="12" t="inlineStr">
        <is>
          <t>CW pumps (inlet chilling)</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6" t="n">
        <v>0</v>
      </c>
      <c r="U5222" s="16" t="n">
        <v>70</v>
      </c>
      <c r="V5222" s="16">
        <f>ROUNDUP((T5222+U5222+2*'Read Me'!$B$13)*(1+'Read Me'!$B$12),-1)</f>
        <v/>
      </c>
      <c r="W5222" s="16">
        <f>V5222*N5222*O5222</f>
        <v/>
      </c>
      <c r="X5222" s="12">
        <f>IF(LEFT(I5222,2)="MV",2*N5222*IF(L5222="1/C",O5222,1),0)</f>
        <v/>
      </c>
      <c r="Y5222" s="12">
        <f>IF(OR(LEFT(K5222,4)="LVAX",LEFT(K5222,6)="MV15AX",LEFT(K5222,4)="CTAX",LEFT(K5222,2)="W|"),2*N5222*O5222,0)</f>
        <v/>
      </c>
      <c r="Z5222" s="12" t="inlineStr"/>
      <c r="AA5222" s="12">
        <f>N5222*O5222</f>
        <v/>
      </c>
    </row>
    <row r="5223">
      <c r="A5223" s="12" t="inlineStr">
        <is>
          <t>J-I-0015</t>
        </is>
      </c>
      <c r="B5223" s="12" t="inlineStr">
        <is>
          <t>J</t>
        </is>
      </c>
      <c r="C5223" s="12" t="inlineStr">
        <is>
          <t>GT inlet chilling</t>
        </is>
      </c>
      <c r="D5223" s="12" t="inlineStr">
        <is>
          <t>Discrete device to JB JB-CW pumps (inlet ch-DI02: 4 x 1 pr (field cables)</t>
        </is>
      </c>
      <c r="E5223" s="12" t="inlineStr"/>
      <c r="F5223" s="12" t="inlineStr">
        <is>
          <t>CW pumps (inlet chilling)</t>
        </is>
      </c>
      <c r="G5223" s="12" t="inlineStr">
        <is>
          <t>JB-CW pumps (inlet ch-DI02</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4</v>
      </c>
      <c r="O5223" s="12" t="n">
        <v>1</v>
      </c>
      <c r="P5223" s="12" t="n"/>
      <c r="Q5223" s="12" t="n"/>
      <c r="R5223" s="12" t="n"/>
      <c r="S5223" s="12" t="inlineStr">
        <is>
          <t>Tray / conduit</t>
        </is>
      </c>
      <c r="T5223" s="16" t="n">
        <v>92</v>
      </c>
      <c r="U5223" s="16" t="n">
        <v>10</v>
      </c>
      <c r="V5223" s="16">
        <f>ROUNDUP((T5223+U5223+2*'Read Me'!$B$13)*(1+'Read Me'!$B$12),-1)</f>
        <v/>
      </c>
      <c r="W5223" s="16">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J-I-0016</t>
        </is>
      </c>
      <c r="B5224" s="12" t="inlineStr">
        <is>
          <t>J</t>
        </is>
      </c>
      <c r="C5224" s="12" t="inlineStr">
        <is>
          <t>GT inlet chilling</t>
        </is>
      </c>
      <c r="D5224" s="12" t="inlineStr">
        <is>
          <t>Home run JB-CW pumps (inlet ch-DI02 to the control / marshalling room</t>
        </is>
      </c>
      <c r="E5224" s="12" t="inlineStr"/>
      <c r="F5224" s="12" t="inlineStr">
        <is>
          <t>Inlet-chilling e-house / transformer</t>
        </is>
      </c>
      <c r="G5224" s="12" t="inlineStr">
        <is>
          <t>JB-CW pumps (inlet ch-DI02</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6" t="n">
        <v>0</v>
      </c>
      <c r="U5224" s="16" t="n">
        <v>70</v>
      </c>
      <c r="V5224" s="16">
        <f>ROUNDUP((T5224+U5224+2*'Read Me'!$B$13)*(1+'Read Me'!$B$12),-1)</f>
        <v/>
      </c>
      <c r="W5224" s="16">
        <f>V5224*N5224*O5224</f>
        <v/>
      </c>
      <c r="X5224" s="12">
        <f>IF(LEFT(I5224,2)="MV",2*N5224*IF(L5224="1/C",O5224,1),0)</f>
        <v/>
      </c>
      <c r="Y5224" s="12">
        <f>IF(OR(LEFT(K5224,4)="LVAX",LEFT(K5224,6)="MV15AX",LEFT(K5224,4)="CTAX",LEFT(K5224,2)="W|"),2*N5224*O5224,0)</f>
        <v/>
      </c>
      <c r="Z5224" s="12" t="inlineStr"/>
      <c r="AA5224" s="12">
        <f>N5224*O5224</f>
        <v/>
      </c>
    </row>
    <row r="5225">
      <c r="A5225" s="12" t="inlineStr">
        <is>
          <t>J-I-0017</t>
        </is>
      </c>
      <c r="B5225" s="12" t="inlineStr">
        <is>
          <t>J</t>
        </is>
      </c>
      <c r="C5225" s="12" t="inlineStr">
        <is>
          <t>GT inlet chilling</t>
        </is>
      </c>
      <c r="D5225" s="12" t="inlineStr">
        <is>
          <t>Analog instrument to JB JB-Chillers x6 (water-AI01: 20 x 1 pr (field cables)</t>
        </is>
      </c>
      <c r="E5225" s="12" t="inlineStr"/>
      <c r="F5225" s="12" t="inlineStr">
        <is>
          <t>Chillers x6 (water-cooled)</t>
        </is>
      </c>
      <c r="G5225" s="12" t="inlineStr">
        <is>
          <t>JB-Chillers x6 (water-AI01</t>
        </is>
      </c>
      <c r="H5225" s="12" t="inlineStr">
        <is>
          <t>Chillers x6 (water-cooled)</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20</v>
      </c>
      <c r="O5225" s="12" t="n">
        <v>1</v>
      </c>
      <c r="P5225" s="12" t="n"/>
      <c r="Q5225" s="12" t="n"/>
      <c r="R5225" s="12" t="n"/>
      <c r="S5225" s="12" t="inlineStr">
        <is>
          <t>Tray / conduit</t>
        </is>
      </c>
      <c r="T5225" s="16" t="n">
        <v>190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J-I-0018</t>
        </is>
      </c>
      <c r="B5226" s="12" t="inlineStr">
        <is>
          <t>J</t>
        </is>
      </c>
      <c r="C5226" s="12" t="inlineStr">
        <is>
          <t>GT inlet chilling</t>
        </is>
      </c>
      <c r="D5226" s="12" t="inlineStr">
        <is>
          <t>Home run JB-Chillers x6 (water-AI01 to the control / marshalling room</t>
        </is>
      </c>
      <c r="E5226" s="12" t="inlineStr"/>
      <c r="F5226" s="12" t="inlineStr">
        <is>
          <t>Inlet-chilling e-house / transformer</t>
        </is>
      </c>
      <c r="G5226" s="12" t="inlineStr">
        <is>
          <t>JB-Chillers x6 (water-AI01</t>
        </is>
      </c>
      <c r="H5226" s="12" t="inlineStr">
        <is>
          <t>Chillers x6 (water-cooled)</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Duct bank</t>
        </is>
      </c>
      <c r="T5226" s="16" t="n">
        <v>10</v>
      </c>
      <c r="U5226" s="16" t="n">
        <v>32</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J-I-0019</t>
        </is>
      </c>
      <c r="B5227" s="12" t="inlineStr">
        <is>
          <t>J</t>
        </is>
      </c>
      <c r="C5227" s="12" t="inlineStr">
        <is>
          <t>GT inlet chilling</t>
        </is>
      </c>
      <c r="D5227" s="12" t="inlineStr">
        <is>
          <t>Analog instrument to JB JB-Chillers x6 (water-AI02: 20 x 1 pr (field cables)</t>
        </is>
      </c>
      <c r="E5227" s="12" t="inlineStr"/>
      <c r="F5227" s="12" t="inlineStr">
        <is>
          <t>Chillers x6 (water-cooled)</t>
        </is>
      </c>
      <c r="G5227" s="12" t="inlineStr">
        <is>
          <t>JB-Chillers x6 (water-AI02</t>
        </is>
      </c>
      <c r="H5227" s="12" t="inlineStr">
        <is>
          <t>Chillers x6 (water-cooled)</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6" t="n">
        <v>190</v>
      </c>
      <c r="U5227" s="16" t="n">
        <v>10</v>
      </c>
      <c r="V5227" s="16">
        <f>ROUNDUP((T5227+U5227+2*'Read Me'!$B$13)*(1+'Read Me'!$B$12),-1)</f>
        <v/>
      </c>
      <c r="W5227" s="16">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J-I-0020</t>
        </is>
      </c>
      <c r="B5228" s="12" t="inlineStr">
        <is>
          <t>J</t>
        </is>
      </c>
      <c r="C5228" s="12" t="inlineStr">
        <is>
          <t>GT inlet chilling</t>
        </is>
      </c>
      <c r="D5228" s="12" t="inlineStr">
        <is>
          <t>Home run JB-Chillers x6 (water-AI02 to the control / marshalling room</t>
        </is>
      </c>
      <c r="E5228" s="12" t="inlineStr"/>
      <c r="F5228" s="12" t="inlineStr">
        <is>
          <t>Inlet-chilling e-house / transformer</t>
        </is>
      </c>
      <c r="G5228" s="12" t="inlineStr">
        <is>
          <t>JB-Chillers x6 (water-AI02</t>
        </is>
      </c>
      <c r="H5228" s="12" t="inlineStr">
        <is>
          <t>Chillers x6 (water-cooled)</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Duct bank</t>
        </is>
      </c>
      <c r="T5228" s="16" t="n">
        <v>10</v>
      </c>
      <c r="U5228" s="16" t="n">
        <v>32</v>
      </c>
      <c r="V5228" s="16">
        <f>ROUNDUP((T5228+U5228+2*'Read Me'!$B$13)*(1+'Read Me'!$B$12),-1)</f>
        <v/>
      </c>
      <c r="W5228" s="16">
        <f>V5228*N5228*O5228</f>
        <v/>
      </c>
      <c r="X5228" s="12">
        <f>IF(LEFT(I5228,2)="MV",2*N5228*IF(L5228="1/C",O5228,1),0)</f>
        <v/>
      </c>
      <c r="Y5228" s="12">
        <f>IF(OR(LEFT(K5228,4)="LVAX",LEFT(K5228,6)="MV15AX",LEFT(K5228,4)="CTAX",LEFT(K5228,2)="W|"),2*N5228*O5228,0)</f>
        <v/>
      </c>
      <c r="Z5228" s="12" t="inlineStr"/>
      <c r="AA5228" s="12">
        <f>N5228*O5228</f>
        <v/>
      </c>
    </row>
    <row r="5229">
      <c r="A5229" s="12" t="inlineStr">
        <is>
          <t>J-I-0021</t>
        </is>
      </c>
      <c r="B5229" s="12" t="inlineStr">
        <is>
          <t>J</t>
        </is>
      </c>
      <c r="C5229" s="12" t="inlineStr">
        <is>
          <t>GT inlet chilling</t>
        </is>
      </c>
      <c r="D5229" s="12" t="inlineStr">
        <is>
          <t>Analog instrument to JB JB-Chillers x6 (water-AI03: 20 x 1 pr (field cables)</t>
        </is>
      </c>
      <c r="E5229" s="12" t="inlineStr"/>
      <c r="F5229" s="12" t="inlineStr">
        <is>
          <t>Chillers x6 (water-cooled)</t>
        </is>
      </c>
      <c r="G5229" s="12" t="inlineStr">
        <is>
          <t>JB-Chillers x6 (water-AI03</t>
        </is>
      </c>
      <c r="H5229" s="12" t="inlineStr">
        <is>
          <t>Chillers x6 (water-cooled)</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6" t="n">
        <v>190</v>
      </c>
      <c r="U5229" s="16" t="n">
        <v>10</v>
      </c>
      <c r="V5229" s="16">
        <f>ROUNDUP((T5229+U5229+2*'Read Me'!$B$13)*(1+'Read Me'!$B$12),-1)</f>
        <v/>
      </c>
      <c r="W5229" s="16">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J-I-0022</t>
        </is>
      </c>
      <c r="B5230" s="12" t="inlineStr">
        <is>
          <t>J</t>
        </is>
      </c>
      <c r="C5230" s="12" t="inlineStr">
        <is>
          <t>GT inlet chilling</t>
        </is>
      </c>
      <c r="D5230" s="12" t="inlineStr">
        <is>
          <t>Home run JB-Chillers x6 (water-AI03 to the control / marshalling room</t>
        </is>
      </c>
      <c r="E5230" s="12" t="inlineStr"/>
      <c r="F5230" s="12" t="inlineStr">
        <is>
          <t>Inlet-chilling e-house / transformer</t>
        </is>
      </c>
      <c r="G5230" s="12" t="inlineStr">
        <is>
          <t>JB-Chillers x6 (water-AI03</t>
        </is>
      </c>
      <c r="H5230" s="12" t="inlineStr">
        <is>
          <t>Chillers x6 (water-cooled)</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Duct bank</t>
        </is>
      </c>
      <c r="T5230" s="16" t="n">
        <v>10</v>
      </c>
      <c r="U5230" s="16" t="n">
        <v>32</v>
      </c>
      <c r="V5230" s="16">
        <f>ROUNDUP((T5230+U5230+2*'Read Me'!$B$13)*(1+'Read Me'!$B$12),-1)</f>
        <v/>
      </c>
      <c r="W5230" s="16">
        <f>V5230*N5230*O5230</f>
        <v/>
      </c>
      <c r="X5230" s="12">
        <f>IF(LEFT(I5230,2)="MV",2*N5230*IF(L5230="1/C",O5230,1),0)</f>
        <v/>
      </c>
      <c r="Y5230" s="12">
        <f>IF(OR(LEFT(K5230,4)="LVAX",LEFT(K5230,6)="MV15AX",LEFT(K5230,4)="CTAX",LEFT(K5230,2)="W|"),2*N5230*O5230,0)</f>
        <v/>
      </c>
      <c r="Z5230" s="12" t="inlineStr"/>
      <c r="AA5230" s="12">
        <f>N5230*O5230</f>
        <v/>
      </c>
    </row>
    <row r="5231">
      <c r="A5231" s="12" t="inlineStr">
        <is>
          <t>J-I-0023</t>
        </is>
      </c>
      <c r="B5231" s="12" t="inlineStr">
        <is>
          <t>J</t>
        </is>
      </c>
      <c r="C5231" s="12" t="inlineStr">
        <is>
          <t>GT inlet chilling</t>
        </is>
      </c>
      <c r="D5231" s="12" t="inlineStr">
        <is>
          <t>Analog instrument to JB JB-Chillers x6 (water-AI04: 20 x 1 pr (field cables)</t>
        </is>
      </c>
      <c r="E5231" s="12" t="inlineStr"/>
      <c r="F5231" s="12" t="inlineStr">
        <is>
          <t>Chillers x6 (water-cooled)</t>
        </is>
      </c>
      <c r="G5231" s="12" t="inlineStr">
        <is>
          <t>JB-Chillers x6 (water-AI04</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6" t="n">
        <v>190</v>
      </c>
      <c r="U5231" s="16" t="n">
        <v>10</v>
      </c>
      <c r="V5231" s="16">
        <f>ROUNDUP((T5231+U5231+2*'Read Me'!$B$13)*(1+'Read Me'!$B$12),-1)</f>
        <v/>
      </c>
      <c r="W5231" s="16">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J-I-0024</t>
        </is>
      </c>
      <c r="B5232" s="12" t="inlineStr">
        <is>
          <t>J</t>
        </is>
      </c>
      <c r="C5232" s="12" t="inlineStr">
        <is>
          <t>GT inlet chilling</t>
        </is>
      </c>
      <c r="D5232" s="12" t="inlineStr">
        <is>
          <t>Home run JB-Chillers x6 (water-AI04 to the control / marshalling room</t>
        </is>
      </c>
      <c r="E5232" s="12" t="inlineStr"/>
      <c r="F5232" s="12" t="inlineStr">
        <is>
          <t>Inlet-chilling e-house / transformer</t>
        </is>
      </c>
      <c r="G5232" s="12" t="inlineStr">
        <is>
          <t>JB-Chillers x6 (water-AI04</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6" t="n">
        <v>10</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J-I-0025</t>
        </is>
      </c>
      <c r="B5233" s="12" t="inlineStr">
        <is>
          <t>J</t>
        </is>
      </c>
      <c r="C5233" s="12" t="inlineStr">
        <is>
          <t>GT inlet chilling</t>
        </is>
      </c>
      <c r="D5233" s="12" t="inlineStr">
        <is>
          <t>Analog instrument to JB JB-Chillers x6 (water-AI05: 20 x 1 pr (field cables)</t>
        </is>
      </c>
      <c r="E5233" s="12" t="inlineStr"/>
      <c r="F5233" s="12" t="inlineStr">
        <is>
          <t>Chillers x6 (water-cooled)</t>
        </is>
      </c>
      <c r="G5233" s="12" t="inlineStr">
        <is>
          <t>JB-Chillers x6 (water-AI05</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6" t="n">
        <v>190</v>
      </c>
      <c r="U5233" s="16" t="n">
        <v>10</v>
      </c>
      <c r="V5233" s="16">
        <f>ROUNDUP((T5233+U5233+2*'Read Me'!$B$13)*(1+'Read Me'!$B$12),-1)</f>
        <v/>
      </c>
      <c r="W5233" s="16">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J-I-0026</t>
        </is>
      </c>
      <c r="B5234" s="12" t="inlineStr">
        <is>
          <t>J</t>
        </is>
      </c>
      <c r="C5234" s="12" t="inlineStr">
        <is>
          <t>GT inlet chilling</t>
        </is>
      </c>
      <c r="D5234" s="12" t="inlineStr">
        <is>
          <t>Home run JB-Chillers x6 (water-AI05 to the control / marshalling room</t>
        </is>
      </c>
      <c r="E5234" s="12" t="inlineStr"/>
      <c r="F5234" s="12" t="inlineStr">
        <is>
          <t>Inlet-chilling e-house / transformer</t>
        </is>
      </c>
      <c r="G5234" s="12" t="inlineStr">
        <is>
          <t>JB-Chillers x6 (water-AI05</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6" t="n">
        <v>10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J-I-0027</t>
        </is>
      </c>
      <c r="B5235" s="12" t="inlineStr">
        <is>
          <t>J</t>
        </is>
      </c>
      <c r="C5235" s="12" t="inlineStr">
        <is>
          <t>GT inlet chilling</t>
        </is>
      </c>
      <c r="D5235" s="12" t="inlineStr">
        <is>
          <t>Analog instrument to JB JB-Chillers x6 (water-AI06: 20 x 1 pr (field cables)</t>
        </is>
      </c>
      <c r="E5235" s="12" t="inlineStr"/>
      <c r="F5235" s="12" t="inlineStr">
        <is>
          <t>Chillers x6 (water-cooled)</t>
        </is>
      </c>
      <c r="G5235" s="12" t="inlineStr">
        <is>
          <t>JB-Chillers x6 (water-AI06</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6" t="n">
        <v>190</v>
      </c>
      <c r="U5235" s="16" t="n">
        <v>10</v>
      </c>
      <c r="V5235" s="16">
        <f>ROUNDUP((T5235+U5235+2*'Read Me'!$B$13)*(1+'Read Me'!$B$12),-1)</f>
        <v/>
      </c>
      <c r="W5235" s="16">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J-I-0028</t>
        </is>
      </c>
      <c r="B5236" s="12" t="inlineStr">
        <is>
          <t>J</t>
        </is>
      </c>
      <c r="C5236" s="12" t="inlineStr">
        <is>
          <t>GT inlet chilling</t>
        </is>
      </c>
      <c r="D5236" s="12" t="inlineStr">
        <is>
          <t>Home run JB-Chillers x6 (water-AI06 to the control / marshalling room</t>
        </is>
      </c>
      <c r="E5236" s="12" t="inlineStr"/>
      <c r="F5236" s="12" t="inlineStr">
        <is>
          <t>Inlet-chilling e-house / transformer</t>
        </is>
      </c>
      <c r="G5236" s="12" t="inlineStr">
        <is>
          <t>JB-Chillers x6 (water-AI06</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6" t="n">
        <v>10</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J-I-0029</t>
        </is>
      </c>
      <c r="B5237" s="12" t="inlineStr">
        <is>
          <t>J</t>
        </is>
      </c>
      <c r="C5237" s="12" t="inlineStr">
        <is>
          <t>GT inlet chilling</t>
        </is>
      </c>
      <c r="D5237" s="12" t="inlineStr">
        <is>
          <t>Discrete device to JB JB-Chillers x6 (water-DI01: 20 x 1 pr (field cables)</t>
        </is>
      </c>
      <c r="E5237" s="12" t="inlineStr"/>
      <c r="F5237" s="12" t="inlineStr">
        <is>
          <t>Chillers x6 (water-cooled)</t>
        </is>
      </c>
      <c r="G5237" s="12" t="inlineStr">
        <is>
          <t>JB-Chillers x6 (water-DI01</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6" t="n">
        <v>190</v>
      </c>
      <c r="U5237" s="16" t="n">
        <v>10</v>
      </c>
      <c r="V5237" s="16">
        <f>ROUNDUP((T5237+U5237+2*'Read Me'!$B$13)*(1+'Read Me'!$B$12),-1)</f>
        <v/>
      </c>
      <c r="W5237" s="16">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J-I-0030</t>
        </is>
      </c>
      <c r="B5238" s="12" t="inlineStr">
        <is>
          <t>J</t>
        </is>
      </c>
      <c r="C5238" s="12" t="inlineStr">
        <is>
          <t>GT inlet chilling</t>
        </is>
      </c>
      <c r="D5238" s="12" t="inlineStr">
        <is>
          <t>Home run JB-Chillers x6 (water-DI01 to the control / marshalling room</t>
        </is>
      </c>
      <c r="E5238" s="12" t="inlineStr"/>
      <c r="F5238" s="12" t="inlineStr">
        <is>
          <t>Inlet-chilling e-house / transformer</t>
        </is>
      </c>
      <c r="G5238" s="12" t="inlineStr">
        <is>
          <t>JB-Chillers x6 (water-DI01</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6" t="n">
        <v>10</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J-I-0031</t>
        </is>
      </c>
      <c r="B5239" s="12" t="inlineStr">
        <is>
          <t>J</t>
        </is>
      </c>
      <c r="C5239" s="12" t="inlineStr">
        <is>
          <t>GT inlet chilling</t>
        </is>
      </c>
      <c r="D5239" s="12" t="inlineStr">
        <is>
          <t>Discrete device to JB JB-Chillers x6 (water-DI02: 20 x 1 pr (field cables)</t>
        </is>
      </c>
      <c r="E5239" s="12" t="inlineStr"/>
      <c r="F5239" s="12" t="inlineStr">
        <is>
          <t>Chillers x6 (water-cooled)</t>
        </is>
      </c>
      <c r="G5239" s="12" t="inlineStr">
        <is>
          <t>JB-Chillers x6 (water-DI02</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6" t="n">
        <v>190</v>
      </c>
      <c r="U5239" s="16" t="n">
        <v>10</v>
      </c>
      <c r="V5239" s="16">
        <f>ROUNDUP((T5239+U5239+2*'Read Me'!$B$13)*(1+'Read Me'!$B$12),-1)</f>
        <v/>
      </c>
      <c r="W5239" s="16">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J-I-0032</t>
        </is>
      </c>
      <c r="B5240" s="12" t="inlineStr">
        <is>
          <t>J</t>
        </is>
      </c>
      <c r="C5240" s="12" t="inlineStr">
        <is>
          <t>GT inlet chilling</t>
        </is>
      </c>
      <c r="D5240" s="12" t="inlineStr">
        <is>
          <t>Home run JB-Chillers x6 (water-DI02 to the control / marshalling room</t>
        </is>
      </c>
      <c r="E5240" s="12" t="inlineStr"/>
      <c r="F5240" s="12" t="inlineStr">
        <is>
          <t>Inlet-chilling e-house / transformer</t>
        </is>
      </c>
      <c r="G5240" s="12" t="inlineStr">
        <is>
          <t>JB-Chillers x6 (water-DI02</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J-I-0033</t>
        </is>
      </c>
      <c r="B5241" s="12" t="inlineStr">
        <is>
          <t>J</t>
        </is>
      </c>
      <c r="C5241" s="12" t="inlineStr">
        <is>
          <t>GT inlet chilling</t>
        </is>
      </c>
      <c r="D5241" s="12" t="inlineStr">
        <is>
          <t>Discrete device to JB JB-Chillers x6 (water-DI03: 20 x 1 pr (field cables)</t>
        </is>
      </c>
      <c r="E5241" s="12" t="inlineStr"/>
      <c r="F5241" s="12" t="inlineStr">
        <is>
          <t>Chillers x6 (water-cooled)</t>
        </is>
      </c>
      <c r="G5241" s="12" t="inlineStr">
        <is>
          <t>JB-Chillers x6 (water-DI03</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6" t="n">
        <v>190</v>
      </c>
      <c r="U5241" s="16" t="n">
        <v>10</v>
      </c>
      <c r="V5241" s="16">
        <f>ROUNDUP((T5241+U5241+2*'Read Me'!$B$13)*(1+'Read Me'!$B$12),-1)</f>
        <v/>
      </c>
      <c r="W5241" s="16">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J-I-0034</t>
        </is>
      </c>
      <c r="B5242" s="12" t="inlineStr">
        <is>
          <t>J</t>
        </is>
      </c>
      <c r="C5242" s="12" t="inlineStr">
        <is>
          <t>GT inlet chilling</t>
        </is>
      </c>
      <c r="D5242" s="12" t="inlineStr">
        <is>
          <t>Home run JB-Chillers x6 (water-DI03 to the control / marshalling room</t>
        </is>
      </c>
      <c r="E5242" s="12" t="inlineStr"/>
      <c r="F5242" s="12" t="inlineStr">
        <is>
          <t>Inlet-chilling e-house / transformer</t>
        </is>
      </c>
      <c r="G5242" s="12" t="inlineStr">
        <is>
          <t>JB-Chillers x6 (water-DI03</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J-I-0035</t>
        </is>
      </c>
      <c r="B5243" s="12" t="inlineStr">
        <is>
          <t>J</t>
        </is>
      </c>
      <c r="C5243" s="12" t="inlineStr">
        <is>
          <t>GT inlet chilling</t>
        </is>
      </c>
      <c r="D5243" s="12" t="inlineStr">
        <is>
          <t>Discrete device to JB JB-Chillers x6 (water-DI04: 20 x 1 pr (field cables)</t>
        </is>
      </c>
      <c r="E5243" s="12" t="inlineStr"/>
      <c r="F5243" s="12" t="inlineStr">
        <is>
          <t>Chillers x6 (water-cooled)</t>
        </is>
      </c>
      <c r="G5243" s="12" t="inlineStr">
        <is>
          <t>JB-Chillers x6 (water-DI04</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6" t="n">
        <v>190</v>
      </c>
      <c r="U5243" s="16" t="n">
        <v>10</v>
      </c>
      <c r="V5243" s="16">
        <f>ROUNDUP((T5243+U5243+2*'Read Me'!$B$13)*(1+'Read Me'!$B$12),-1)</f>
        <v/>
      </c>
      <c r="W5243" s="16">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J-I-0036</t>
        </is>
      </c>
      <c r="B5244" s="12" t="inlineStr">
        <is>
          <t>J</t>
        </is>
      </c>
      <c r="C5244" s="12" t="inlineStr">
        <is>
          <t>GT inlet chilling</t>
        </is>
      </c>
      <c r="D5244" s="12" t="inlineStr">
        <is>
          <t>Home run JB-Chillers x6 (water-DI04 to the control / marshalling room</t>
        </is>
      </c>
      <c r="E5244" s="12" t="inlineStr"/>
      <c r="F5244" s="12" t="inlineStr">
        <is>
          <t>Inlet-chilling e-house / transformer</t>
        </is>
      </c>
      <c r="G5244" s="12" t="inlineStr">
        <is>
          <t>JB-Chillers x6 (water-DI04</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J-I-0037</t>
        </is>
      </c>
      <c r="B5245" s="12" t="inlineStr">
        <is>
          <t>J</t>
        </is>
      </c>
      <c r="C5245" s="12" t="inlineStr">
        <is>
          <t>GT inlet chilling</t>
        </is>
      </c>
      <c r="D5245" s="12" t="inlineStr">
        <is>
          <t>Discrete device to JB JB-Chillers x6 (water-DI05: 20 x 1 pr (field cables)</t>
        </is>
      </c>
      <c r="E5245" s="12" t="inlineStr"/>
      <c r="F5245" s="12" t="inlineStr">
        <is>
          <t>Chillers x6 (water-cooled)</t>
        </is>
      </c>
      <c r="G5245" s="12" t="inlineStr">
        <is>
          <t>JB-Chillers x6 (water-DI05</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6" t="n">
        <v>190</v>
      </c>
      <c r="U5245" s="16" t="n">
        <v>10</v>
      </c>
      <c r="V5245" s="16">
        <f>ROUNDUP((T5245+U5245+2*'Read Me'!$B$13)*(1+'Read Me'!$B$12),-1)</f>
        <v/>
      </c>
      <c r="W5245" s="16">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J-I-0038</t>
        </is>
      </c>
      <c r="B5246" s="12" t="inlineStr">
        <is>
          <t>J</t>
        </is>
      </c>
      <c r="C5246" s="12" t="inlineStr">
        <is>
          <t>GT inlet chilling</t>
        </is>
      </c>
      <c r="D5246" s="12" t="inlineStr">
        <is>
          <t>Home run JB-Chillers x6 (water-DI05 to the control / marshalling room</t>
        </is>
      </c>
      <c r="E5246" s="12" t="inlineStr"/>
      <c r="F5246" s="12" t="inlineStr">
        <is>
          <t>Inlet-chilling e-house / transformer</t>
        </is>
      </c>
      <c r="G5246" s="12" t="inlineStr">
        <is>
          <t>JB-Chillers x6 (water-DI05</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6" t="n">
        <v>10</v>
      </c>
      <c r="U5246" s="16" t="n">
        <v>32</v>
      </c>
      <c r="V5246" s="16">
        <f>ROUNDUP((T5246+U5246+2*'Read Me'!$B$13)*(1+'Read Me'!$B$12),-1)</f>
        <v/>
      </c>
      <c r="W5246" s="16">
        <f>V5246*N5246*O5246</f>
        <v/>
      </c>
      <c r="X5246" s="12">
        <f>IF(LEFT(I5246,2)="MV",2*N5246*IF(L5246="1/C",O5246,1),0)</f>
        <v/>
      </c>
      <c r="Y5246" s="12">
        <f>IF(OR(LEFT(K5246,4)="LVAX",LEFT(K5246,6)="MV15AX",LEFT(K5246,4)="CTAX",LEFT(K5246,2)="W|"),2*N5246*O5246,0)</f>
        <v/>
      </c>
      <c r="Z5246" s="12" t="inlineStr"/>
      <c r="AA5246" s="12">
        <f>N5246*O5246</f>
        <v/>
      </c>
    </row>
    <row r="5247">
      <c r="A5247" s="12" t="inlineStr">
        <is>
          <t>J-I-0039</t>
        </is>
      </c>
      <c r="B5247" s="12" t="inlineStr">
        <is>
          <t>J</t>
        </is>
      </c>
      <c r="C5247" s="12" t="inlineStr">
        <is>
          <t>GT inlet chilling</t>
        </is>
      </c>
      <c r="D5247" s="12" t="inlineStr">
        <is>
          <t>Discrete device to JB JB-Chillers x6 (water-DI06: 20 x 1 pr (field cables)</t>
        </is>
      </c>
      <c r="E5247" s="12" t="inlineStr"/>
      <c r="F5247" s="12" t="inlineStr">
        <is>
          <t>Chillers x6 (water-cooled)</t>
        </is>
      </c>
      <c r="G5247" s="12" t="inlineStr">
        <is>
          <t>JB-Chillers x6 (water-DI06</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6" t="n">
        <v>190</v>
      </c>
      <c r="U5247" s="16" t="n">
        <v>10</v>
      </c>
      <c r="V5247" s="16">
        <f>ROUNDUP((T5247+U5247+2*'Read Me'!$B$13)*(1+'Read Me'!$B$12),-1)</f>
        <v/>
      </c>
      <c r="W5247" s="16">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J-I-0040</t>
        </is>
      </c>
      <c r="B5248" s="12" t="inlineStr">
        <is>
          <t>J</t>
        </is>
      </c>
      <c r="C5248" s="12" t="inlineStr">
        <is>
          <t>GT inlet chilling</t>
        </is>
      </c>
      <c r="D5248" s="12" t="inlineStr">
        <is>
          <t>Home run JB-Chillers x6 (water-DI06 to the control / marshalling room</t>
        </is>
      </c>
      <c r="E5248" s="12" t="inlineStr"/>
      <c r="F5248" s="12" t="inlineStr">
        <is>
          <t>Inlet-chilling e-house / transformer</t>
        </is>
      </c>
      <c r="G5248" s="12" t="inlineStr">
        <is>
          <t>JB-Chillers x6 (water-DI06</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6" t="n">
        <v>10</v>
      </c>
      <c r="U5248" s="16" t="n">
        <v>32</v>
      </c>
      <c r="V5248" s="16">
        <f>ROUNDUP((T5248+U5248+2*'Read Me'!$B$13)*(1+'Read Me'!$B$12),-1)</f>
        <v/>
      </c>
      <c r="W5248" s="16">
        <f>V5248*N5248*O5248</f>
        <v/>
      </c>
      <c r="X5248" s="12">
        <f>IF(LEFT(I5248,2)="MV",2*N5248*IF(L5248="1/C",O5248,1),0)</f>
        <v/>
      </c>
      <c r="Y5248" s="12">
        <f>IF(OR(LEFT(K5248,4)="LVAX",LEFT(K5248,6)="MV15AX",LEFT(K5248,4)="CTAX",LEFT(K5248,2)="W|"),2*N5248*O5248,0)</f>
        <v/>
      </c>
      <c r="Z5248" s="12" t="inlineStr"/>
      <c r="AA5248" s="12">
        <f>N5248*O5248</f>
        <v/>
      </c>
    </row>
    <row r="5249">
      <c r="A5249" s="12" t="inlineStr">
        <is>
          <t>J-I-0041</t>
        </is>
      </c>
      <c r="B5249" s="12" t="inlineStr">
        <is>
          <t>J</t>
        </is>
      </c>
      <c r="C5249" s="12" t="inlineStr">
        <is>
          <t>GT inlet chilling</t>
        </is>
      </c>
      <c r="D5249" s="12" t="inlineStr">
        <is>
          <t>Instrumentation</t>
        </is>
      </c>
      <c r="E5249" s="12" t="inlineStr"/>
      <c r="F5249" s="12" t="inlineStr">
        <is>
          <t>Inlet-chilling e-house / transformer</t>
        </is>
      </c>
      <c r="G5249" s="12" t="inlineStr"/>
      <c r="H5249" s="12" t="inlineStr">
        <is>
          <t>Inlet-chilling e-house / transformer</t>
        </is>
      </c>
      <c r="I5249" s="12" t="inlineStr">
        <is>
          <t>Instrumentation</t>
        </is>
      </c>
      <c r="J5249" s="12" t="inlineStr">
        <is>
          <t>Instrumentation PLTC / TC-ER 300 V, #18 twisted shielded pairs, overall shield</t>
        </is>
      </c>
      <c r="K5249" s="12" t="inlineStr">
        <is>
          <t>PLTC|4 pr|18</t>
        </is>
      </c>
      <c r="L5249" s="12" t="inlineStr">
        <is>
          <t>4 pr</t>
        </is>
      </c>
      <c r="M5249" s="12" t="inlineStr">
        <is>
          <t>18</t>
        </is>
      </c>
      <c r="N5249" s="12" t="n">
        <v>1</v>
      </c>
      <c r="O5249" s="12" t="n">
        <v>1</v>
      </c>
      <c r="P5249" s="12" t="n"/>
      <c r="Q5249" s="12" t="n"/>
      <c r="R5249" s="12" t="n"/>
      <c r="S5249" s="12" t="inlineStr">
        <is>
          <t>Tray</t>
        </is>
      </c>
      <c r="T5249" s="16" t="n">
        <v>0</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J-I-0042</t>
        </is>
      </c>
      <c r="B5250" s="12" t="inlineStr">
        <is>
          <t>J</t>
        </is>
      </c>
      <c r="C5250" s="12" t="inlineStr">
        <is>
          <t>GT inlet chilling</t>
        </is>
      </c>
      <c r="D5250" s="12" t="inlineStr">
        <is>
          <t>Analog instrument to JB JB-Inlet-chilling tow-AI01: 12 x 1 pr (field cables)</t>
        </is>
      </c>
      <c r="E5250" s="12" t="inlineStr"/>
      <c r="F5250" s="12" t="inlineStr">
        <is>
          <t>Inlet-chilling tower (12 cells): chiller heat rejection</t>
        </is>
      </c>
      <c r="G5250" s="12" t="inlineStr">
        <is>
          <t>JB-Inlet-chilling tow-AI01</t>
        </is>
      </c>
      <c r="H5250" s="12" t="inlineStr">
        <is>
          <t>Inlet-chilling tower (12 cells): chiller heat rejection</t>
        </is>
      </c>
      <c r="I5250" s="12" t="inlineStr">
        <is>
          <t>Instrumentation</t>
        </is>
      </c>
      <c r="J5250" s="12" t="inlineStr">
        <is>
          <t>Instrumentation PLTC / TC-ER 300 V, #18 twisted shielded pairs, overall shield</t>
        </is>
      </c>
      <c r="K5250" s="12" t="inlineStr">
        <is>
          <t>PLTC|1 pr|16</t>
        </is>
      </c>
      <c r="L5250" s="12" t="inlineStr">
        <is>
          <t>1 pr</t>
        </is>
      </c>
      <c r="M5250" s="12" t="inlineStr">
        <is>
          <t>16</t>
        </is>
      </c>
      <c r="N5250" s="12" t="n">
        <v>12</v>
      </c>
      <c r="O5250" s="12" t="n">
        <v>1</v>
      </c>
      <c r="P5250" s="12" t="n"/>
      <c r="Q5250" s="12" t="n"/>
      <c r="R5250" s="12" t="n"/>
      <c r="S5250" s="12" t="inlineStr">
        <is>
          <t>Tray / conduit</t>
        </is>
      </c>
      <c r="T5250" s="16" t="n">
        <v>205</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J-I-0043</t>
        </is>
      </c>
      <c r="B5251" s="12" t="inlineStr">
        <is>
          <t>J</t>
        </is>
      </c>
      <c r="C5251" s="12" t="inlineStr">
        <is>
          <t>GT inlet chilling</t>
        </is>
      </c>
      <c r="D5251" s="12" t="inlineStr">
        <is>
          <t>Home run JB-Inlet-chilling tow-AI01 to the control / marshalling room</t>
        </is>
      </c>
      <c r="E5251" s="12" t="inlineStr"/>
      <c r="F5251" s="12" t="inlineStr">
        <is>
          <t>Inlet-chilling e-house / transformer</t>
        </is>
      </c>
      <c r="G5251" s="12" t="inlineStr">
        <is>
          <t>JB-Inlet-chilling tow-AI01</t>
        </is>
      </c>
      <c r="H5251" s="12" t="inlineStr">
        <is>
          <t>Inlet-chilling tower (12 cells): chiller heat rejection</t>
        </is>
      </c>
      <c r="I5251" s="12" t="inlineStr">
        <is>
          <t>Instrumentation</t>
        </is>
      </c>
      <c r="J5251" s="12" t="inlineStr">
        <is>
          <t>Instrumentation PLTC / TC-ER 300 V, #18 twisted shielded pairs, overall shield</t>
        </is>
      </c>
      <c r="K5251" s="12" t="inlineStr">
        <is>
          <t>PLTC|24 pr|18</t>
        </is>
      </c>
      <c r="L5251" s="12" t="inlineStr">
        <is>
          <t>24 pr</t>
        </is>
      </c>
      <c r="M5251" s="12" t="inlineStr">
        <is>
          <t>18</t>
        </is>
      </c>
      <c r="N5251" s="12" t="n">
        <v>1</v>
      </c>
      <c r="O5251" s="12" t="n">
        <v>1</v>
      </c>
      <c r="P5251" s="12" t="n"/>
      <c r="Q5251" s="12" t="n"/>
      <c r="R5251" s="12" t="n"/>
      <c r="S5251" s="12" t="inlineStr">
        <is>
          <t>Duct bank</t>
        </is>
      </c>
      <c r="T5251" s="16" t="n">
        <v>478</v>
      </c>
      <c r="U5251" s="16" t="n">
        <v>38</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J-I-0044</t>
        </is>
      </c>
      <c r="B5252" s="12" t="inlineStr">
        <is>
          <t>J</t>
        </is>
      </c>
      <c r="C5252" s="12" t="inlineStr">
        <is>
          <t>GT inlet chilling</t>
        </is>
      </c>
      <c r="D5252" s="12" t="inlineStr">
        <is>
          <t>Discrete device to JB JB-Inlet-chilling tow-DI01: 20 x 1 pr (field cables)</t>
        </is>
      </c>
      <c r="E5252" s="12" t="inlineStr"/>
      <c r="F5252" s="12" t="inlineStr">
        <is>
          <t>Inlet-chilling tower (12 cells): chiller heat rejection</t>
        </is>
      </c>
      <c r="G5252" s="12" t="inlineStr">
        <is>
          <t>JB-Inlet-chilling tow-DI01</t>
        </is>
      </c>
      <c r="H5252" s="12" t="inlineStr">
        <is>
          <t>Inlet-chilling tower (12 cells): chiller heat rejection</t>
        </is>
      </c>
      <c r="I5252" s="12" t="inlineStr">
        <is>
          <t>Instrumentation</t>
        </is>
      </c>
      <c r="J5252" s="12" t="inlineStr">
        <is>
          <t>Instrumentation PLTC / TC-ER 300 V, #18 twisted shielded pairs, overall shield</t>
        </is>
      </c>
      <c r="K5252" s="12" t="inlineStr">
        <is>
          <t>PLTC|1 pr|16</t>
        </is>
      </c>
      <c r="L5252" s="12" t="inlineStr">
        <is>
          <t>1 pr</t>
        </is>
      </c>
      <c r="M5252" s="12" t="inlineStr">
        <is>
          <t>16</t>
        </is>
      </c>
      <c r="N5252" s="12" t="n">
        <v>20</v>
      </c>
      <c r="O5252" s="12" t="n">
        <v>1</v>
      </c>
      <c r="P5252" s="12" t="n"/>
      <c r="Q5252" s="12" t="n"/>
      <c r="R5252" s="12" t="n"/>
      <c r="S5252" s="12" t="inlineStr">
        <is>
          <t>Tray / conduit</t>
        </is>
      </c>
      <c r="T5252" s="16" t="n">
        <v>205</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device-to-JB field wiring, one cable per device</t>
        </is>
      </c>
      <c r="AA5252" s="12">
        <f>N5252*O5252</f>
        <v/>
      </c>
    </row>
    <row r="5253">
      <c r="A5253" s="12" t="inlineStr">
        <is>
          <t>J-I-0045</t>
        </is>
      </c>
      <c r="B5253" s="12" t="inlineStr">
        <is>
          <t>J</t>
        </is>
      </c>
      <c r="C5253" s="12" t="inlineStr">
        <is>
          <t>GT inlet chilling</t>
        </is>
      </c>
      <c r="D5253" s="12" t="inlineStr">
        <is>
          <t>Home run JB-Inlet-chilling tow-DI01 to the control / marshalling room</t>
        </is>
      </c>
      <c r="E5253" s="12" t="inlineStr"/>
      <c r="F5253" s="12" t="inlineStr">
        <is>
          <t>Inlet-chilling e-house / transformer</t>
        </is>
      </c>
      <c r="G5253" s="12" t="inlineStr">
        <is>
          <t>JB-Inlet-chilling tow-DI01</t>
        </is>
      </c>
      <c r="H5253" s="12" t="inlineStr">
        <is>
          <t>Inlet-chilling tower (12 cells): chiller heat rejection</t>
        </is>
      </c>
      <c r="I5253" s="12" t="inlineStr">
        <is>
          <t>Instrumentation</t>
        </is>
      </c>
      <c r="J5253" s="12" t="inlineStr">
        <is>
          <t>Instrumentation PLTC / TC-ER 300 V, #18 twisted shielded pairs, overall shield</t>
        </is>
      </c>
      <c r="K5253" s="12" t="inlineStr">
        <is>
          <t>PLTC|24 pr|18</t>
        </is>
      </c>
      <c r="L5253" s="12" t="inlineStr">
        <is>
          <t>24 pr</t>
        </is>
      </c>
      <c r="M5253" s="12" t="inlineStr">
        <is>
          <t>18</t>
        </is>
      </c>
      <c r="N5253" s="12" t="n">
        <v>1</v>
      </c>
      <c r="O5253" s="12" t="n">
        <v>1</v>
      </c>
      <c r="P5253" s="12" t="n"/>
      <c r="Q5253" s="12" t="n"/>
      <c r="R5253" s="12" t="n"/>
      <c r="S5253" s="12" t="inlineStr">
        <is>
          <t>Duct bank</t>
        </is>
      </c>
      <c r="T5253" s="16" t="n">
        <v>478</v>
      </c>
      <c r="U5253" s="16" t="n">
        <v>38</v>
      </c>
      <c r="V5253" s="16">
        <f>ROUNDUP((T5253+U5253+2*'Read Me'!$B$13)*(1+'Read Me'!$B$12),-1)</f>
        <v/>
      </c>
      <c r="W5253" s="16">
        <f>V5253*N5253*O5253</f>
        <v/>
      </c>
      <c r="X5253" s="12">
        <f>IF(LEFT(I5253,2)="MV",2*N5253*IF(L5253="1/C",O5253,1),0)</f>
        <v/>
      </c>
      <c r="Y5253" s="12">
        <f>IF(OR(LEFT(K5253,4)="LVAX",LEFT(K5253,6)="MV15AX",LEFT(K5253,4)="CTAX",LEFT(K5253,2)="W|"),2*N5253*O5253,0)</f>
        <v/>
      </c>
      <c r="Z5253" s="12" t="inlineStr"/>
      <c r="AA5253" s="12">
        <f>N5253*O5253</f>
        <v/>
      </c>
    </row>
    <row r="5254">
      <c r="A5254" s="12" t="inlineStr">
        <is>
          <t>J-I-0046</t>
        </is>
      </c>
      <c r="B5254" s="12" t="inlineStr">
        <is>
          <t>J</t>
        </is>
      </c>
      <c r="C5254" s="12" t="inlineStr">
        <is>
          <t>GT inlet chilling</t>
        </is>
      </c>
      <c r="D5254" s="12" t="inlineStr">
        <is>
          <t>Discrete device to JB JB-Inlet-chilling tow-DI02: 4 x 1 pr (field cables)</t>
        </is>
      </c>
      <c r="E5254" s="12" t="inlineStr"/>
      <c r="F5254" s="12" t="inlineStr">
        <is>
          <t>Inlet-chilling tower (12 cells): chiller heat rejection</t>
        </is>
      </c>
      <c r="G5254" s="12" t="inlineStr">
        <is>
          <t>JB-Inlet-chilling tow-DI02</t>
        </is>
      </c>
      <c r="H5254" s="12" t="inlineStr">
        <is>
          <t>Inlet-chilling tower (12 cells): chiller heat rejection</t>
        </is>
      </c>
      <c r="I5254" s="12" t="inlineStr">
        <is>
          <t>Instrumentation</t>
        </is>
      </c>
      <c r="J5254" s="12" t="inlineStr">
        <is>
          <t>Instrumentation PLTC / TC-ER 300 V, #18 twisted shielded pairs, overall shield</t>
        </is>
      </c>
      <c r="K5254" s="12" t="inlineStr">
        <is>
          <t>PLTC|1 pr|16</t>
        </is>
      </c>
      <c r="L5254" s="12" t="inlineStr">
        <is>
          <t>1 pr</t>
        </is>
      </c>
      <c r="M5254" s="12" t="inlineStr">
        <is>
          <t>16</t>
        </is>
      </c>
      <c r="N5254" s="12" t="n">
        <v>4</v>
      </c>
      <c r="O5254" s="12" t="n">
        <v>1</v>
      </c>
      <c r="P5254" s="12" t="n"/>
      <c r="Q5254" s="12" t="n"/>
      <c r="R5254" s="12" t="n"/>
      <c r="S5254" s="12" t="inlineStr">
        <is>
          <t>Tray / conduit</t>
        </is>
      </c>
      <c r="T5254" s="16" t="n">
        <v>205</v>
      </c>
      <c r="U5254" s="16" t="n">
        <v>10</v>
      </c>
      <c r="V5254" s="16">
        <f>ROUNDUP((T5254+U5254+2*'Read Me'!$B$13)*(1+'Read Me'!$B$12),-1)</f>
        <v/>
      </c>
      <c r="W5254" s="16">
        <f>V5254*N5254*O5254</f>
        <v/>
      </c>
      <c r="X5254" s="12">
        <f>IF(LEFT(I5254,2)="MV",2*N5254*IF(L5254="1/C",O5254,1),0)</f>
        <v/>
      </c>
      <c r="Y5254" s="12">
        <f>IF(OR(LEFT(K5254,4)="LVAX",LEFT(K5254,6)="MV15AX",LEFT(K5254,4)="CTAX",LEFT(K5254,2)="W|"),2*N5254*O5254,0)</f>
        <v/>
      </c>
      <c r="Z5254" s="12" t="inlineStr">
        <is>
          <t>device-to-JB field wiring, one cable per device</t>
        </is>
      </c>
      <c r="AA5254" s="12">
        <f>N5254*O5254</f>
        <v/>
      </c>
    </row>
    <row r="5255">
      <c r="A5255" s="12" t="inlineStr">
        <is>
          <t>J-I-0047</t>
        </is>
      </c>
      <c r="B5255" s="12" t="inlineStr">
        <is>
          <t>J</t>
        </is>
      </c>
      <c r="C5255" s="12" t="inlineStr">
        <is>
          <t>GT inlet chilling</t>
        </is>
      </c>
      <c r="D5255" s="12" t="inlineStr">
        <is>
          <t>Home run JB-Inlet-chilling tow-DI02 to the control / marshalling room</t>
        </is>
      </c>
      <c r="E5255" s="12" t="inlineStr"/>
      <c r="F5255" s="12" t="inlineStr">
        <is>
          <t>Inlet-chilling e-house / transformer</t>
        </is>
      </c>
      <c r="G5255" s="12" t="inlineStr">
        <is>
          <t>JB-Inlet-chilling tow-DI02</t>
        </is>
      </c>
      <c r="H5255" s="12" t="inlineStr">
        <is>
          <t>Inlet-chilling tower (12 cells): chiller heat rejection</t>
        </is>
      </c>
      <c r="I5255" s="12" t="inlineStr">
        <is>
          <t>Instrumentation</t>
        </is>
      </c>
      <c r="J5255" s="12" t="inlineStr">
        <is>
          <t>Instrumentation PLTC / TC-ER 300 V, #18 twisted shielded pairs, overall shield</t>
        </is>
      </c>
      <c r="K5255" s="12" t="inlineStr">
        <is>
          <t>PLTC|24 pr|18</t>
        </is>
      </c>
      <c r="L5255" s="12" t="inlineStr">
        <is>
          <t>24 pr</t>
        </is>
      </c>
      <c r="M5255" s="12" t="inlineStr">
        <is>
          <t>18</t>
        </is>
      </c>
      <c r="N5255" s="12" t="n">
        <v>1</v>
      </c>
      <c r="O5255" s="12" t="n">
        <v>1</v>
      </c>
      <c r="P5255" s="12" t="n"/>
      <c r="Q5255" s="12" t="n"/>
      <c r="R5255" s="12" t="n"/>
      <c r="S5255" s="12" t="inlineStr">
        <is>
          <t>Duct bank</t>
        </is>
      </c>
      <c r="T5255" s="16" t="n">
        <v>478</v>
      </c>
      <c r="U5255" s="16" t="n">
        <v>38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J-P-0001</t>
        </is>
      </c>
      <c r="B5256" s="12" t="inlineStr">
        <is>
          <t>J</t>
        </is>
      </c>
      <c r="C5256" s="12" t="inlineStr">
        <is>
          <t>GT inlet chilling</t>
        </is>
      </c>
      <c r="D5256" s="12" t="inlineStr">
        <is>
          <t>Motor 1 of 4, 150 kW</t>
        </is>
      </c>
      <c r="E5256" s="12" t="inlineStr"/>
      <c r="F5256" s="12" t="inlineStr">
        <is>
          <t>Inlet-chilling e-house / transformer</t>
        </is>
      </c>
      <c r="G5256" s="12" t="inlineStr"/>
      <c r="H5256" s="12" t="inlineStr">
        <is>
          <t>CHW pumps</t>
        </is>
      </c>
      <c r="I5256" s="12" t="inlineStr">
        <is>
          <t>LV 600 V</t>
        </is>
      </c>
      <c r="J5256" s="12" t="inlineStr">
        <is>
          <t>Type TC-ER 600 V 3/C Cu XHHW-2 + ground, PVC jacket</t>
        </is>
      </c>
      <c r="K5256" s="12" t="inlineStr">
        <is>
          <t>LV|3/C+G|350</t>
        </is>
      </c>
      <c r="L5256" s="12" t="inlineStr">
        <is>
          <t>3/C+G</t>
        </is>
      </c>
      <c r="M5256" s="12" t="inlineStr">
        <is>
          <t>350 kcmil</t>
        </is>
      </c>
      <c r="N5256" s="12" t="n">
        <v>1</v>
      </c>
      <c r="O5256" s="12" t="n">
        <v>1</v>
      </c>
      <c r="P5256" s="12" t="n">
        <v>480</v>
      </c>
      <c r="Q5256" s="12" t="n">
        <v>150</v>
      </c>
      <c r="R5256" s="12" t="n">
        <v>212.3</v>
      </c>
      <c r="S5256" s="12" t="inlineStr">
        <is>
          <t>Duct bank</t>
        </is>
      </c>
      <c r="T5256" s="16" t="n">
        <v>579</v>
      </c>
      <c r="U5256" s="16" t="n">
        <v>32</v>
      </c>
      <c r="V5256" s="16">
        <f>ROUNDUP((T5256+U5256+2*'Read Me'!$B$13)*(1+'Read Me'!$B$12),-1)</f>
        <v/>
      </c>
      <c r="W5256" s="16">
        <f>V5256*N5256*O5256</f>
        <v/>
      </c>
      <c r="X5256" s="12">
        <f>IF(LEFT(I5256,2)="MV",2*N5256*IF(L5256="1/C",O5256,1),0)</f>
        <v/>
      </c>
      <c r="Y5256" s="12">
        <f>IF(OR(LEFT(K5256,4)="LVAX",LEFT(K5256,6)="MV15AX",LEFT(K5256,4)="CTAX",LEFT(K5256,2)="W|"),2*N5256*O5256,0)</f>
        <v/>
      </c>
      <c r="Z5256" s="12" t="inlineStr">
        <is>
          <t>VD 1.9 %</t>
        </is>
      </c>
      <c r="AA5256" s="12">
        <f>N5256*O5256</f>
        <v/>
      </c>
    </row>
    <row r="5257">
      <c r="A5257" s="12" t="inlineStr">
        <is>
          <t>J-P-0002</t>
        </is>
      </c>
      <c r="B5257" s="12" t="inlineStr">
        <is>
          <t>J</t>
        </is>
      </c>
      <c r="C5257" s="12" t="inlineStr">
        <is>
          <t>GT inlet chilling</t>
        </is>
      </c>
      <c r="D5257" s="12" t="inlineStr">
        <is>
          <t>Motor 2 of 4, 150 kW</t>
        </is>
      </c>
      <c r="E5257" s="12" t="inlineStr"/>
      <c r="F5257" s="12" t="inlineStr">
        <is>
          <t>Inlet-chilling e-house / transformer</t>
        </is>
      </c>
      <c r="G5257" s="12" t="inlineStr"/>
      <c r="H5257" s="12" t="inlineStr">
        <is>
          <t>CHW pumps</t>
        </is>
      </c>
      <c r="I5257" s="12" t="inlineStr">
        <is>
          <t>LV 600 V</t>
        </is>
      </c>
      <c r="J5257" s="12" t="inlineStr">
        <is>
          <t>Type TC-ER 600 V 3/C Cu XHHW-2 + ground, PVC jacket</t>
        </is>
      </c>
      <c r="K5257" s="12" t="inlineStr">
        <is>
          <t>LV|3/C+G|350</t>
        </is>
      </c>
      <c r="L5257" s="12" t="inlineStr">
        <is>
          <t>3/C+G</t>
        </is>
      </c>
      <c r="M5257" s="12" t="inlineStr">
        <is>
          <t>350 kcmil</t>
        </is>
      </c>
      <c r="N5257" s="12" t="n">
        <v>1</v>
      </c>
      <c r="O5257" s="12" t="n">
        <v>1</v>
      </c>
      <c r="P5257" s="12" t="n">
        <v>480</v>
      </c>
      <c r="Q5257" s="12" t="n">
        <v>150</v>
      </c>
      <c r="R5257" s="12" t="n">
        <v>212.3</v>
      </c>
      <c r="S5257" s="12" t="inlineStr">
        <is>
          <t>Duct bank</t>
        </is>
      </c>
      <c r="T5257" s="16" t="n">
        <v>579</v>
      </c>
      <c r="U5257" s="16" t="n">
        <v>32</v>
      </c>
      <c r="V5257" s="16">
        <f>ROUNDUP((T5257+U5257+2*'Read Me'!$B$13)*(1+'Read Me'!$B$12),-1)</f>
        <v/>
      </c>
      <c r="W5257" s="16">
        <f>V5257*N5257*O5257</f>
        <v/>
      </c>
      <c r="X5257" s="12">
        <f>IF(LEFT(I5257,2)="MV",2*N5257*IF(L5257="1/C",O5257,1),0)</f>
        <v/>
      </c>
      <c r="Y5257" s="12">
        <f>IF(OR(LEFT(K5257,4)="LVAX",LEFT(K5257,6)="MV15AX",LEFT(K5257,4)="CTAX",LEFT(K5257,2)="W|"),2*N5257*O5257,0)</f>
        <v/>
      </c>
      <c r="Z5257" s="12" t="inlineStr">
        <is>
          <t>VD 1.9 %</t>
        </is>
      </c>
      <c r="AA5257" s="12">
        <f>N5257*O5257</f>
        <v/>
      </c>
    </row>
    <row r="5258">
      <c r="A5258" s="12" t="inlineStr">
        <is>
          <t>J-P-0003</t>
        </is>
      </c>
      <c r="B5258" s="12" t="inlineStr">
        <is>
          <t>J</t>
        </is>
      </c>
      <c r="C5258" s="12" t="inlineStr">
        <is>
          <t>GT inlet chilling</t>
        </is>
      </c>
      <c r="D5258" s="12" t="inlineStr">
        <is>
          <t>Motor 3 of 4, 150 kW</t>
        </is>
      </c>
      <c r="E5258" s="12" t="inlineStr"/>
      <c r="F5258" s="12" t="inlineStr">
        <is>
          <t>Inlet-chilling e-house / transformer</t>
        </is>
      </c>
      <c r="G5258" s="12" t="inlineStr"/>
      <c r="H5258" s="12" t="inlineStr">
        <is>
          <t>CHW pumps</t>
        </is>
      </c>
      <c r="I5258" s="12" t="inlineStr">
        <is>
          <t>LV 600 V</t>
        </is>
      </c>
      <c r="J5258" s="12" t="inlineStr">
        <is>
          <t>Type TC-ER 600 V 3/C Cu XHHW-2 + ground, PVC jacket</t>
        </is>
      </c>
      <c r="K5258" s="12" t="inlineStr">
        <is>
          <t>LV|3/C+G|350</t>
        </is>
      </c>
      <c r="L5258" s="12" t="inlineStr">
        <is>
          <t>3/C+G</t>
        </is>
      </c>
      <c r="M5258" s="12" t="inlineStr">
        <is>
          <t>350 kcmil</t>
        </is>
      </c>
      <c r="N5258" s="12" t="n">
        <v>1</v>
      </c>
      <c r="O5258" s="12" t="n">
        <v>1</v>
      </c>
      <c r="P5258" s="12" t="n">
        <v>480</v>
      </c>
      <c r="Q5258" s="12" t="n">
        <v>150</v>
      </c>
      <c r="R5258" s="12" t="n">
        <v>212.3</v>
      </c>
      <c r="S5258" s="12" t="inlineStr">
        <is>
          <t>Duct bank</t>
        </is>
      </c>
      <c r="T5258" s="16" t="n">
        <v>579</v>
      </c>
      <c r="U5258" s="16" t="n">
        <v>32</v>
      </c>
      <c r="V5258" s="16">
        <f>ROUNDUP((T5258+U5258+2*'Read Me'!$B$13)*(1+'Read Me'!$B$12),-1)</f>
        <v/>
      </c>
      <c r="W5258" s="16">
        <f>V5258*N5258*O5258</f>
        <v/>
      </c>
      <c r="X5258" s="12">
        <f>IF(LEFT(I5258,2)="MV",2*N5258*IF(L5258="1/C",O5258,1),0)</f>
        <v/>
      </c>
      <c r="Y5258" s="12">
        <f>IF(OR(LEFT(K5258,4)="LVAX",LEFT(K5258,6)="MV15AX",LEFT(K5258,4)="CTAX",LEFT(K5258,2)="W|"),2*N5258*O5258,0)</f>
        <v/>
      </c>
      <c r="Z5258" s="12" t="inlineStr">
        <is>
          <t>VD 1.9 %</t>
        </is>
      </c>
      <c r="AA5258" s="12">
        <f>N5258*O5258</f>
        <v/>
      </c>
    </row>
    <row r="5259">
      <c r="A5259" s="12" t="inlineStr">
        <is>
          <t>J-P-0004</t>
        </is>
      </c>
      <c r="B5259" s="12" t="inlineStr">
        <is>
          <t>J</t>
        </is>
      </c>
      <c r="C5259" s="12" t="inlineStr">
        <is>
          <t>GT inlet chilling</t>
        </is>
      </c>
      <c r="D5259" s="12" t="inlineStr">
        <is>
          <t>Motor 4 of 4, 150 kW</t>
        </is>
      </c>
      <c r="E5259" s="12" t="inlineStr"/>
      <c r="F5259" s="12" t="inlineStr">
        <is>
          <t>Inlet-chilling e-house / transformer</t>
        </is>
      </c>
      <c r="G5259" s="12" t="inlineStr"/>
      <c r="H5259" s="12" t="inlineStr">
        <is>
          <t>CHW pumps</t>
        </is>
      </c>
      <c r="I5259" s="12" t="inlineStr">
        <is>
          <t>LV 600 V</t>
        </is>
      </c>
      <c r="J5259" s="12" t="inlineStr">
        <is>
          <t>Type TC-ER 600 V 3/C Cu XHHW-2 + ground, PVC jacket</t>
        </is>
      </c>
      <c r="K5259" s="12" t="inlineStr">
        <is>
          <t>LV|3/C+G|350</t>
        </is>
      </c>
      <c r="L5259" s="12" t="inlineStr">
        <is>
          <t>3/C+G</t>
        </is>
      </c>
      <c r="M5259" s="12" t="inlineStr">
        <is>
          <t>350 kcmil</t>
        </is>
      </c>
      <c r="N5259" s="12" t="n">
        <v>1</v>
      </c>
      <c r="O5259" s="12" t="n">
        <v>1</v>
      </c>
      <c r="P5259" s="12" t="n">
        <v>480</v>
      </c>
      <c r="Q5259" s="12" t="n">
        <v>150</v>
      </c>
      <c r="R5259" s="12" t="n">
        <v>212.3</v>
      </c>
      <c r="S5259" s="12" t="inlineStr">
        <is>
          <t>Duct bank</t>
        </is>
      </c>
      <c r="T5259" s="16" t="n">
        <v>579</v>
      </c>
      <c r="U5259" s="16" t="n">
        <v>32</v>
      </c>
      <c r="V5259" s="16">
        <f>ROUNDUP((T5259+U5259+2*'Read Me'!$B$13)*(1+'Read Me'!$B$12),-1)</f>
        <v/>
      </c>
      <c r="W5259" s="16">
        <f>V5259*N5259*O5259</f>
        <v/>
      </c>
      <c r="X5259" s="12">
        <f>IF(LEFT(I5259,2)="MV",2*N5259*IF(L5259="1/C",O5259,1),0)</f>
        <v/>
      </c>
      <c r="Y5259" s="12">
        <f>IF(OR(LEFT(K5259,4)="LVAX",LEFT(K5259,6)="MV15AX",LEFT(K5259,4)="CTAX",LEFT(K5259,2)="W|"),2*N5259*O5259,0)</f>
        <v/>
      </c>
      <c r="Z5259" s="12" t="inlineStr">
        <is>
          <t>VD 1.9 %</t>
        </is>
      </c>
      <c r="AA5259" s="12">
        <f>N5259*O5259</f>
        <v/>
      </c>
    </row>
    <row r="5260">
      <c r="A5260" s="12" t="inlineStr">
        <is>
          <t>J-P-0005</t>
        </is>
      </c>
      <c r="B5260" s="12" t="inlineStr">
        <is>
          <t>J</t>
        </is>
      </c>
      <c r="C5260" s="12" t="inlineStr">
        <is>
          <t>GT inlet chilling</t>
        </is>
      </c>
      <c r="D5260" s="12" t="inlineStr">
        <is>
          <t>LV power feeder</t>
        </is>
      </c>
      <c r="E5260" s="12" t="inlineStr"/>
      <c r="F5260" s="12" t="inlineStr">
        <is>
          <t>Inlet-chilling e-house / transformer</t>
        </is>
      </c>
      <c r="G5260" s="12" t="inlineStr"/>
      <c r="H5260" s="12" t="inlineStr">
        <is>
          <t>CONDITIONAL: TES chilled-water tank</t>
        </is>
      </c>
      <c r="I5260" s="12" t="inlineStr">
        <is>
          <t>LV 600 V</t>
        </is>
      </c>
      <c r="J5260" s="12" t="inlineStr">
        <is>
          <t>Type TC-ER 600 V 3/C Cu XHHW-2 + ground, PVC jacket</t>
        </is>
      </c>
      <c r="K5260" s="12" t="inlineStr">
        <is>
          <t>LV|3/C+G|8</t>
        </is>
      </c>
      <c r="L5260" s="12" t="inlineStr">
        <is>
          <t>3/C+G</t>
        </is>
      </c>
      <c r="M5260" s="12" t="inlineStr">
        <is>
          <t>8</t>
        </is>
      </c>
      <c r="N5260" s="12" t="n">
        <v>1</v>
      </c>
      <c r="O5260" s="12" t="n">
        <v>1</v>
      </c>
      <c r="P5260" s="12" t="n">
        <v>480</v>
      </c>
      <c r="Q5260" s="12" t="n">
        <v>10</v>
      </c>
      <c r="R5260" s="12" t="n">
        <v>14.2</v>
      </c>
      <c r="S5260" s="12" t="inlineStr">
        <is>
          <t>Duct bank</t>
        </is>
      </c>
      <c r="T5260" s="16" t="n">
        <v>271</v>
      </c>
      <c r="U5260" s="16" t="n">
        <v>217</v>
      </c>
      <c r="V5260" s="16">
        <f>ROUNDUP((T5260+U5260+2*'Read Me'!$B$13)*(1+'Read Me'!$B$12),-1)</f>
        <v/>
      </c>
      <c r="W5260" s="16">
        <f>V5260*N5260*O5260</f>
        <v/>
      </c>
      <c r="X5260" s="12">
        <f>IF(LEFT(I5260,2)="MV",2*N5260*IF(L5260="1/C",O5260,1),0)</f>
        <v/>
      </c>
      <c r="Y5260" s="12">
        <f>IF(OR(LEFT(K5260,4)="LVAX",LEFT(K5260,6)="MV15AX",LEFT(K5260,4)="CTAX",LEFT(K5260,2)="W|"),2*N5260*O5260,0)</f>
        <v/>
      </c>
      <c r="Z5260" s="12" t="inlineStr">
        <is>
          <t>VD 2.1 %</t>
        </is>
      </c>
      <c r="AA5260" s="12">
        <f>N5260*O5260</f>
        <v/>
      </c>
    </row>
    <row r="5261">
      <c r="A5261" s="12" t="inlineStr">
        <is>
          <t>J-P-0006</t>
        </is>
      </c>
      <c r="B5261" s="12" t="inlineStr">
        <is>
          <t>J</t>
        </is>
      </c>
      <c r="C5261" s="12" t="inlineStr">
        <is>
          <t>GT inlet chilling</t>
        </is>
      </c>
      <c r="D5261" s="12" t="inlineStr">
        <is>
          <t>Motor 1 of 6, 7 kW</t>
        </is>
      </c>
      <c r="E5261" s="12" t="inlineStr"/>
      <c r="F5261" s="12" t="inlineStr">
        <is>
          <t>Inlet-chilling e-house / transformer</t>
        </is>
      </c>
      <c r="G5261" s="12" t="inlineStr"/>
      <c r="H5261" s="12" t="inlineStr">
        <is>
          <t>Chillers x6 (water-cooled)</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7</v>
      </c>
      <c r="R5261" s="12" t="n">
        <v>9.9</v>
      </c>
      <c r="S5261" s="12" t="inlineStr">
        <is>
          <t>Duct bank</t>
        </is>
      </c>
      <c r="T5261" s="16" t="n">
        <v>10</v>
      </c>
      <c r="U5261" s="16" t="n">
        <v>32</v>
      </c>
      <c r="V5261" s="16">
        <f>ROUNDUP((T5261+U5261+2*'Read Me'!$B$13)*(1+'Read Me'!$B$12),-1)</f>
        <v/>
      </c>
      <c r="W5261" s="16">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J-P-0007</t>
        </is>
      </c>
      <c r="B5262" s="12" t="inlineStr">
        <is>
          <t>J</t>
        </is>
      </c>
      <c r="C5262" s="12" t="inlineStr">
        <is>
          <t>GT inlet chilling</t>
        </is>
      </c>
      <c r="D5262" s="12" t="inlineStr">
        <is>
          <t>Motor 2 of 6, 7 kW</t>
        </is>
      </c>
      <c r="E5262" s="12" t="inlineStr"/>
      <c r="F5262" s="12" t="inlineStr">
        <is>
          <t>Inlet-chilling e-house / transformer</t>
        </is>
      </c>
      <c r="G5262" s="12" t="inlineStr"/>
      <c r="H5262" s="12" t="inlineStr">
        <is>
          <t>Chillers x6 (water-cooled)</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7</v>
      </c>
      <c r="R5262" s="12" t="n">
        <v>9.9</v>
      </c>
      <c r="S5262" s="12" t="inlineStr">
        <is>
          <t>Duct bank</t>
        </is>
      </c>
      <c r="T5262" s="16" t="n">
        <v>10</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is>
          <t>VD 0.2 %</t>
        </is>
      </c>
      <c r="AA5262" s="12">
        <f>N5262*O5262</f>
        <v/>
      </c>
    </row>
    <row r="5263">
      <c r="A5263" s="12" t="inlineStr">
        <is>
          <t>J-P-0008</t>
        </is>
      </c>
      <c r="B5263" s="12" t="inlineStr">
        <is>
          <t>J</t>
        </is>
      </c>
      <c r="C5263" s="12" t="inlineStr">
        <is>
          <t>GT inlet chilling</t>
        </is>
      </c>
      <c r="D5263" s="12" t="inlineStr">
        <is>
          <t>Motor 3 of 6, 7 kW</t>
        </is>
      </c>
      <c r="E5263" s="12" t="inlineStr"/>
      <c r="F5263" s="12" t="inlineStr">
        <is>
          <t>Inlet-chilling e-house / transformer</t>
        </is>
      </c>
      <c r="G5263" s="12" t="inlineStr"/>
      <c r="H5263" s="12" t="inlineStr">
        <is>
          <t>Chillers x6 (water-cooled)</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v>
      </c>
      <c r="R5263" s="12" t="n">
        <v>9.9</v>
      </c>
      <c r="S5263" s="12" t="inlineStr">
        <is>
          <t>Duct bank</t>
        </is>
      </c>
      <c r="T5263" s="16" t="n">
        <v>10</v>
      </c>
      <c r="U5263" s="16" t="n">
        <v>32</v>
      </c>
      <c r="V5263" s="16">
        <f>ROUNDUP((T5263+U5263+2*'Read Me'!$B$13)*(1+'Read Me'!$B$12),-1)</f>
        <v/>
      </c>
      <c r="W5263" s="16">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J-P-0009</t>
        </is>
      </c>
      <c r="B5264" s="12" t="inlineStr">
        <is>
          <t>J</t>
        </is>
      </c>
      <c r="C5264" s="12" t="inlineStr">
        <is>
          <t>GT inlet chilling</t>
        </is>
      </c>
      <c r="D5264" s="12" t="inlineStr">
        <is>
          <t>Motor 4 of 6, 7 kW</t>
        </is>
      </c>
      <c r="E5264" s="12" t="inlineStr"/>
      <c r="F5264" s="12" t="inlineStr">
        <is>
          <t>Inlet-chilling e-house / transformer</t>
        </is>
      </c>
      <c r="G5264" s="12" t="inlineStr"/>
      <c r="H5264" s="12" t="inlineStr">
        <is>
          <t>Chillers x6 (water-cooled)</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v>
      </c>
      <c r="R5264" s="12" t="n">
        <v>9.9</v>
      </c>
      <c r="S5264" s="12" t="inlineStr">
        <is>
          <t>Duct bank</t>
        </is>
      </c>
      <c r="T5264" s="16" t="n">
        <v>10</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J-P-0010</t>
        </is>
      </c>
      <c r="B5265" s="12" t="inlineStr">
        <is>
          <t>J</t>
        </is>
      </c>
      <c r="C5265" s="12" t="inlineStr">
        <is>
          <t>GT inlet chilling</t>
        </is>
      </c>
      <c r="D5265" s="12" t="inlineStr">
        <is>
          <t>Motor 5 of 6, 7 kW</t>
        </is>
      </c>
      <c r="E5265" s="12" t="inlineStr"/>
      <c r="F5265" s="12" t="inlineStr">
        <is>
          <t>Inlet-chilling e-house / transformer</t>
        </is>
      </c>
      <c r="G5265" s="12" t="inlineStr"/>
      <c r="H5265" s="12" t="inlineStr">
        <is>
          <t>Chillers x6 (water-cooled)</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v>
      </c>
      <c r="R5265" s="12" t="n">
        <v>9.9</v>
      </c>
      <c r="S5265" s="12" t="inlineStr">
        <is>
          <t>Duct bank</t>
        </is>
      </c>
      <c r="T5265" s="16" t="n">
        <v>10</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is>
          <t>VD 0.2 %</t>
        </is>
      </c>
      <c r="AA5265" s="12">
        <f>N5265*O5265</f>
        <v/>
      </c>
    </row>
    <row r="5266">
      <c r="A5266" s="12" t="inlineStr">
        <is>
          <t>J-P-0011</t>
        </is>
      </c>
      <c r="B5266" s="12" t="inlineStr">
        <is>
          <t>J</t>
        </is>
      </c>
      <c r="C5266" s="12" t="inlineStr">
        <is>
          <t>GT inlet chilling</t>
        </is>
      </c>
      <c r="D5266" s="12" t="inlineStr">
        <is>
          <t>Motor 6 of 6, 7 kW</t>
        </is>
      </c>
      <c r="E5266" s="12" t="inlineStr"/>
      <c r="F5266" s="12" t="inlineStr">
        <is>
          <t>Inlet-chilling e-house / transformer</t>
        </is>
      </c>
      <c r="G5266" s="12" t="inlineStr"/>
      <c r="H5266" s="12" t="inlineStr">
        <is>
          <t>Chillers x6 (water-cooled)</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7</v>
      </c>
      <c r="R5266" s="12" t="n">
        <v>9.9</v>
      </c>
      <c r="S5266" s="12" t="inlineStr">
        <is>
          <t>Duct bank</t>
        </is>
      </c>
      <c r="T5266" s="16" t="n">
        <v>10</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0.2 %</t>
        </is>
      </c>
      <c r="AA5266" s="12">
        <f>N5266*O5266</f>
        <v/>
      </c>
    </row>
    <row r="5267">
      <c r="A5267" s="12" t="inlineStr">
        <is>
          <t>J-P-0012</t>
        </is>
      </c>
      <c r="B5267" s="12" t="inlineStr">
        <is>
          <t>J</t>
        </is>
      </c>
      <c r="C5267" s="12" t="inlineStr">
        <is>
          <t>GT inlet chilling</t>
        </is>
      </c>
      <c r="D5267" s="12" t="inlineStr">
        <is>
          <t>Motor 1 of 12, 75 kW (VFD output)</t>
        </is>
      </c>
      <c r="E5267" s="12" t="inlineStr"/>
      <c r="F5267" s="12" t="inlineStr">
        <is>
          <t>Inlet-chilling e-house / transformer</t>
        </is>
      </c>
      <c r="G5267" s="12" t="inlineStr"/>
      <c r="H5267" s="12" t="inlineStr">
        <is>
          <t>Inlet-chilling tower (12 cells): chiller heat rejection</t>
        </is>
      </c>
      <c r="I5267" s="12" t="inlineStr">
        <is>
          <t>LV 600 V</t>
        </is>
      </c>
      <c r="J5267" s="12" t="inlineStr">
        <is>
          <t>VFD cable 600 V 3/C Cu XHHW-2, 3 symmetrical grounds, overall Cu tape shield, TC-ER</t>
        </is>
      </c>
      <c r="K5267" s="12" t="inlineStr">
        <is>
          <t>VFD|3/C+3G|2/0</t>
        </is>
      </c>
      <c r="L5267" s="12" t="inlineStr">
        <is>
          <t>3/C+3G</t>
        </is>
      </c>
      <c r="M5267" s="12" t="inlineStr">
        <is>
          <t>2/0</t>
        </is>
      </c>
      <c r="N5267" s="12" t="n">
        <v>1</v>
      </c>
      <c r="O5267" s="12" t="n">
        <v>1</v>
      </c>
      <c r="P5267" s="12" t="n">
        <v>480</v>
      </c>
      <c r="Q5267" s="12" t="n">
        <v>75</v>
      </c>
      <c r="R5267" s="12" t="n">
        <v>106</v>
      </c>
      <c r="S5267" s="12" t="inlineStr">
        <is>
          <t>Duct bank</t>
        </is>
      </c>
      <c r="T5267" s="16" t="n">
        <v>683</v>
      </c>
      <c r="U5267" s="16" t="n">
        <v>38</v>
      </c>
      <c r="V5267" s="16">
        <f>ROUNDUP((T5267+U5267+2*'Read Me'!$B$13)*(1+'Read Me'!$B$12),-1)</f>
        <v/>
      </c>
      <c r="W5267" s="16">
        <f>V5267*N5267*O5267</f>
        <v/>
      </c>
      <c r="X5267" s="12">
        <f>IF(LEFT(I5267,2)="MV",2*N5267*IF(L5267="1/C",O5267,1),0)</f>
        <v/>
      </c>
      <c r="Y5267" s="12">
        <f>IF(OR(LEFT(K5267,4)="LVAX",LEFT(K5267,6)="MV15AX",LEFT(K5267,4)="CTAX",LEFT(K5267,2)="W|"),2*N5267*O5267,0)</f>
        <v/>
      </c>
      <c r="Z5267" s="12" t="inlineStr">
        <is>
          <t>VD 2.9 %</t>
        </is>
      </c>
      <c r="AA5267" s="12">
        <f>N5267*O5267</f>
        <v/>
      </c>
    </row>
    <row r="5268">
      <c r="A5268" s="12" t="inlineStr">
        <is>
          <t>J-P-0013</t>
        </is>
      </c>
      <c r="B5268" s="12" t="inlineStr">
        <is>
          <t>J</t>
        </is>
      </c>
      <c r="C5268" s="12" t="inlineStr">
        <is>
          <t>GT inlet chilling</t>
        </is>
      </c>
      <c r="D5268" s="12" t="inlineStr">
        <is>
          <t>Motor 2 of 12, 75 kW (VFD output)</t>
        </is>
      </c>
      <c r="E5268" s="12" t="inlineStr"/>
      <c r="F5268" s="12" t="inlineStr">
        <is>
          <t>Inlet-chilling e-house / transformer</t>
        </is>
      </c>
      <c r="G5268" s="12" t="inlineStr"/>
      <c r="H5268" s="12" t="inlineStr">
        <is>
          <t>Inlet-chilling tower (12 cells): chiller heat rejection</t>
        </is>
      </c>
      <c r="I5268" s="12" t="inlineStr">
        <is>
          <t>LV 600 V</t>
        </is>
      </c>
      <c r="J5268" s="12" t="inlineStr">
        <is>
          <t>VFD cable 600 V 3/C Cu XHHW-2, 3 symmetrical grounds, overall Cu tape shield, TC-ER</t>
        </is>
      </c>
      <c r="K5268" s="12" t="inlineStr">
        <is>
          <t>VFD|3/C+3G|2/0</t>
        </is>
      </c>
      <c r="L5268" s="12" t="inlineStr">
        <is>
          <t>3/C+3G</t>
        </is>
      </c>
      <c r="M5268" s="12" t="inlineStr">
        <is>
          <t>2/0</t>
        </is>
      </c>
      <c r="N5268" s="12" t="n">
        <v>1</v>
      </c>
      <c r="O5268" s="12" t="n">
        <v>1</v>
      </c>
      <c r="P5268" s="12" t="n">
        <v>480</v>
      </c>
      <c r="Q5268" s="12" t="n">
        <v>75</v>
      </c>
      <c r="R5268" s="12" t="n">
        <v>106</v>
      </c>
      <c r="S5268" s="12" t="inlineStr">
        <is>
          <t>Duct bank</t>
        </is>
      </c>
      <c r="T5268" s="16" t="n">
        <v>683</v>
      </c>
      <c r="U5268" s="16" t="n">
        <v>38</v>
      </c>
      <c r="V5268" s="16">
        <f>ROUNDUP((T5268+U5268+2*'Read Me'!$B$13)*(1+'Read Me'!$B$12),-1)</f>
        <v/>
      </c>
      <c r="W5268" s="16">
        <f>V5268*N5268*O5268</f>
        <v/>
      </c>
      <c r="X5268" s="12">
        <f>IF(LEFT(I5268,2)="MV",2*N5268*IF(L5268="1/C",O5268,1),0)</f>
        <v/>
      </c>
      <c r="Y5268" s="12">
        <f>IF(OR(LEFT(K5268,4)="LVAX",LEFT(K5268,6)="MV15AX",LEFT(K5268,4)="CTAX",LEFT(K5268,2)="W|"),2*N5268*O5268,0)</f>
        <v/>
      </c>
      <c r="Z5268" s="12" t="inlineStr">
        <is>
          <t>VD 2.9 %</t>
        </is>
      </c>
      <c r="AA5268" s="12">
        <f>N5268*O5268</f>
        <v/>
      </c>
    </row>
    <row r="5269">
      <c r="A5269" s="12" t="inlineStr">
        <is>
          <t>J-P-0014</t>
        </is>
      </c>
      <c r="B5269" s="12" t="inlineStr">
        <is>
          <t>J</t>
        </is>
      </c>
      <c r="C5269" s="12" t="inlineStr">
        <is>
          <t>GT inlet chilling</t>
        </is>
      </c>
      <c r="D5269" s="12" t="inlineStr">
        <is>
          <t>Motor 3 of 12, 75 kW (VFD output)</t>
        </is>
      </c>
      <c r="E5269" s="12" t="inlineStr"/>
      <c r="F5269" s="12" t="inlineStr">
        <is>
          <t>Inlet-chilling e-house / transformer</t>
        </is>
      </c>
      <c r="G5269" s="12" t="inlineStr"/>
      <c r="H5269" s="12" t="inlineStr">
        <is>
          <t>Inlet-chilling tower (12 cells): chiller heat rejection</t>
        </is>
      </c>
      <c r="I5269" s="12" t="inlineStr">
        <is>
          <t>LV 600 V</t>
        </is>
      </c>
      <c r="J5269" s="12" t="inlineStr">
        <is>
          <t>VFD cable 600 V 3/C Cu XHHW-2, 3 symmetrical grounds, overall Cu tape shield, TC-ER</t>
        </is>
      </c>
      <c r="K5269" s="12" t="inlineStr">
        <is>
          <t>VFD|3/C+3G|2/0</t>
        </is>
      </c>
      <c r="L5269" s="12" t="inlineStr">
        <is>
          <t>3/C+3G</t>
        </is>
      </c>
      <c r="M5269" s="12" t="inlineStr">
        <is>
          <t>2/0</t>
        </is>
      </c>
      <c r="N5269" s="12" t="n">
        <v>1</v>
      </c>
      <c r="O5269" s="12" t="n">
        <v>1</v>
      </c>
      <c r="P5269" s="12" t="n">
        <v>480</v>
      </c>
      <c r="Q5269" s="12" t="n">
        <v>75</v>
      </c>
      <c r="R5269" s="12" t="n">
        <v>106</v>
      </c>
      <c r="S5269" s="12" t="inlineStr">
        <is>
          <t>Duct bank</t>
        </is>
      </c>
      <c r="T5269" s="16" t="n">
        <v>683</v>
      </c>
      <c r="U5269" s="16" t="n">
        <v>38</v>
      </c>
      <c r="V5269" s="16">
        <f>ROUNDUP((T5269+U5269+2*'Read Me'!$B$13)*(1+'Read Me'!$B$12),-1)</f>
        <v/>
      </c>
      <c r="W5269" s="16">
        <f>V5269*N5269*O5269</f>
        <v/>
      </c>
      <c r="X5269" s="12">
        <f>IF(LEFT(I5269,2)="MV",2*N5269*IF(L5269="1/C",O5269,1),0)</f>
        <v/>
      </c>
      <c r="Y5269" s="12">
        <f>IF(OR(LEFT(K5269,4)="LVAX",LEFT(K5269,6)="MV15AX",LEFT(K5269,4)="CTAX",LEFT(K5269,2)="W|"),2*N5269*O5269,0)</f>
        <v/>
      </c>
      <c r="Z5269" s="12" t="inlineStr">
        <is>
          <t>VD 2.9 %</t>
        </is>
      </c>
      <c r="AA5269" s="12">
        <f>N5269*O5269</f>
        <v/>
      </c>
    </row>
    <row r="5270">
      <c r="A5270" s="12" t="inlineStr">
        <is>
          <t>J-P-0015</t>
        </is>
      </c>
      <c r="B5270" s="12" t="inlineStr">
        <is>
          <t>J</t>
        </is>
      </c>
      <c r="C5270" s="12" t="inlineStr">
        <is>
          <t>GT inlet chilling</t>
        </is>
      </c>
      <c r="D5270" s="12" t="inlineStr">
        <is>
          <t>Motor 4 of 12, 75 kW (VFD output)</t>
        </is>
      </c>
      <c r="E5270" s="12" t="inlineStr"/>
      <c r="F5270" s="12" t="inlineStr">
        <is>
          <t>Inlet-chilling e-house / transformer</t>
        </is>
      </c>
      <c r="G5270" s="12" t="inlineStr"/>
      <c r="H5270" s="12" t="inlineStr">
        <is>
          <t>Inlet-chilling tower (12 cells): chiller heat rejection</t>
        </is>
      </c>
      <c r="I5270" s="12" t="inlineStr">
        <is>
          <t>LV 600 V</t>
        </is>
      </c>
      <c r="J5270" s="12" t="inlineStr">
        <is>
          <t>VFD cable 600 V 3/C Cu XHHW-2, 3 symmetrical grounds, overall Cu tape shield, TC-ER</t>
        </is>
      </c>
      <c r="K5270" s="12" t="inlineStr">
        <is>
          <t>VFD|3/C+3G|2/0</t>
        </is>
      </c>
      <c r="L5270" s="12" t="inlineStr">
        <is>
          <t>3/C+3G</t>
        </is>
      </c>
      <c r="M5270" s="12" t="inlineStr">
        <is>
          <t>2/0</t>
        </is>
      </c>
      <c r="N5270" s="12" t="n">
        <v>1</v>
      </c>
      <c r="O5270" s="12" t="n">
        <v>1</v>
      </c>
      <c r="P5270" s="12" t="n">
        <v>480</v>
      </c>
      <c r="Q5270" s="12" t="n">
        <v>75</v>
      </c>
      <c r="R5270" s="12" t="n">
        <v>106</v>
      </c>
      <c r="S5270" s="12" t="inlineStr">
        <is>
          <t>Duct bank</t>
        </is>
      </c>
      <c r="T5270" s="16" t="n">
        <v>683</v>
      </c>
      <c r="U5270" s="16" t="n">
        <v>38</v>
      </c>
      <c r="V5270" s="16">
        <f>ROUNDUP((T5270+U5270+2*'Read Me'!$B$13)*(1+'Read Me'!$B$12),-1)</f>
        <v/>
      </c>
      <c r="W5270" s="16">
        <f>V5270*N5270*O5270</f>
        <v/>
      </c>
      <c r="X5270" s="12">
        <f>IF(LEFT(I5270,2)="MV",2*N5270*IF(L5270="1/C",O5270,1),0)</f>
        <v/>
      </c>
      <c r="Y5270" s="12">
        <f>IF(OR(LEFT(K5270,4)="LVAX",LEFT(K5270,6)="MV15AX",LEFT(K5270,4)="CTAX",LEFT(K5270,2)="W|"),2*N5270*O5270,0)</f>
        <v/>
      </c>
      <c r="Z5270" s="12" t="inlineStr">
        <is>
          <t>VD 2.9 %</t>
        </is>
      </c>
      <c r="AA5270" s="12">
        <f>N5270*O5270</f>
        <v/>
      </c>
    </row>
    <row r="5271">
      <c r="A5271" s="12" t="inlineStr">
        <is>
          <t>J-P-0016</t>
        </is>
      </c>
      <c r="B5271" s="12" t="inlineStr">
        <is>
          <t>J</t>
        </is>
      </c>
      <c r="C5271" s="12" t="inlineStr">
        <is>
          <t>GT inlet chilling</t>
        </is>
      </c>
      <c r="D5271" s="12" t="inlineStr">
        <is>
          <t>Motor 5 of 12, 75 kW (VFD output)</t>
        </is>
      </c>
      <c r="E5271" s="12" t="inlineStr"/>
      <c r="F5271" s="12" t="inlineStr">
        <is>
          <t>Inlet-chilling e-house / transformer</t>
        </is>
      </c>
      <c r="G5271" s="12" t="inlineStr"/>
      <c r="H5271" s="12" t="inlineStr">
        <is>
          <t>Inlet-chilling tower (12 cells): chiller heat rejection</t>
        </is>
      </c>
      <c r="I5271" s="12" t="inlineStr">
        <is>
          <t>LV 600 V</t>
        </is>
      </c>
      <c r="J5271" s="12" t="inlineStr">
        <is>
          <t>VFD cable 600 V 3/C Cu XHHW-2, 3 symmetrical grounds, overall Cu tape shield, TC-ER</t>
        </is>
      </c>
      <c r="K5271" s="12" t="inlineStr">
        <is>
          <t>VFD|3/C+3G|2/0</t>
        </is>
      </c>
      <c r="L5271" s="12" t="inlineStr">
        <is>
          <t>3/C+3G</t>
        </is>
      </c>
      <c r="M5271" s="12" t="inlineStr">
        <is>
          <t>2/0</t>
        </is>
      </c>
      <c r="N5271" s="12" t="n">
        <v>1</v>
      </c>
      <c r="O5271" s="12" t="n">
        <v>1</v>
      </c>
      <c r="P5271" s="12" t="n">
        <v>480</v>
      </c>
      <c r="Q5271" s="12" t="n">
        <v>75</v>
      </c>
      <c r="R5271" s="12" t="n">
        <v>106</v>
      </c>
      <c r="S5271" s="12" t="inlineStr">
        <is>
          <t>Duct bank</t>
        </is>
      </c>
      <c r="T5271" s="16" t="n">
        <v>683</v>
      </c>
      <c r="U5271" s="16" t="n">
        <v>38</v>
      </c>
      <c r="V5271" s="16">
        <f>ROUNDUP((T5271+U5271+2*'Read Me'!$B$13)*(1+'Read Me'!$B$12),-1)</f>
        <v/>
      </c>
      <c r="W5271" s="16">
        <f>V5271*N5271*O5271</f>
        <v/>
      </c>
      <c r="X5271" s="12">
        <f>IF(LEFT(I5271,2)="MV",2*N5271*IF(L5271="1/C",O5271,1),0)</f>
        <v/>
      </c>
      <c r="Y5271" s="12">
        <f>IF(OR(LEFT(K5271,4)="LVAX",LEFT(K5271,6)="MV15AX",LEFT(K5271,4)="CTAX",LEFT(K5271,2)="W|"),2*N5271*O5271,0)</f>
        <v/>
      </c>
      <c r="Z5271" s="12" t="inlineStr">
        <is>
          <t>VD 2.9 %</t>
        </is>
      </c>
      <c r="AA5271" s="12">
        <f>N5271*O5271</f>
        <v/>
      </c>
    </row>
    <row r="5272">
      <c r="A5272" s="12" t="inlineStr">
        <is>
          <t>J-P-0017</t>
        </is>
      </c>
      <c r="B5272" s="12" t="inlineStr">
        <is>
          <t>J</t>
        </is>
      </c>
      <c r="C5272" s="12" t="inlineStr">
        <is>
          <t>GT inlet chilling</t>
        </is>
      </c>
      <c r="D5272" s="12" t="inlineStr">
        <is>
          <t>Motor 6 of 12, 75 kW (VFD output)</t>
        </is>
      </c>
      <c r="E5272" s="12" t="inlineStr"/>
      <c r="F5272" s="12" t="inlineStr">
        <is>
          <t>Inlet-chilling e-house / transformer</t>
        </is>
      </c>
      <c r="G5272" s="12" t="inlineStr"/>
      <c r="H5272" s="12" t="inlineStr">
        <is>
          <t>Inlet-chilling tower (12 cells): chiller heat rejection</t>
        </is>
      </c>
      <c r="I5272" s="12" t="inlineStr">
        <is>
          <t>LV 600 V</t>
        </is>
      </c>
      <c r="J5272" s="12" t="inlineStr">
        <is>
          <t>VFD cable 600 V 3/C Cu XHHW-2, 3 symmetrical grounds, overall Cu tape shield, TC-ER</t>
        </is>
      </c>
      <c r="K5272" s="12" t="inlineStr">
        <is>
          <t>VFD|3/C+3G|2/0</t>
        </is>
      </c>
      <c r="L5272" s="12" t="inlineStr">
        <is>
          <t>3/C+3G</t>
        </is>
      </c>
      <c r="M5272" s="12" t="inlineStr">
        <is>
          <t>2/0</t>
        </is>
      </c>
      <c r="N5272" s="12" t="n">
        <v>1</v>
      </c>
      <c r="O5272" s="12" t="n">
        <v>1</v>
      </c>
      <c r="P5272" s="12" t="n">
        <v>480</v>
      </c>
      <c r="Q5272" s="12" t="n">
        <v>75</v>
      </c>
      <c r="R5272" s="12" t="n">
        <v>106</v>
      </c>
      <c r="S5272" s="12" t="inlineStr">
        <is>
          <t>Duct bank</t>
        </is>
      </c>
      <c r="T5272" s="16" t="n">
        <v>683</v>
      </c>
      <c r="U5272" s="16" t="n">
        <v>38</v>
      </c>
      <c r="V5272" s="16">
        <f>ROUNDUP((T5272+U5272+2*'Read Me'!$B$13)*(1+'Read Me'!$B$12),-1)</f>
        <v/>
      </c>
      <c r="W5272" s="16">
        <f>V5272*N5272*O5272</f>
        <v/>
      </c>
      <c r="X5272" s="12">
        <f>IF(LEFT(I5272,2)="MV",2*N5272*IF(L5272="1/C",O5272,1),0)</f>
        <v/>
      </c>
      <c r="Y5272" s="12">
        <f>IF(OR(LEFT(K5272,4)="LVAX",LEFT(K5272,6)="MV15AX",LEFT(K5272,4)="CTAX",LEFT(K5272,2)="W|"),2*N5272*O5272,0)</f>
        <v/>
      </c>
      <c r="Z5272" s="12" t="inlineStr">
        <is>
          <t>VD 2.9 %</t>
        </is>
      </c>
      <c r="AA5272" s="12">
        <f>N5272*O5272</f>
        <v/>
      </c>
    </row>
    <row r="5273">
      <c r="A5273" s="12" t="inlineStr">
        <is>
          <t>J-P-0018</t>
        </is>
      </c>
      <c r="B5273" s="12" t="inlineStr">
        <is>
          <t>J</t>
        </is>
      </c>
      <c r="C5273" s="12" t="inlineStr">
        <is>
          <t>GT inlet chilling</t>
        </is>
      </c>
      <c r="D5273" s="12" t="inlineStr">
        <is>
          <t>Motor 7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VFD|3/C+3G|2/0</t>
        </is>
      </c>
      <c r="L5273" s="12" t="inlineStr">
        <is>
          <t>3/C+3G</t>
        </is>
      </c>
      <c r="M5273" s="12" t="inlineStr">
        <is>
          <t>2/0</t>
        </is>
      </c>
      <c r="N5273" s="12" t="n">
        <v>1</v>
      </c>
      <c r="O5273" s="12" t="n">
        <v>1</v>
      </c>
      <c r="P5273" s="12" t="n">
        <v>480</v>
      </c>
      <c r="Q5273" s="12" t="n">
        <v>75</v>
      </c>
      <c r="R5273" s="12" t="n">
        <v>106</v>
      </c>
      <c r="S5273" s="12" t="inlineStr">
        <is>
          <t>Duct bank</t>
        </is>
      </c>
      <c r="T5273" s="16" t="n">
        <v>683</v>
      </c>
      <c r="U5273" s="16" t="n">
        <v>38</v>
      </c>
      <c r="V5273" s="16">
        <f>ROUNDUP((T5273+U5273+2*'Read Me'!$B$13)*(1+'Read Me'!$B$12),-1)</f>
        <v/>
      </c>
      <c r="W5273" s="16">
        <f>V5273*N5273*O5273</f>
        <v/>
      </c>
      <c r="X5273" s="12">
        <f>IF(LEFT(I5273,2)="MV",2*N5273*IF(L5273="1/C",O5273,1),0)</f>
        <v/>
      </c>
      <c r="Y5273" s="12">
        <f>IF(OR(LEFT(K5273,4)="LVAX",LEFT(K5273,6)="MV15AX",LEFT(K5273,4)="CTAX",LEFT(K5273,2)="W|"),2*N5273*O5273,0)</f>
        <v/>
      </c>
      <c r="Z5273" s="12" t="inlineStr">
        <is>
          <t>VD 2.9 %</t>
        </is>
      </c>
      <c r="AA5273" s="12">
        <f>N5273*O5273</f>
        <v/>
      </c>
    </row>
    <row r="5274">
      <c r="A5274" s="12" t="inlineStr">
        <is>
          <t>J-P-0019</t>
        </is>
      </c>
      <c r="B5274" s="12" t="inlineStr">
        <is>
          <t>J</t>
        </is>
      </c>
      <c r="C5274" s="12" t="inlineStr">
        <is>
          <t>GT inlet chilling</t>
        </is>
      </c>
      <c r="D5274" s="12" t="inlineStr">
        <is>
          <t>Motor 8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VFD|3/C+3G|2/0</t>
        </is>
      </c>
      <c r="L5274" s="12" t="inlineStr">
        <is>
          <t>3/C+3G</t>
        </is>
      </c>
      <c r="M5274" s="12" t="inlineStr">
        <is>
          <t>2/0</t>
        </is>
      </c>
      <c r="N5274" s="12" t="n">
        <v>1</v>
      </c>
      <c r="O5274" s="12" t="n">
        <v>1</v>
      </c>
      <c r="P5274" s="12" t="n">
        <v>480</v>
      </c>
      <c r="Q5274" s="12" t="n">
        <v>75</v>
      </c>
      <c r="R5274" s="12" t="n">
        <v>106</v>
      </c>
      <c r="S5274" s="12" t="inlineStr">
        <is>
          <t>Duct bank</t>
        </is>
      </c>
      <c r="T5274" s="16" t="n">
        <v>683</v>
      </c>
      <c r="U5274" s="16" t="n">
        <v>38</v>
      </c>
      <c r="V5274" s="16">
        <f>ROUNDUP((T5274+U5274+2*'Read Me'!$B$13)*(1+'Read Me'!$B$12),-1)</f>
        <v/>
      </c>
      <c r="W5274" s="16">
        <f>V5274*N5274*O5274</f>
        <v/>
      </c>
      <c r="X5274" s="12">
        <f>IF(LEFT(I5274,2)="MV",2*N5274*IF(L5274="1/C",O5274,1),0)</f>
        <v/>
      </c>
      <c r="Y5274" s="12">
        <f>IF(OR(LEFT(K5274,4)="LVAX",LEFT(K5274,6)="MV15AX",LEFT(K5274,4)="CTAX",LEFT(K5274,2)="W|"),2*N5274*O5274,0)</f>
        <v/>
      </c>
      <c r="Z5274" s="12" t="inlineStr">
        <is>
          <t>VD 2.9 %</t>
        </is>
      </c>
      <c r="AA5274" s="12">
        <f>N5274*O5274</f>
        <v/>
      </c>
    </row>
    <row r="5275">
      <c r="A5275" s="12" t="inlineStr">
        <is>
          <t>J-P-0020</t>
        </is>
      </c>
      <c r="B5275" s="12" t="inlineStr">
        <is>
          <t>J</t>
        </is>
      </c>
      <c r="C5275" s="12" t="inlineStr">
        <is>
          <t>GT inlet chilling</t>
        </is>
      </c>
      <c r="D5275" s="12" t="inlineStr">
        <is>
          <t>Motor 9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VFD|3/C+3G|2/0</t>
        </is>
      </c>
      <c r="L5275" s="12" t="inlineStr">
        <is>
          <t>3/C+3G</t>
        </is>
      </c>
      <c r="M5275" s="12" t="inlineStr">
        <is>
          <t>2/0</t>
        </is>
      </c>
      <c r="N5275" s="12" t="n">
        <v>1</v>
      </c>
      <c r="O5275" s="12" t="n">
        <v>1</v>
      </c>
      <c r="P5275" s="12" t="n">
        <v>480</v>
      </c>
      <c r="Q5275" s="12" t="n">
        <v>75</v>
      </c>
      <c r="R5275" s="12" t="n">
        <v>106</v>
      </c>
      <c r="S5275" s="12" t="inlineStr">
        <is>
          <t>Duct bank</t>
        </is>
      </c>
      <c r="T5275" s="16" t="n">
        <v>683</v>
      </c>
      <c r="U5275" s="16" t="n">
        <v>38</v>
      </c>
      <c r="V5275" s="16">
        <f>ROUNDUP((T5275+U5275+2*'Read Me'!$B$13)*(1+'Read Me'!$B$12),-1)</f>
        <v/>
      </c>
      <c r="W5275" s="16">
        <f>V5275*N5275*O5275</f>
        <v/>
      </c>
      <c r="X5275" s="12">
        <f>IF(LEFT(I5275,2)="MV",2*N5275*IF(L5275="1/C",O5275,1),0)</f>
        <v/>
      </c>
      <c r="Y5275" s="12">
        <f>IF(OR(LEFT(K5275,4)="LVAX",LEFT(K5275,6)="MV15AX",LEFT(K5275,4)="CTAX",LEFT(K5275,2)="W|"),2*N5275*O5275,0)</f>
        <v/>
      </c>
      <c r="Z5275" s="12" t="inlineStr">
        <is>
          <t>VD 2.9 %</t>
        </is>
      </c>
      <c r="AA5275" s="12">
        <f>N5275*O5275</f>
        <v/>
      </c>
    </row>
    <row r="5276">
      <c r="A5276" s="12" t="inlineStr">
        <is>
          <t>J-P-0021</t>
        </is>
      </c>
      <c r="B5276" s="12" t="inlineStr">
        <is>
          <t>J</t>
        </is>
      </c>
      <c r="C5276" s="12" t="inlineStr">
        <is>
          <t>GT inlet chilling</t>
        </is>
      </c>
      <c r="D5276" s="12" t="inlineStr">
        <is>
          <t>Motor 10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VFD|3/C+3G|2/0</t>
        </is>
      </c>
      <c r="L5276" s="12" t="inlineStr">
        <is>
          <t>3/C+3G</t>
        </is>
      </c>
      <c r="M5276" s="12" t="inlineStr">
        <is>
          <t>2/0</t>
        </is>
      </c>
      <c r="N5276" s="12" t="n">
        <v>1</v>
      </c>
      <c r="O5276" s="12" t="n">
        <v>1</v>
      </c>
      <c r="P5276" s="12" t="n">
        <v>480</v>
      </c>
      <c r="Q5276" s="12" t="n">
        <v>75</v>
      </c>
      <c r="R5276" s="12" t="n">
        <v>106</v>
      </c>
      <c r="S5276" s="12" t="inlineStr">
        <is>
          <t>Duct bank</t>
        </is>
      </c>
      <c r="T5276" s="16" t="n">
        <v>683</v>
      </c>
      <c r="U5276" s="16" t="n">
        <v>38</v>
      </c>
      <c r="V5276" s="16">
        <f>ROUNDUP((T5276+U5276+2*'Read Me'!$B$13)*(1+'Read Me'!$B$12),-1)</f>
        <v/>
      </c>
      <c r="W5276" s="16">
        <f>V5276*N5276*O5276</f>
        <v/>
      </c>
      <c r="X5276" s="12">
        <f>IF(LEFT(I5276,2)="MV",2*N5276*IF(L5276="1/C",O5276,1),0)</f>
        <v/>
      </c>
      <c r="Y5276" s="12">
        <f>IF(OR(LEFT(K5276,4)="LVAX",LEFT(K5276,6)="MV15AX",LEFT(K5276,4)="CTAX",LEFT(K5276,2)="W|"),2*N5276*O5276,0)</f>
        <v/>
      </c>
      <c r="Z5276" s="12" t="inlineStr">
        <is>
          <t>VD 2.9 %</t>
        </is>
      </c>
      <c r="AA5276" s="12">
        <f>N5276*O5276</f>
        <v/>
      </c>
    </row>
    <row r="5277">
      <c r="A5277" s="12" t="inlineStr">
        <is>
          <t>J-P-0022</t>
        </is>
      </c>
      <c r="B5277" s="12" t="inlineStr">
        <is>
          <t>J</t>
        </is>
      </c>
      <c r="C5277" s="12" t="inlineStr">
        <is>
          <t>GT inlet chilling</t>
        </is>
      </c>
      <c r="D5277" s="12" t="inlineStr">
        <is>
          <t>Motor 11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VFD|3/C+3G|2/0</t>
        </is>
      </c>
      <c r="L5277" s="12" t="inlineStr">
        <is>
          <t>3/C+3G</t>
        </is>
      </c>
      <c r="M5277" s="12" t="inlineStr">
        <is>
          <t>2/0</t>
        </is>
      </c>
      <c r="N5277" s="12" t="n">
        <v>1</v>
      </c>
      <c r="O5277" s="12" t="n">
        <v>1</v>
      </c>
      <c r="P5277" s="12" t="n">
        <v>480</v>
      </c>
      <c r="Q5277" s="12" t="n">
        <v>75</v>
      </c>
      <c r="R5277" s="12" t="n">
        <v>106</v>
      </c>
      <c r="S5277" s="12" t="inlineStr">
        <is>
          <t>Duct bank</t>
        </is>
      </c>
      <c r="T5277" s="16" t="n">
        <v>683</v>
      </c>
      <c r="U5277" s="16" t="n">
        <v>38</v>
      </c>
      <c r="V5277" s="16">
        <f>ROUNDUP((T5277+U5277+2*'Read Me'!$B$13)*(1+'Read Me'!$B$12),-1)</f>
        <v/>
      </c>
      <c r="W5277" s="16">
        <f>V5277*N5277*O5277</f>
        <v/>
      </c>
      <c r="X5277" s="12">
        <f>IF(LEFT(I5277,2)="MV",2*N5277*IF(L5277="1/C",O5277,1),0)</f>
        <v/>
      </c>
      <c r="Y5277" s="12">
        <f>IF(OR(LEFT(K5277,4)="LVAX",LEFT(K5277,6)="MV15AX",LEFT(K5277,4)="CTAX",LEFT(K5277,2)="W|"),2*N5277*O5277,0)</f>
        <v/>
      </c>
      <c r="Z5277" s="12" t="inlineStr">
        <is>
          <t>VD 2.9 %</t>
        </is>
      </c>
      <c r="AA5277" s="12">
        <f>N5277*O5277</f>
        <v/>
      </c>
    </row>
    <row r="5278">
      <c r="A5278" s="12" t="inlineStr">
        <is>
          <t>J-P-0023</t>
        </is>
      </c>
      <c r="B5278" s="12" t="inlineStr">
        <is>
          <t>J</t>
        </is>
      </c>
      <c r="C5278" s="12" t="inlineStr">
        <is>
          <t>GT inlet chilling</t>
        </is>
      </c>
      <c r="D5278" s="12" t="inlineStr">
        <is>
          <t>Motor 12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VFD|3/C+3G|2/0</t>
        </is>
      </c>
      <c r="L5278" s="12" t="inlineStr">
        <is>
          <t>3/C+3G</t>
        </is>
      </c>
      <c r="M5278" s="12" t="inlineStr">
        <is>
          <t>2/0</t>
        </is>
      </c>
      <c r="N5278" s="12" t="n">
        <v>1</v>
      </c>
      <c r="O5278" s="12" t="n">
        <v>1</v>
      </c>
      <c r="P5278" s="12" t="n">
        <v>480</v>
      </c>
      <c r="Q5278" s="12" t="n">
        <v>75</v>
      </c>
      <c r="R5278" s="12" t="n">
        <v>106</v>
      </c>
      <c r="S5278" s="12" t="inlineStr">
        <is>
          <t>Duct bank</t>
        </is>
      </c>
      <c r="T5278" s="16" t="n">
        <v>683</v>
      </c>
      <c r="U5278" s="16" t="n">
        <v>38</v>
      </c>
      <c r="V5278" s="16">
        <f>ROUNDUP((T5278+U5278+2*'Read Me'!$B$13)*(1+'Read Me'!$B$12),-1)</f>
        <v/>
      </c>
      <c r="W5278" s="16">
        <f>V5278*N5278*O5278</f>
        <v/>
      </c>
      <c r="X5278" s="12">
        <f>IF(LEFT(I5278,2)="MV",2*N5278*IF(L5278="1/C",O5278,1),0)</f>
        <v/>
      </c>
      <c r="Y5278" s="12">
        <f>IF(OR(LEFT(K5278,4)="LVAX",LEFT(K5278,6)="MV15AX",LEFT(K5278,4)="CTAX",LEFT(K5278,2)="W|"),2*N5278*O5278,0)</f>
        <v/>
      </c>
      <c r="Z5278" s="12" t="inlineStr">
        <is>
          <t>VD 2.9 %</t>
        </is>
      </c>
      <c r="AA5278" s="12">
        <f>N5278*O5278</f>
        <v/>
      </c>
    </row>
    <row r="5279">
      <c r="A5279" s="12" t="inlineStr">
        <is>
          <t>J-P-0024</t>
        </is>
      </c>
      <c r="B5279" s="12" t="inlineStr">
        <is>
          <t>J</t>
        </is>
      </c>
      <c r="C5279" s="12" t="inlineStr">
        <is>
          <t>GT inlet chilling</t>
        </is>
      </c>
      <c r="D5279" s="12" t="inlineStr">
        <is>
          <t>Area / platform lighting circuit 1 (12 fixtures)</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3</v>
      </c>
      <c r="R5279" s="12" t="n">
        <v>5</v>
      </c>
      <c r="S5279" s="12" t="inlineStr">
        <is>
          <t>Duct bank</t>
        </is>
      </c>
      <c r="T5279" s="16" t="n">
        <v>778</v>
      </c>
      <c r="U5279" s="16" t="n">
        <v>38</v>
      </c>
      <c r="V5279" s="16">
        <f>ROUNDUP((T5279+U5279+2*'Read Me'!$B$13)*(1+'Read Me'!$B$12),-1)</f>
        <v/>
      </c>
      <c r="W5279" s="16">
        <f>V5279*N5279*O5279</f>
        <v/>
      </c>
      <c r="X5279" s="12">
        <f>IF(LEFT(I5279,2)="MV",2*N5279*IF(L5279="1/C",O5279,1),0)</f>
        <v/>
      </c>
      <c r="Y5279" s="12">
        <f>IF(OR(LEFT(K5279,4)="LVAX",LEFT(K5279,6)="MV15AX",LEFT(K5279,4)="CTAX",LEFT(K5279,2)="W|"),2*N5279*O5279,0)</f>
        <v/>
      </c>
      <c r="Z5279" s="12" t="inlineStr">
        <is>
          <t>fixture-to-fixture run included</t>
        </is>
      </c>
      <c r="AA5279" s="12">
        <f>N5279*O5279</f>
        <v/>
      </c>
    </row>
    <row r="5280">
      <c r="A5280" s="12" t="inlineStr">
        <is>
          <t>J-MV-0001</t>
        </is>
      </c>
      <c r="B5280" s="12" t="inlineStr">
        <is>
          <t>J</t>
        </is>
      </c>
      <c r="C5280" s="12" t="inlineStr">
        <is>
          <t>GT inlet chilling</t>
        </is>
      </c>
      <c r="D5280" s="12" t="inlineStr">
        <is>
          <t>Inlet-chilling e-house / transformer</t>
        </is>
      </c>
      <c r="E5280" s="12" t="inlineStr">
        <is>
          <t>SWGR-13.8-1</t>
        </is>
      </c>
      <c r="F5280" s="12" t="inlineStr">
        <is>
          <t>R1 SWGR-13.8-1 (11 x 36 in cubicles, 15 kV metal-clad)</t>
        </is>
      </c>
      <c r="G5280" s="12" t="inlineStr"/>
      <c r="H5280" s="12" t="inlineStr">
        <is>
          <t>Inlet-chilling e-house / transformer</t>
        </is>
      </c>
      <c r="I5280" s="12" t="inlineStr">
        <is>
          <t>MV 15 kV</t>
        </is>
      </c>
      <c r="J5280" s="12" t="inlineStr">
        <is>
          <t>MV-105 15 kV 1/C Cu, EPR 133%, Cu tape shield, PVC jacket (triplexed)</t>
        </is>
      </c>
      <c r="K5280" s="12" t="inlineStr">
        <is>
          <t>MV15|1/C|1000</t>
        </is>
      </c>
      <c r="L5280" s="12" t="inlineStr">
        <is>
          <t>1/C</t>
        </is>
      </c>
      <c r="M5280" s="12" t="inlineStr">
        <is>
          <t>1000 kcmil</t>
        </is>
      </c>
      <c r="N5280" s="12" t="n">
        <v>1</v>
      </c>
      <c r="O5280" s="12" t="n">
        <v>3</v>
      </c>
      <c r="P5280" s="12" t="n">
        <v>13800</v>
      </c>
      <c r="Q5280" s="12" t="n">
        <v>12000</v>
      </c>
      <c r="R5280" s="12" t="n">
        <v>502</v>
      </c>
      <c r="S5280" s="12" t="inlineStr">
        <is>
          <t>Duct bank</t>
        </is>
      </c>
      <c r="T5280" s="16" t="n">
        <v>629</v>
      </c>
      <c r="U5280" s="16" t="n">
        <v>38</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J-MV-0002</t>
        </is>
      </c>
      <c r="B5281" s="12" t="inlineStr">
        <is>
          <t>J</t>
        </is>
      </c>
      <c r="C5281" s="12" t="inlineStr">
        <is>
          <t>GT inlet chilling</t>
        </is>
      </c>
      <c r="D5281" s="12" t="inlineStr">
        <is>
          <t>Inlet-chilling CW pump 1</t>
        </is>
      </c>
      <c r="E5281" s="12" t="inlineStr"/>
      <c r="F5281" s="12" t="inlineStr">
        <is>
          <t>Inlet-chilling e-house / transformer</t>
        </is>
      </c>
      <c r="G5281" s="12" t="inlineStr"/>
      <c r="H5281" s="12" t="inlineStr">
        <is>
          <t>CW pumps (inlet chilling)</t>
        </is>
      </c>
      <c r="I5281" s="12" t="inlineStr">
        <is>
          <t>MV 5 kV</t>
        </is>
      </c>
      <c r="J5281" s="12" t="inlineStr">
        <is>
          <t>MV-105 5 kV 3/C Cu, EPR 133%, tape shield, gnd, PVC jacket</t>
        </is>
      </c>
      <c r="K5281" s="12" t="inlineStr">
        <is>
          <t>MV5|3/C|2</t>
        </is>
      </c>
      <c r="L5281" s="12" t="inlineStr">
        <is>
          <t>3/C</t>
        </is>
      </c>
      <c r="M5281" s="12" t="inlineStr">
        <is>
          <t>2</t>
        </is>
      </c>
      <c r="N5281" s="12" t="n">
        <v>1</v>
      </c>
      <c r="O5281" s="12" t="n">
        <v>1</v>
      </c>
      <c r="P5281" s="12" t="n">
        <v>4160</v>
      </c>
      <c r="Q5281" s="12" t="n">
        <v>450</v>
      </c>
      <c r="R5281" s="12" t="n">
        <v>69</v>
      </c>
      <c r="S5281" s="12" t="inlineStr">
        <is>
          <t>Tray</t>
        </is>
      </c>
      <c r="T5281" s="16" t="n">
        <v>0</v>
      </c>
      <c r="U5281" s="16" t="n">
        <v>70</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J-MV-0003</t>
        </is>
      </c>
      <c r="B5282" s="12" t="inlineStr">
        <is>
          <t>J</t>
        </is>
      </c>
      <c r="C5282" s="12" t="inlineStr">
        <is>
          <t>GT inlet chilling</t>
        </is>
      </c>
      <c r="D5282" s="12" t="inlineStr">
        <is>
          <t>Inlet-chilling CW pump 2</t>
        </is>
      </c>
      <c r="E5282" s="12" t="inlineStr"/>
      <c r="F5282" s="12" t="inlineStr">
        <is>
          <t>Inlet-chilling e-house / transformer</t>
        </is>
      </c>
      <c r="G5282" s="12" t="inlineStr"/>
      <c r="H5282" s="12" t="inlineStr">
        <is>
          <t>CW pumps (inlet chilling)</t>
        </is>
      </c>
      <c r="I5282" s="12" t="inlineStr">
        <is>
          <t>MV 5 kV</t>
        </is>
      </c>
      <c r="J5282" s="12" t="inlineStr">
        <is>
          <t>MV-105 5 kV 3/C Cu, EPR 133%, tape shield, gnd, PVC jacket</t>
        </is>
      </c>
      <c r="K5282" s="12" t="inlineStr">
        <is>
          <t>MV5|3/C|2</t>
        </is>
      </c>
      <c r="L5282" s="12" t="inlineStr">
        <is>
          <t>3/C</t>
        </is>
      </c>
      <c r="M5282" s="12" t="inlineStr">
        <is>
          <t>2</t>
        </is>
      </c>
      <c r="N5282" s="12" t="n">
        <v>1</v>
      </c>
      <c r="O5282" s="12" t="n">
        <v>1</v>
      </c>
      <c r="P5282" s="12" t="n">
        <v>4160</v>
      </c>
      <c r="Q5282" s="12" t="n">
        <v>450</v>
      </c>
      <c r="R5282" s="12" t="n">
        <v>69</v>
      </c>
      <c r="S5282" s="12" t="inlineStr">
        <is>
          <t>Tray</t>
        </is>
      </c>
      <c r="T5282" s="16" t="n">
        <v>0</v>
      </c>
      <c r="U5282" s="16" t="n">
        <v>70</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J-MV-0004</t>
        </is>
      </c>
      <c r="B5283" s="12" t="inlineStr">
        <is>
          <t>J</t>
        </is>
      </c>
      <c r="C5283" s="12" t="inlineStr">
        <is>
          <t>GT inlet chilling</t>
        </is>
      </c>
      <c r="D5283" s="12" t="inlineStr">
        <is>
          <t>Inlet-chilling CW pump 3</t>
        </is>
      </c>
      <c r="E5283" s="12" t="inlineStr"/>
      <c r="F5283" s="12" t="inlineStr">
        <is>
          <t>Inlet-chilling e-house / transformer</t>
        </is>
      </c>
      <c r="G5283" s="12" t="inlineStr"/>
      <c r="H5283" s="12" t="inlineStr">
        <is>
          <t>CW pumps (inlet chilling)</t>
        </is>
      </c>
      <c r="I5283" s="12" t="inlineStr">
        <is>
          <t>MV 5 kV</t>
        </is>
      </c>
      <c r="J5283" s="12" t="inlineStr">
        <is>
          <t>MV-105 5 kV 3/C Cu, EPR 133%, tape shield, gnd, PVC jacket</t>
        </is>
      </c>
      <c r="K5283" s="12" t="inlineStr">
        <is>
          <t>MV5|3/C|2</t>
        </is>
      </c>
      <c r="L5283" s="12" t="inlineStr">
        <is>
          <t>3/C</t>
        </is>
      </c>
      <c r="M5283" s="12" t="inlineStr">
        <is>
          <t>2</t>
        </is>
      </c>
      <c r="N5283" s="12" t="n">
        <v>1</v>
      </c>
      <c r="O5283" s="12" t="n">
        <v>1</v>
      </c>
      <c r="P5283" s="12" t="n">
        <v>4160</v>
      </c>
      <c r="Q5283" s="12" t="n">
        <v>450</v>
      </c>
      <c r="R5283" s="12" t="n">
        <v>69</v>
      </c>
      <c r="S5283" s="12" t="inlineStr">
        <is>
          <t>Tray</t>
        </is>
      </c>
      <c r="T5283" s="16" t="n">
        <v>0</v>
      </c>
      <c r="U5283" s="16" t="n">
        <v>70</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J-MV-0005</t>
        </is>
      </c>
      <c r="B5284" s="12" t="inlineStr">
        <is>
          <t>J</t>
        </is>
      </c>
      <c r="C5284" s="12" t="inlineStr">
        <is>
          <t>GT inlet chilling</t>
        </is>
      </c>
      <c r="D5284" s="12" t="inlineStr">
        <is>
          <t>Inlet-chilling CW pump 4</t>
        </is>
      </c>
      <c r="E5284" s="12" t="inlineStr"/>
      <c r="F5284" s="12" t="inlineStr">
        <is>
          <t>Inlet-chilling e-house / transformer</t>
        </is>
      </c>
      <c r="G5284" s="12" t="inlineStr"/>
      <c r="H5284" s="12" t="inlineStr">
        <is>
          <t>CW pumps (inlet chilling)</t>
        </is>
      </c>
      <c r="I5284" s="12" t="inlineStr">
        <is>
          <t>MV 5 kV</t>
        </is>
      </c>
      <c r="J5284" s="12" t="inlineStr">
        <is>
          <t>MV-105 5 kV 3/C Cu, EPR 133%, tape shield, gnd, PVC jacket</t>
        </is>
      </c>
      <c r="K5284" s="12" t="inlineStr">
        <is>
          <t>MV5|3/C|2</t>
        </is>
      </c>
      <c r="L5284" s="12" t="inlineStr">
        <is>
          <t>3/C</t>
        </is>
      </c>
      <c r="M5284" s="12" t="inlineStr">
        <is>
          <t>2</t>
        </is>
      </c>
      <c r="N5284" s="12" t="n">
        <v>1</v>
      </c>
      <c r="O5284" s="12" t="n">
        <v>1</v>
      </c>
      <c r="P5284" s="12" t="n">
        <v>4160</v>
      </c>
      <c r="Q5284" s="12" t="n">
        <v>450</v>
      </c>
      <c r="R5284" s="12" t="n">
        <v>69</v>
      </c>
      <c r="S5284" s="12" t="inlineStr">
        <is>
          <t>Tray</t>
        </is>
      </c>
      <c r="T5284" s="16" t="n">
        <v>0</v>
      </c>
      <c r="U5284" s="16" t="n">
        <v>70</v>
      </c>
      <c r="V5284" s="16">
        <f>ROUNDUP((T5284+U5284+2*'Read Me'!$B$13)*(1+'Read Me'!$B$12),-1)</f>
        <v/>
      </c>
      <c r="W5284" s="16">
        <f>V5284*N5284*O5284</f>
        <v/>
      </c>
      <c r="X5284" s="12">
        <f>IF(LEFT(I5284,2)="MV",2*N5284*IF(L5284="1/C",O5284,1),0)</f>
        <v/>
      </c>
      <c r="Y5284" s="12">
        <f>IF(OR(LEFT(K5284,4)="LVAX",LEFT(K5284,6)="MV15AX",LEFT(K5284,4)="CTAX",LEFT(K5284,2)="W|"),2*N5284*O5284,0)</f>
        <v/>
      </c>
      <c r="Z5284" s="12" t="inlineStr"/>
      <c r="AA5284" s="12">
        <f>N5284*O5284</f>
        <v/>
      </c>
    </row>
    <row r="5285">
      <c r="A5285" s="12" t="inlineStr">
        <is>
          <t>J-MV-0006</t>
        </is>
      </c>
      <c r="B5285" s="12" t="inlineStr">
        <is>
          <t>J</t>
        </is>
      </c>
      <c r="C5285" s="12" t="inlineStr">
        <is>
          <t>GT inlet chilling</t>
        </is>
      </c>
      <c r="D5285" s="12" t="inlineStr">
        <is>
          <t>Water-cooled chiller CH-1</t>
        </is>
      </c>
      <c r="E5285" s="12" t="inlineStr"/>
      <c r="F5285" s="12" t="inlineStr">
        <is>
          <t>Inlet-chilling e-house / transformer</t>
        </is>
      </c>
      <c r="G5285" s="12" t="inlineStr"/>
      <c r="H5285" s="12" t="inlineStr">
        <is>
          <t>Chillers x6 (water-cooled)</t>
        </is>
      </c>
      <c r="I5285" s="12" t="inlineStr">
        <is>
          <t>MV 5 kV</t>
        </is>
      </c>
      <c r="J5285" s="12" t="inlineStr">
        <is>
          <t>MV-105 5 kV 3/C Cu, EPR 133%, tape shield, gnd, PVC jacket</t>
        </is>
      </c>
      <c r="K5285" s="12" t="inlineStr">
        <is>
          <t>MV5|3/C|250</t>
        </is>
      </c>
      <c r="L5285" s="12" t="inlineStr">
        <is>
          <t>3/C</t>
        </is>
      </c>
      <c r="M5285" s="12" t="inlineStr">
        <is>
          <t>250 kcmil</t>
        </is>
      </c>
      <c r="N5285" s="12" t="n">
        <v>1</v>
      </c>
      <c r="O5285" s="12" t="n">
        <v>1</v>
      </c>
      <c r="P5285" s="12" t="n">
        <v>4160</v>
      </c>
      <c r="Q5285" s="12" t="n">
        <v>1500</v>
      </c>
      <c r="R5285" s="12" t="n">
        <v>231</v>
      </c>
      <c r="S5285" s="12" t="inlineStr">
        <is>
          <t>Duct bank</t>
        </is>
      </c>
      <c r="T5285" s="16" t="n">
        <v>10</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J-MV-0007</t>
        </is>
      </c>
      <c r="B5286" s="12" t="inlineStr">
        <is>
          <t>J</t>
        </is>
      </c>
      <c r="C5286" s="12" t="inlineStr">
        <is>
          <t>GT inlet chilling</t>
        </is>
      </c>
      <c r="D5286" s="12" t="inlineStr">
        <is>
          <t>Water-cooled chiller CH-2</t>
        </is>
      </c>
      <c r="E5286" s="12" t="inlineStr"/>
      <c r="F5286" s="12" t="inlineStr">
        <is>
          <t>Inlet-chilling e-house / transformer</t>
        </is>
      </c>
      <c r="G5286" s="12" t="inlineStr"/>
      <c r="H5286" s="12" t="inlineStr">
        <is>
          <t>Chillers x6 (water-cooled)</t>
        </is>
      </c>
      <c r="I5286" s="12" t="inlineStr">
        <is>
          <t>MV 5 kV</t>
        </is>
      </c>
      <c r="J5286" s="12" t="inlineStr">
        <is>
          <t>MV-105 5 kV 3/C Cu, EPR 133%, tape shield, gnd, PVC jacket</t>
        </is>
      </c>
      <c r="K5286" s="12" t="inlineStr">
        <is>
          <t>MV5|3/C|250</t>
        </is>
      </c>
      <c r="L5286" s="12" t="inlineStr">
        <is>
          <t>3/C</t>
        </is>
      </c>
      <c r="M5286" s="12" t="inlineStr">
        <is>
          <t>250 kcmil</t>
        </is>
      </c>
      <c r="N5286" s="12" t="n">
        <v>1</v>
      </c>
      <c r="O5286" s="12" t="n">
        <v>1</v>
      </c>
      <c r="P5286" s="12" t="n">
        <v>4160</v>
      </c>
      <c r="Q5286" s="12" t="n">
        <v>1500</v>
      </c>
      <c r="R5286" s="12" t="n">
        <v>231</v>
      </c>
      <c r="S5286" s="12" t="inlineStr">
        <is>
          <t>Duct bank</t>
        </is>
      </c>
      <c r="T5286" s="16" t="n">
        <v>10</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J-MV-0008</t>
        </is>
      </c>
      <c r="B5287" s="12" t="inlineStr">
        <is>
          <t>J</t>
        </is>
      </c>
      <c r="C5287" s="12" t="inlineStr">
        <is>
          <t>GT inlet chilling</t>
        </is>
      </c>
      <c r="D5287" s="12" t="inlineStr">
        <is>
          <t>Water-cooled chiller CH-3</t>
        </is>
      </c>
      <c r="E5287" s="12" t="inlineStr"/>
      <c r="F5287" s="12" t="inlineStr">
        <is>
          <t>Inlet-chilling e-house / transformer</t>
        </is>
      </c>
      <c r="G5287" s="12" t="inlineStr"/>
      <c r="H5287" s="12" t="inlineStr">
        <is>
          <t>Chillers x6 (water-cooled)</t>
        </is>
      </c>
      <c r="I5287" s="12" t="inlineStr">
        <is>
          <t>MV 5 kV</t>
        </is>
      </c>
      <c r="J5287" s="12" t="inlineStr">
        <is>
          <t>MV-105 5 kV 3/C Cu, EPR 133%, tape shield, gnd, PVC jacket</t>
        </is>
      </c>
      <c r="K5287" s="12" t="inlineStr">
        <is>
          <t>MV5|3/C|250</t>
        </is>
      </c>
      <c r="L5287" s="12" t="inlineStr">
        <is>
          <t>3/C</t>
        </is>
      </c>
      <c r="M5287" s="12" t="inlineStr">
        <is>
          <t>250 kcmil</t>
        </is>
      </c>
      <c r="N5287" s="12" t="n">
        <v>1</v>
      </c>
      <c r="O5287" s="12" t="n">
        <v>1</v>
      </c>
      <c r="P5287" s="12" t="n">
        <v>4160</v>
      </c>
      <c r="Q5287" s="12" t="n">
        <v>1500</v>
      </c>
      <c r="R5287" s="12" t="n">
        <v>231</v>
      </c>
      <c r="S5287" s="12" t="inlineStr">
        <is>
          <t>Duct bank</t>
        </is>
      </c>
      <c r="T5287" s="16" t="n">
        <v>10</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J-MV-0009</t>
        </is>
      </c>
      <c r="B5288" s="12" t="inlineStr">
        <is>
          <t>J</t>
        </is>
      </c>
      <c r="C5288" s="12" t="inlineStr">
        <is>
          <t>GT inlet chilling</t>
        </is>
      </c>
      <c r="D5288" s="12" t="inlineStr">
        <is>
          <t>Water-cooled chiller CH-4</t>
        </is>
      </c>
      <c r="E5288" s="12" t="inlineStr"/>
      <c r="F5288" s="12" t="inlineStr">
        <is>
          <t>Inlet-chilling e-house / transformer</t>
        </is>
      </c>
      <c r="G5288" s="12" t="inlineStr"/>
      <c r="H5288" s="12" t="inlineStr">
        <is>
          <t>Chillers x6 (water-cooled)</t>
        </is>
      </c>
      <c r="I5288" s="12" t="inlineStr">
        <is>
          <t>MV 5 kV</t>
        </is>
      </c>
      <c r="J5288" s="12" t="inlineStr">
        <is>
          <t>MV-105 5 kV 3/C Cu, EPR 133%, tape shield, gnd, PVC jacket</t>
        </is>
      </c>
      <c r="K5288" s="12" t="inlineStr">
        <is>
          <t>MV5|3/C|250</t>
        </is>
      </c>
      <c r="L5288" s="12" t="inlineStr">
        <is>
          <t>3/C</t>
        </is>
      </c>
      <c r="M5288" s="12" t="inlineStr">
        <is>
          <t>250 kcmil</t>
        </is>
      </c>
      <c r="N5288" s="12" t="n">
        <v>1</v>
      </c>
      <c r="O5288" s="12" t="n">
        <v>1</v>
      </c>
      <c r="P5288" s="12" t="n">
        <v>4160</v>
      </c>
      <c r="Q5288" s="12" t="n">
        <v>1500</v>
      </c>
      <c r="R5288" s="12" t="n">
        <v>231</v>
      </c>
      <c r="S5288" s="12" t="inlineStr">
        <is>
          <t>Duct bank</t>
        </is>
      </c>
      <c r="T5288" s="16" t="n">
        <v>10</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J-MV-0010</t>
        </is>
      </c>
      <c r="B5289" s="12" t="inlineStr">
        <is>
          <t>J</t>
        </is>
      </c>
      <c r="C5289" s="12" t="inlineStr">
        <is>
          <t>GT inlet chilling</t>
        </is>
      </c>
      <c r="D5289" s="12" t="inlineStr">
        <is>
          <t>Water-cooled chiller CH-5</t>
        </is>
      </c>
      <c r="E5289" s="12" t="inlineStr"/>
      <c r="F5289" s="12" t="inlineStr">
        <is>
          <t>Inlet-chilling e-house / transformer</t>
        </is>
      </c>
      <c r="G5289" s="12" t="inlineStr"/>
      <c r="H5289" s="12" t="inlineStr">
        <is>
          <t>Chillers x6 (water-cooled)</t>
        </is>
      </c>
      <c r="I5289" s="12" t="inlineStr">
        <is>
          <t>MV 5 kV</t>
        </is>
      </c>
      <c r="J5289" s="12" t="inlineStr">
        <is>
          <t>MV-105 5 kV 3/C Cu, EPR 133%, tape shield, gnd, PVC jacket</t>
        </is>
      </c>
      <c r="K5289" s="12" t="inlineStr">
        <is>
          <t>MV5|3/C|250</t>
        </is>
      </c>
      <c r="L5289" s="12" t="inlineStr">
        <is>
          <t>3/C</t>
        </is>
      </c>
      <c r="M5289" s="12" t="inlineStr">
        <is>
          <t>250 kcmil</t>
        </is>
      </c>
      <c r="N5289" s="12" t="n">
        <v>1</v>
      </c>
      <c r="O5289" s="12" t="n">
        <v>1</v>
      </c>
      <c r="P5289" s="12" t="n">
        <v>4160</v>
      </c>
      <c r="Q5289" s="12" t="n">
        <v>1500</v>
      </c>
      <c r="R5289" s="12" t="n">
        <v>231</v>
      </c>
      <c r="S5289" s="12" t="inlineStr">
        <is>
          <t>Duct bank</t>
        </is>
      </c>
      <c r="T5289" s="16" t="n">
        <v>10</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J-MV-0011</t>
        </is>
      </c>
      <c r="B5290" s="12" t="inlineStr">
        <is>
          <t>J</t>
        </is>
      </c>
      <c r="C5290" s="12" t="inlineStr">
        <is>
          <t>GT inlet chilling</t>
        </is>
      </c>
      <c r="D5290" s="12" t="inlineStr">
        <is>
          <t>Water-cooled chiller CH-6</t>
        </is>
      </c>
      <c r="E5290" s="12" t="inlineStr"/>
      <c r="F5290" s="12" t="inlineStr">
        <is>
          <t>Inlet-chilling e-house / transformer</t>
        </is>
      </c>
      <c r="G5290" s="12" t="inlineStr"/>
      <c r="H5290" s="12" t="inlineStr">
        <is>
          <t>Chillers x6 (water-cooled)</t>
        </is>
      </c>
      <c r="I5290" s="12" t="inlineStr">
        <is>
          <t>MV 5 kV</t>
        </is>
      </c>
      <c r="J5290" s="12" t="inlineStr">
        <is>
          <t>MV-105 5 kV 3/C Cu, EPR 133%, tape shield, gnd, PVC jacket</t>
        </is>
      </c>
      <c r="K5290" s="12" t="inlineStr">
        <is>
          <t>MV5|3/C|250</t>
        </is>
      </c>
      <c r="L5290" s="12" t="inlineStr">
        <is>
          <t>3/C</t>
        </is>
      </c>
      <c r="M5290" s="12" t="inlineStr">
        <is>
          <t>250 kcmil</t>
        </is>
      </c>
      <c r="N5290" s="12" t="n">
        <v>1</v>
      </c>
      <c r="O5290" s="12" t="n">
        <v>1</v>
      </c>
      <c r="P5290" s="12" t="n">
        <v>4160</v>
      </c>
      <c r="Q5290" s="12" t="n">
        <v>1500</v>
      </c>
      <c r="R5290" s="12" t="n">
        <v>231</v>
      </c>
      <c r="S5290" s="12" t="inlineStr">
        <is>
          <t>Duct bank</t>
        </is>
      </c>
      <c r="T5290" s="16" t="n">
        <v>10</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K-L-0001</t>
        </is>
      </c>
      <c r="B5291" s="12" t="inlineStr">
        <is>
          <t>K</t>
        </is>
      </c>
      <c r="C5291" s="12" t="inlineStr">
        <is>
          <t>Fuel supply (adjacent market)</t>
        </is>
      </c>
      <c r="D5291" s="12" t="inlineStr">
        <is>
          <t>Lighting, receptacles and small power branch circuits (allowance)</t>
        </is>
      </c>
      <c r="E5291" s="12" t="inlineStr"/>
      <c r="F5291" s="12" t="inlineStr">
        <is>
          <t>H2 20: 13.8 kV e-house</t>
        </is>
      </c>
      <c r="G5291" s="12" t="inlineStr"/>
      <c r="H5291" s="12" t="inlineStr">
        <is>
          <t>H2 20: 13.8 kV e-house</t>
        </is>
      </c>
      <c r="I5291" s="12" t="inlineStr">
        <is>
          <t>Building wire</t>
        </is>
      </c>
      <c r="J5291" s="12" t="inlineStr">
        <is>
          <t>SIMpull THHN/THWN-2 600 V 1/C Cu (lighting, receptacles, small power)</t>
        </is>
      </c>
      <c r="K5291" s="12" t="inlineStr">
        <is>
          <t>THHN|1/C|12</t>
        </is>
      </c>
      <c r="L5291" s="12" t="inlineStr">
        <is>
          <t>1/C</t>
        </is>
      </c>
      <c r="M5291" s="12" t="inlineStr">
        <is>
          <t>12</t>
        </is>
      </c>
      <c r="N5291" s="12" t="n">
        <v>1</v>
      </c>
      <c r="O5291" s="12" t="n">
        <v>1</v>
      </c>
      <c r="P5291" s="12" t="n">
        <v>277</v>
      </c>
      <c r="Q5291" s="12" t="n"/>
      <c r="R5291" s="12" t="n"/>
      <c r="S5291" s="12" t="inlineStr">
        <is>
          <t>Conduit</t>
        </is>
      </c>
      <c r="T5291" s="16" t="n">
        <v>1536</v>
      </c>
      <c r="U5291" s="16" t="n">
        <v>0</v>
      </c>
      <c r="V5291" s="16">
        <f>ROUNDUP((T5291+U5291+2*'Read Me'!$B$13)*(1+'Read Me'!$B$12),-1)</f>
        <v/>
      </c>
      <c r="W5291" s="16">
        <f>V5291*N5291*O5291</f>
        <v/>
      </c>
      <c r="X5291" s="12">
        <f>IF(LEFT(I5291,2)="MV",2*N5291*IF(L5291="1/C",O5291,1),0)</f>
        <v/>
      </c>
      <c r="Y5291" s="12">
        <f>IF(OR(LEFT(K5291,4)="LVAX",LEFT(K5291,6)="MV15AX",LEFT(K5291,4)="CTAX",LEFT(K5291,2)="W|"),2*N5291*O5291,0)</f>
        <v/>
      </c>
      <c r="Z5291" s="12" t="inlineStr">
        <is>
          <t>allowance: 1.6 ft of conductor per ft2 of floor</t>
        </is>
      </c>
      <c r="AA5291" s="12">
        <f>N5291*O5291</f>
        <v/>
      </c>
    </row>
    <row r="5292">
      <c r="A5292" s="12" t="inlineStr">
        <is>
          <t>K-L-0002</t>
        </is>
      </c>
      <c r="B5292" s="12" t="inlineStr">
        <is>
          <t>K</t>
        </is>
      </c>
      <c r="C5292" s="12" t="inlineStr">
        <is>
          <t>Fuel supply (adjacent market)</t>
        </is>
      </c>
      <c r="D5292" s="12" t="inlineStr">
        <is>
          <t>Lighting, receptacles and small power branch circuits (allowance)</t>
        </is>
      </c>
      <c r="E5292" s="12" t="inlineStr"/>
      <c r="F5292" s="12" t="inlineStr">
        <is>
          <t>LNG 17: LNG e-house (13.8 kV / 480 V)</t>
        </is>
      </c>
      <c r="G5292" s="12" t="inlineStr"/>
      <c r="H5292" s="12" t="inlineStr">
        <is>
          <t>LNG 17: LNG e-house (13.8 kV / 480 V)</t>
        </is>
      </c>
      <c r="I5292" s="12" t="inlineStr">
        <is>
          <t>Building wire</t>
        </is>
      </c>
      <c r="J5292" s="12" t="inlineStr">
        <is>
          <t>SIMpull THHN/THWN-2 600 V 1/C Cu (lighting, receptacles, small power)</t>
        </is>
      </c>
      <c r="K5292" s="12" t="inlineStr">
        <is>
          <t>THHN|1/C|12</t>
        </is>
      </c>
      <c r="L5292" s="12" t="inlineStr">
        <is>
          <t>1/C</t>
        </is>
      </c>
      <c r="M5292" s="12" t="inlineStr">
        <is>
          <t>12</t>
        </is>
      </c>
      <c r="N5292" s="12" t="n">
        <v>1</v>
      </c>
      <c r="O5292" s="12" t="n">
        <v>1</v>
      </c>
      <c r="P5292" s="12" t="n">
        <v>277</v>
      </c>
      <c r="Q5292" s="12" t="n"/>
      <c r="R5292" s="12" t="n"/>
      <c r="S5292" s="12" t="inlineStr">
        <is>
          <t>Conduit</t>
        </is>
      </c>
      <c r="T5292" s="16" t="n">
        <v>896</v>
      </c>
      <c r="U5292" s="16" t="n">
        <v>0</v>
      </c>
      <c r="V5292" s="16">
        <f>ROUNDUP((T5292+U5292+2*'Read Me'!$B$13)*(1+'Read Me'!$B$12),-1)</f>
        <v/>
      </c>
      <c r="W5292" s="16">
        <f>V5292*N5292*O5292</f>
        <v/>
      </c>
      <c r="X5292" s="12">
        <f>IF(LEFT(I5292,2)="MV",2*N5292*IF(L5292="1/C",O5292,1),0)</f>
        <v/>
      </c>
      <c r="Y5292" s="12">
        <f>IF(OR(LEFT(K5292,4)="LVAX",LEFT(K5292,6)="MV15AX",LEFT(K5292,4)="CTAX",LEFT(K5292,2)="W|"),2*N5292*O5292,0)</f>
        <v/>
      </c>
      <c r="Z5292" s="12" t="inlineStr">
        <is>
          <t>allowance: 1.6 ft of conductor per ft2 of floor</t>
        </is>
      </c>
      <c r="AA5292" s="12">
        <f>N5292*O5292</f>
        <v/>
      </c>
    </row>
    <row r="5293">
      <c r="A5293" s="12" t="inlineStr">
        <is>
          <t>K-L-0003</t>
        </is>
      </c>
      <c r="B5293" s="12" t="inlineStr">
        <is>
          <t>K</t>
        </is>
      </c>
      <c r="C5293" s="12" t="inlineStr">
        <is>
          <t>Fuel supply (adjacent market)</t>
        </is>
      </c>
      <c r="D5293" s="12" t="inlineStr">
        <is>
          <t>Lighting, receptacles and small power branch circuits (allowance)</t>
        </is>
      </c>
      <c r="E5293" s="12" t="inlineStr"/>
      <c r="F5293" s="12" t="inlineStr">
        <is>
          <t>M&amp;R 6: regulation / flow control building</t>
        </is>
      </c>
      <c r="G5293" s="12" t="inlineStr"/>
      <c r="H5293" s="12" t="inlineStr">
        <is>
          <t>M&amp;R 6: regulation / flow control building</t>
        </is>
      </c>
      <c r="I5293" s="12" t="inlineStr">
        <is>
          <t>Building wire</t>
        </is>
      </c>
      <c r="J5293" s="12" t="inlineStr">
        <is>
          <t>SIMpull THHN/THWN-2 600 V 1/C Cu (lighting, receptacles, small power)</t>
        </is>
      </c>
      <c r="K5293" s="12" t="inlineStr">
        <is>
          <t>THHN|1/C|12</t>
        </is>
      </c>
      <c r="L5293" s="12" t="inlineStr">
        <is>
          <t>1/C</t>
        </is>
      </c>
      <c r="M5293" s="12" t="inlineStr">
        <is>
          <t>12</t>
        </is>
      </c>
      <c r="N5293" s="12" t="n">
        <v>1</v>
      </c>
      <c r="O5293" s="12" t="n">
        <v>1</v>
      </c>
      <c r="P5293" s="12" t="n">
        <v>277</v>
      </c>
      <c r="Q5293" s="12" t="n"/>
      <c r="R5293" s="12" t="n"/>
      <c r="S5293" s="12" t="inlineStr">
        <is>
          <t>Conduit</t>
        </is>
      </c>
      <c r="T5293" s="16" t="n">
        <v>1440</v>
      </c>
      <c r="U5293" s="16" t="n">
        <v>0</v>
      </c>
      <c r="V5293" s="16">
        <f>ROUNDUP((T5293+U5293+2*'Read Me'!$B$13)*(1+'Read Me'!$B$12),-1)</f>
        <v/>
      </c>
      <c r="W5293" s="16">
        <f>V5293*N5293*O5293</f>
        <v/>
      </c>
      <c r="X5293" s="12">
        <f>IF(LEFT(I5293,2)="MV",2*N5293*IF(L5293="1/C",O5293,1),0)</f>
        <v/>
      </c>
      <c r="Y5293" s="12">
        <f>IF(OR(LEFT(K5293,4)="LVAX",LEFT(K5293,6)="MV15AX",LEFT(K5293,4)="CTAX",LEFT(K5293,2)="W|"),2*N5293*O5293,0)</f>
        <v/>
      </c>
      <c r="Z5293" s="12" t="inlineStr">
        <is>
          <t>allowance: 1.6 ft of conductor per ft2 of floor</t>
        </is>
      </c>
      <c r="AA5293" s="12">
        <f>N5293*O5293</f>
        <v/>
      </c>
    </row>
    <row r="5294">
      <c r="A5294" s="12" t="inlineStr">
        <is>
          <t>K-L-0004</t>
        </is>
      </c>
      <c r="B5294" s="12" t="inlineStr">
        <is>
          <t>K</t>
        </is>
      </c>
      <c r="C5294" s="12" t="inlineStr">
        <is>
          <t>Fuel supply (adjacent market)</t>
        </is>
      </c>
      <c r="D5294" s="12" t="inlineStr">
        <is>
          <t>Lighting, receptacles and small power branch circuits (allowance)</t>
        </is>
      </c>
      <c r="E5294" s="12" t="inlineStr"/>
      <c r="F5294" s="12" t="inlineStr">
        <is>
          <t>M&amp;R 7: gas quality + measurement building</t>
        </is>
      </c>
      <c r="G5294" s="12" t="inlineStr"/>
      <c r="H5294" s="12" t="inlineStr">
        <is>
          <t>M&amp;R 7: gas quality + measurement building</t>
        </is>
      </c>
      <c r="I5294" s="12" t="inlineStr">
        <is>
          <t>Building wire</t>
        </is>
      </c>
      <c r="J5294" s="12" t="inlineStr">
        <is>
          <t>SIMpull THHN/THWN-2 600 V 1/C Cu (lighting, receptacles, small power)</t>
        </is>
      </c>
      <c r="K5294" s="12" t="inlineStr">
        <is>
          <t>THHN|1/C|12</t>
        </is>
      </c>
      <c r="L5294" s="12" t="inlineStr">
        <is>
          <t>1/C</t>
        </is>
      </c>
      <c r="M5294" s="12" t="inlineStr">
        <is>
          <t>12</t>
        </is>
      </c>
      <c r="N5294" s="12" t="n">
        <v>1</v>
      </c>
      <c r="O5294" s="12" t="n">
        <v>1</v>
      </c>
      <c r="P5294" s="12" t="n">
        <v>277</v>
      </c>
      <c r="Q5294" s="12" t="n"/>
      <c r="R5294" s="12" t="n"/>
      <c r="S5294" s="12" t="inlineStr">
        <is>
          <t>Conduit</t>
        </is>
      </c>
      <c r="T5294" s="16" t="n">
        <v>205</v>
      </c>
      <c r="U5294" s="16" t="n">
        <v>0</v>
      </c>
      <c r="V5294" s="16">
        <f>ROUNDUP((T5294+U5294+2*'Read Me'!$B$13)*(1+'Read Me'!$B$12),-1)</f>
        <v/>
      </c>
      <c r="W5294" s="16">
        <f>V5294*N5294*O5294</f>
        <v/>
      </c>
      <c r="X5294" s="12">
        <f>IF(LEFT(I5294,2)="MV",2*N5294*IF(L5294="1/C",O5294,1),0)</f>
        <v/>
      </c>
      <c r="Y5294" s="12">
        <f>IF(OR(LEFT(K5294,4)="LVAX",LEFT(K5294,6)="MV15AX",LEFT(K5294,4)="CTAX",LEFT(K5294,2)="W|"),2*N5294*O5294,0)</f>
        <v/>
      </c>
      <c r="Z5294" s="12" t="inlineStr">
        <is>
          <t>allowance: 1.6 ft of conductor per ft2 of floor</t>
        </is>
      </c>
      <c r="AA5294" s="12">
        <f>N5294*O5294</f>
        <v/>
      </c>
    </row>
    <row r="5295">
      <c r="A5295" s="12" t="inlineStr">
        <is>
          <t>K-C-0001</t>
        </is>
      </c>
      <c r="B5295" s="12" t="inlineStr">
        <is>
          <t>K</t>
        </is>
      </c>
      <c r="C5295" s="12" t="inlineStr">
        <is>
          <t>Fuel supply (adjacent market)</t>
        </is>
      </c>
      <c r="D5295" s="12" t="inlineStr">
        <is>
          <t>Motor 1 of 1: control / local station</t>
        </is>
      </c>
      <c r="E5295" s="12" t="inlineStr"/>
      <c r="F5295" s="12" t="inlineStr">
        <is>
          <t>H2 20: 13.8 kV e-house</t>
        </is>
      </c>
      <c r="G5295" s="12" t="inlineStr">
        <is>
          <t>T-H2</t>
        </is>
      </c>
      <c r="H5295" s="12" t="inlineStr">
        <is>
          <t>H2 19: T-H2 230/13.8 kV (about 40 MVA)</t>
        </is>
      </c>
      <c r="I5295" s="12" t="inlineStr">
        <is>
          <t>Control</t>
        </is>
      </c>
      <c r="J5295" s="12" t="inlineStr">
        <is>
          <t>ARMOR-X MC-HL 600 V control, Cu #14 AWG (Class I Div 2)</t>
        </is>
      </c>
      <c r="K5295" s="12" t="inlineStr">
        <is>
          <t>CTAX|7/C|14</t>
        </is>
      </c>
      <c r="L5295" s="12" t="inlineStr">
        <is>
          <t>7/C</t>
        </is>
      </c>
      <c r="M5295" s="12" t="inlineStr">
        <is>
          <t>14</t>
        </is>
      </c>
      <c r="N5295" s="12" t="n">
        <v>1</v>
      </c>
      <c r="O5295" s="12" t="n">
        <v>1</v>
      </c>
      <c r="P5295" s="12" t="n"/>
      <c r="Q5295" s="12" t="n"/>
      <c r="R5295" s="12" t="n"/>
      <c r="S5295" s="12" t="inlineStr">
        <is>
          <t>Duct bank</t>
        </is>
      </c>
      <c r="T5295" s="16" t="n">
        <v>35</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K-C-0002</t>
        </is>
      </c>
      <c r="B5296" s="12" t="inlineStr">
        <is>
          <t>K</t>
        </is>
      </c>
      <c r="C5296" s="12" t="inlineStr">
        <is>
          <t>Fuel supply (adjacent market)</t>
        </is>
      </c>
      <c r="D5296" s="12" t="inlineStr">
        <is>
          <t>Solenoid to JB JB-T-H2-SOL01: 2 x 2/C (field cables)</t>
        </is>
      </c>
      <c r="E5296" s="12" t="inlineStr">
        <is>
          <t>T-H2</t>
        </is>
      </c>
      <c r="F5296" s="12" t="inlineStr">
        <is>
          <t>H2 19: T-H2 230/13.8 kV (about 40 MVA)</t>
        </is>
      </c>
      <c r="G5296" s="12" t="inlineStr">
        <is>
          <t>JB-T-H2-SOL01</t>
        </is>
      </c>
      <c r="H5296" s="12" t="inlineStr">
        <is>
          <t>H2 19: T-H2 230/13.8 kV (about 40 MVA)</t>
        </is>
      </c>
      <c r="I5296" s="12" t="inlineStr">
        <is>
          <t>Control</t>
        </is>
      </c>
      <c r="J5296" s="12" t="inlineStr">
        <is>
          <t>ARMOR-X MC-HL 600 V control, Cu #14 AWG (Class I Div 2)</t>
        </is>
      </c>
      <c r="K5296" s="12" t="inlineStr">
        <is>
          <t>CTAX|2/C|14</t>
        </is>
      </c>
      <c r="L5296" s="12" t="inlineStr">
        <is>
          <t>2/C</t>
        </is>
      </c>
      <c r="M5296" s="12" t="inlineStr">
        <is>
          <t>14</t>
        </is>
      </c>
      <c r="N5296" s="12" t="n">
        <v>2</v>
      </c>
      <c r="O5296" s="12" t="n">
        <v>1</v>
      </c>
      <c r="P5296" s="12" t="n"/>
      <c r="Q5296" s="12" t="n"/>
      <c r="R5296" s="12" t="n"/>
      <c r="S5296" s="12" t="inlineStr">
        <is>
          <t>Tray / conduit</t>
        </is>
      </c>
      <c r="T5296" s="16" t="n">
        <v>80</v>
      </c>
      <c r="U5296" s="16" t="n">
        <v>10</v>
      </c>
      <c r="V5296" s="16">
        <f>ROUNDUP((T5296+U5296+2*'Read Me'!$B$13)*(1+'Read Me'!$B$12),-1)</f>
        <v/>
      </c>
      <c r="W5296" s="16">
        <f>V5296*N5296*O5296</f>
        <v/>
      </c>
      <c r="X5296" s="12">
        <f>IF(LEFT(I5296,2)="MV",2*N5296*IF(L5296="1/C",O5296,1),0)</f>
        <v/>
      </c>
      <c r="Y5296" s="12">
        <f>IF(OR(LEFT(K5296,4)="LVAX",LEFT(K5296,6)="MV15AX",LEFT(K5296,4)="CTAX",LEFT(K5296,2)="W|"),2*N5296*O5296,0)</f>
        <v/>
      </c>
      <c r="Z5296" s="12" t="inlineStr">
        <is>
          <t>device-to-JB field wiring, one cable per device</t>
        </is>
      </c>
      <c r="AA5296" s="12">
        <f>N5296*O5296</f>
        <v/>
      </c>
    </row>
    <row r="5297">
      <c r="A5297" s="12" t="inlineStr">
        <is>
          <t>K-C-0003</t>
        </is>
      </c>
      <c r="B5297" s="12" t="inlineStr">
        <is>
          <t>K</t>
        </is>
      </c>
      <c r="C5297" s="12" t="inlineStr">
        <is>
          <t>Fuel supply (adjacent market)</t>
        </is>
      </c>
      <c r="D5297" s="12" t="inlineStr">
        <is>
          <t>Home run JB-T-H2-SOL01 to the control / marshalling room</t>
        </is>
      </c>
      <c r="E5297" s="12" t="inlineStr"/>
      <c r="F5297" s="12" t="inlineStr">
        <is>
          <t>H2 20: 13.8 kV e-house</t>
        </is>
      </c>
      <c r="G5297" s="12" t="inlineStr">
        <is>
          <t>JB-T-H2-SOL01</t>
        </is>
      </c>
      <c r="H5297" s="12" t="inlineStr">
        <is>
          <t>H2 19: T-H2 230/13.8 kV (about 40 MVA)</t>
        </is>
      </c>
      <c r="I5297" s="12" t="inlineStr">
        <is>
          <t>Control</t>
        </is>
      </c>
      <c r="J5297" s="12" t="inlineStr">
        <is>
          <t>ARMOR-X MC-HL 600 V control, Cu #14 AWG (Class I Div 2)</t>
        </is>
      </c>
      <c r="K5297" s="12" t="inlineStr">
        <is>
          <t>CTAX|25/C|14</t>
        </is>
      </c>
      <c r="L5297" s="12" t="inlineStr">
        <is>
          <t>25/C</t>
        </is>
      </c>
      <c r="M5297" s="12" t="inlineStr">
        <is>
          <t>14</t>
        </is>
      </c>
      <c r="N5297" s="12" t="n">
        <v>1</v>
      </c>
      <c r="O5297" s="12" t="n">
        <v>1</v>
      </c>
      <c r="P5297" s="12" t="n"/>
      <c r="Q5297" s="12" t="n"/>
      <c r="R5297" s="12" t="n"/>
      <c r="S5297" s="12" t="inlineStr">
        <is>
          <t>Duct bank</t>
        </is>
      </c>
      <c r="T5297" s="16" t="n">
        <v>35</v>
      </c>
      <c r="U5297" s="16" t="n">
        <v>32</v>
      </c>
      <c r="V5297" s="16">
        <f>ROUNDUP((T5297+U5297+2*'Read Me'!$B$13)*(1+'Read Me'!$B$12),-1)</f>
        <v/>
      </c>
      <c r="W5297" s="16">
        <f>V5297*N5297*O5297</f>
        <v/>
      </c>
      <c r="X5297" s="12">
        <f>IF(LEFT(I5297,2)="MV",2*N5297*IF(L5297="1/C",O5297,1),0)</f>
        <v/>
      </c>
      <c r="Y5297" s="12">
        <f>IF(OR(LEFT(K5297,4)="LVAX",LEFT(K5297,6)="MV15AX",LEFT(K5297,4)="CTAX",LEFT(K5297,2)="W|"),2*N5297*O5297,0)</f>
        <v/>
      </c>
      <c r="Z5297" s="12" t="inlineStr"/>
      <c r="AA5297" s="12">
        <f>N5297*O5297</f>
        <v/>
      </c>
    </row>
    <row r="5298">
      <c r="A5298" s="12" t="inlineStr">
        <is>
          <t>K-C-0004</t>
        </is>
      </c>
      <c r="B5298" s="12" t="inlineStr">
        <is>
          <t>K</t>
        </is>
      </c>
      <c r="C5298" s="12" t="inlineStr">
        <is>
          <t>Fuel supply (adjacent market)</t>
        </is>
      </c>
      <c r="D5298" s="12" t="inlineStr">
        <is>
          <t>Motor 1 of 1: control / local station</t>
        </is>
      </c>
      <c r="E5298" s="12" t="inlineStr"/>
      <c r="F5298" s="12" t="inlineStr">
        <is>
          <t>H2 20: 13.8 kV e-house</t>
        </is>
      </c>
      <c r="G5298" s="12" t="inlineStr"/>
      <c r="H5298" s="12" t="inlineStr">
        <is>
          <t>H2 20: 13.8 kV e-house</t>
        </is>
      </c>
      <c r="I5298" s="12" t="inlineStr">
        <is>
          <t>Control</t>
        </is>
      </c>
      <c r="J5298" s="12" t="inlineStr">
        <is>
          <t>ARMOR-X MC-HL 600 V control, Cu #14 AWG (Class I Div 2)</t>
        </is>
      </c>
      <c r="K5298" s="12" t="inlineStr">
        <is>
          <t>CTAX|7/C|14</t>
        </is>
      </c>
      <c r="L5298" s="12" t="inlineStr">
        <is>
          <t>7/C</t>
        </is>
      </c>
      <c r="M5298" s="12" t="inlineStr">
        <is>
          <t>14</t>
        </is>
      </c>
      <c r="N5298" s="12" t="n">
        <v>1</v>
      </c>
      <c r="O5298" s="12" t="n">
        <v>1</v>
      </c>
      <c r="P5298" s="12" t="n"/>
      <c r="Q5298" s="12" t="n"/>
      <c r="R5298" s="12" t="n"/>
      <c r="S5298" s="12" t="inlineStr">
        <is>
          <t>Tray</t>
        </is>
      </c>
      <c r="T5298" s="16" t="n">
        <v>0</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K-C-0005</t>
        </is>
      </c>
      <c r="B5299" s="12" t="inlineStr">
        <is>
          <t>K</t>
        </is>
      </c>
      <c r="C5299" s="12" t="inlineStr">
        <is>
          <t>Fuel supply (adjacent market)</t>
        </is>
      </c>
      <c r="D5299" s="12" t="inlineStr">
        <is>
          <t>Solenoid to JB JB-H2 20: 13.8 kV e-h-SOL01: 2 x 2/C (field cables)</t>
        </is>
      </c>
      <c r="E5299" s="12" t="inlineStr"/>
      <c r="F5299" s="12" t="inlineStr">
        <is>
          <t>H2 20: 13.8 kV e-house</t>
        </is>
      </c>
      <c r="G5299" s="12" t="inlineStr">
        <is>
          <t>JB-H2 20: 13.8 kV e-h-SOL01</t>
        </is>
      </c>
      <c r="H5299" s="12" t="inlineStr">
        <is>
          <t>H2 20: 13.8 kV e-house</t>
        </is>
      </c>
      <c r="I5299" s="12" t="inlineStr">
        <is>
          <t>Control</t>
        </is>
      </c>
      <c r="J5299" s="12" t="inlineStr">
        <is>
          <t>ARMOR-X MC-HL 600 V control, Cu #14 AWG (Class I Div 2)</t>
        </is>
      </c>
      <c r="K5299" s="12" t="inlineStr">
        <is>
          <t>CTAX|2/C|14</t>
        </is>
      </c>
      <c r="L5299" s="12" t="inlineStr">
        <is>
          <t>2/C</t>
        </is>
      </c>
      <c r="M5299" s="12" t="inlineStr">
        <is>
          <t>14</t>
        </is>
      </c>
      <c r="N5299" s="12" t="n">
        <v>2</v>
      </c>
      <c r="O5299" s="12" t="n">
        <v>1</v>
      </c>
      <c r="P5299" s="12" t="n"/>
      <c r="Q5299" s="12" t="n"/>
      <c r="R5299" s="12" t="n"/>
      <c r="S5299" s="12" t="inlineStr">
        <is>
          <t>Tray / conduit</t>
        </is>
      </c>
      <c r="T5299" s="16" t="n">
        <v>69</v>
      </c>
      <c r="U5299" s="16" t="n">
        <v>10</v>
      </c>
      <c r="V5299" s="16">
        <f>ROUNDUP((T5299+U5299+2*'Read Me'!$B$13)*(1+'Read Me'!$B$12),-1)</f>
        <v/>
      </c>
      <c r="W5299" s="16">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K-C-0006</t>
        </is>
      </c>
      <c r="B5300" s="12" t="inlineStr">
        <is>
          <t>K</t>
        </is>
      </c>
      <c r="C5300" s="12" t="inlineStr">
        <is>
          <t>Fuel supply (adjacent market)</t>
        </is>
      </c>
      <c r="D5300" s="12" t="inlineStr">
        <is>
          <t>Home run JB-H2 20: 13.8 kV e-h-SOL01 to the control / marshalling room</t>
        </is>
      </c>
      <c r="E5300" s="12" t="inlineStr"/>
      <c r="F5300" s="12" t="inlineStr">
        <is>
          <t>H2 20: 13.8 kV e-house</t>
        </is>
      </c>
      <c r="G5300" s="12" t="inlineStr">
        <is>
          <t>JB-H2 20: 13.8 kV e-h-SOL01</t>
        </is>
      </c>
      <c r="H5300" s="12" t="inlineStr">
        <is>
          <t>H2 20: 13.8 kV e-house</t>
        </is>
      </c>
      <c r="I5300" s="12" t="inlineStr">
        <is>
          <t>Control</t>
        </is>
      </c>
      <c r="J5300" s="12" t="inlineStr">
        <is>
          <t>ARMOR-X MC-HL 600 V control, Cu #14 AWG (Class I Div 2)</t>
        </is>
      </c>
      <c r="K5300" s="12" t="inlineStr">
        <is>
          <t>CTAX|25/C|14</t>
        </is>
      </c>
      <c r="L5300" s="12" t="inlineStr">
        <is>
          <t>25/C</t>
        </is>
      </c>
      <c r="M5300" s="12" t="inlineStr">
        <is>
          <t>14</t>
        </is>
      </c>
      <c r="N5300" s="12" t="n">
        <v>1</v>
      </c>
      <c r="O5300" s="12" t="n">
        <v>1</v>
      </c>
      <c r="P5300" s="12" t="n"/>
      <c r="Q5300" s="12" t="n"/>
      <c r="R5300" s="12" t="n"/>
      <c r="S5300" s="12" t="inlineStr">
        <is>
          <t>Tray</t>
        </is>
      </c>
      <c r="T5300" s="16" t="n">
        <v>0</v>
      </c>
      <c r="U5300" s="16" t="n">
        <v>32</v>
      </c>
      <c r="V5300" s="16">
        <f>ROUNDUP((T5300+U5300+2*'Read Me'!$B$13)*(1+'Read Me'!$B$12),-1)</f>
        <v/>
      </c>
      <c r="W5300" s="16">
        <f>V5300*N5300*O5300</f>
        <v/>
      </c>
      <c r="X5300" s="12">
        <f>IF(LEFT(I5300,2)="MV",2*N5300*IF(L5300="1/C",O5300,1),0)</f>
        <v/>
      </c>
      <c r="Y5300" s="12">
        <f>IF(OR(LEFT(K5300,4)="LVAX",LEFT(K5300,6)="MV15AX",LEFT(K5300,4)="CTAX",LEFT(K5300,2)="W|"),2*N5300*O5300,0)</f>
        <v/>
      </c>
      <c r="Z5300" s="12" t="inlineStr"/>
      <c r="AA5300" s="12">
        <f>N5300*O5300</f>
        <v/>
      </c>
    </row>
    <row r="5301">
      <c r="A5301" s="12" t="inlineStr">
        <is>
          <t>K-C-0007</t>
        </is>
      </c>
      <c r="B5301" s="12" t="inlineStr">
        <is>
          <t>K</t>
        </is>
      </c>
      <c r="C5301" s="12" t="inlineStr">
        <is>
          <t>Fuel supply (adjacent market)</t>
        </is>
      </c>
      <c r="D5301" s="12" t="inlineStr">
        <is>
          <t>Motor 1 of 1: control / local station</t>
        </is>
      </c>
      <c r="E5301" s="12" t="inlineStr"/>
      <c r="F5301" s="12" t="inlineStr">
        <is>
          <t>H2 20: 13.8 kV e-house</t>
        </is>
      </c>
      <c r="G5301" s="12" t="inlineStr"/>
      <c r="H5301" s="12" t="inlineStr">
        <is>
          <t>H2 21: rectifier transformer 1 (7 MVA)</t>
        </is>
      </c>
      <c r="I5301" s="12" t="inlineStr">
        <is>
          <t>Control</t>
        </is>
      </c>
      <c r="J5301" s="12" t="inlineStr">
        <is>
          <t>ARMOR-X MC-HL 600 V control, Cu #14 AWG (Class I Div 2)</t>
        </is>
      </c>
      <c r="K5301" s="12" t="inlineStr">
        <is>
          <t>CTAX|7/C|14</t>
        </is>
      </c>
      <c r="L5301" s="12" t="inlineStr">
        <is>
          <t>7/C</t>
        </is>
      </c>
      <c r="M5301" s="12" t="inlineStr">
        <is>
          <t>14</t>
        </is>
      </c>
      <c r="N5301" s="12" t="n">
        <v>1</v>
      </c>
      <c r="O5301" s="12" t="n">
        <v>1</v>
      </c>
      <c r="P5301" s="12" t="n"/>
      <c r="Q5301" s="12" t="n"/>
      <c r="R5301" s="12" t="n"/>
      <c r="S5301" s="12" t="inlineStr">
        <is>
          <t>Duct bank</t>
        </is>
      </c>
      <c r="T5301" s="16" t="n">
        <v>356</v>
      </c>
      <c r="U5301" s="16" t="n">
        <v>48</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K-C-0008</t>
        </is>
      </c>
      <c r="B5302" s="12" t="inlineStr">
        <is>
          <t>K</t>
        </is>
      </c>
      <c r="C5302" s="12" t="inlineStr">
        <is>
          <t>Fuel supply (adjacent market)</t>
        </is>
      </c>
      <c r="D5302" s="12" t="inlineStr">
        <is>
          <t>Solenoid to JB JB-H2 21: rectifier t-SOL01: 2 x 2/C (field cables)</t>
        </is>
      </c>
      <c r="E5302" s="12" t="inlineStr"/>
      <c r="F5302" s="12" t="inlineStr">
        <is>
          <t>H2 21: rectifier transformer 1 (7 MVA)</t>
        </is>
      </c>
      <c r="G5302" s="12" t="inlineStr">
        <is>
          <t>JB-H2 21: rectifier t-SOL01</t>
        </is>
      </c>
      <c r="H5302" s="12" t="inlineStr">
        <is>
          <t>H2 21: rectifier transformer 1 (7 MVA)</t>
        </is>
      </c>
      <c r="I5302" s="12" t="inlineStr">
        <is>
          <t>Control</t>
        </is>
      </c>
      <c r="J5302" s="12" t="inlineStr">
        <is>
          <t>ARMOR-X MC-HL 600 V control, Cu #14 AWG (Class I Div 2)</t>
        </is>
      </c>
      <c r="K5302" s="12" t="inlineStr">
        <is>
          <t>CTAX|2/C|14</t>
        </is>
      </c>
      <c r="L5302" s="12" t="inlineStr">
        <is>
          <t>2/C</t>
        </is>
      </c>
      <c r="M5302" s="12" t="inlineStr">
        <is>
          <t>14</t>
        </is>
      </c>
      <c r="N5302" s="12" t="n">
        <v>2</v>
      </c>
      <c r="O5302" s="12" t="n">
        <v>1</v>
      </c>
      <c r="P5302" s="12" t="n"/>
      <c r="Q5302" s="12" t="n"/>
      <c r="R5302" s="12" t="n"/>
      <c r="S5302" s="12" t="inlineStr">
        <is>
          <t>Tray / conduit</t>
        </is>
      </c>
      <c r="T5302" s="16" t="n">
        <v>41</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device-to-JB field wiring, one cable per device</t>
        </is>
      </c>
      <c r="AA5302" s="12">
        <f>N5302*O5302</f>
        <v/>
      </c>
    </row>
    <row r="5303">
      <c r="A5303" s="12" t="inlineStr">
        <is>
          <t>K-C-0009</t>
        </is>
      </c>
      <c r="B5303" s="12" t="inlineStr">
        <is>
          <t>K</t>
        </is>
      </c>
      <c r="C5303" s="12" t="inlineStr">
        <is>
          <t>Fuel supply (adjacent market)</t>
        </is>
      </c>
      <c r="D5303" s="12" t="inlineStr">
        <is>
          <t>Home run JB-H2 21: rectifier t-SOL01 to the control / marshalling room</t>
        </is>
      </c>
      <c r="E5303" s="12" t="inlineStr"/>
      <c r="F5303" s="12" t="inlineStr">
        <is>
          <t>H2 20: 13.8 kV e-house</t>
        </is>
      </c>
      <c r="G5303" s="12" t="inlineStr">
        <is>
          <t>JB-H2 21: rectifier t-SOL01</t>
        </is>
      </c>
      <c r="H5303" s="12" t="inlineStr">
        <is>
          <t>H2 21: rectifier transformer 1 (7 MVA)</t>
        </is>
      </c>
      <c r="I5303" s="12" t="inlineStr">
        <is>
          <t>Control</t>
        </is>
      </c>
      <c r="J5303" s="12" t="inlineStr">
        <is>
          <t>ARMOR-X MC-HL 600 V control, Cu #14 AWG (Class I Div 2)</t>
        </is>
      </c>
      <c r="K5303" s="12" t="inlineStr">
        <is>
          <t>CTAX|25/C|14</t>
        </is>
      </c>
      <c r="L5303" s="12" t="inlineStr">
        <is>
          <t>25/C</t>
        </is>
      </c>
      <c r="M5303" s="12" t="inlineStr">
        <is>
          <t>14</t>
        </is>
      </c>
      <c r="N5303" s="12" t="n">
        <v>1</v>
      </c>
      <c r="O5303" s="12" t="n">
        <v>1</v>
      </c>
      <c r="P5303" s="12" t="n"/>
      <c r="Q5303" s="12" t="n"/>
      <c r="R5303" s="12" t="n"/>
      <c r="S5303" s="12" t="inlineStr">
        <is>
          <t>Duct bank</t>
        </is>
      </c>
      <c r="T5303" s="16" t="n">
        <v>356</v>
      </c>
      <c r="U5303" s="16" t="n">
        <v>48</v>
      </c>
      <c r="V5303" s="16">
        <f>ROUNDUP((T5303+U5303+2*'Read Me'!$B$13)*(1+'Read Me'!$B$12),-1)</f>
        <v/>
      </c>
      <c r="W5303" s="16">
        <f>V5303*N5303*O5303</f>
        <v/>
      </c>
      <c r="X5303" s="12">
        <f>IF(LEFT(I5303,2)="MV",2*N5303*IF(L5303="1/C",O5303,1),0)</f>
        <v/>
      </c>
      <c r="Y5303" s="12">
        <f>IF(OR(LEFT(K5303,4)="LVAX",LEFT(K5303,6)="MV15AX",LEFT(K5303,4)="CTAX",LEFT(K5303,2)="W|"),2*N5303*O5303,0)</f>
        <v/>
      </c>
      <c r="Z5303" s="12" t="inlineStr"/>
      <c r="AA5303" s="12">
        <f>N5303*O5303</f>
        <v/>
      </c>
    </row>
    <row r="5304">
      <c r="A5304" s="12" t="inlineStr">
        <is>
          <t>K-C-0010</t>
        </is>
      </c>
      <c r="B5304" s="12" t="inlineStr">
        <is>
          <t>K</t>
        </is>
      </c>
      <c r="C5304" s="12" t="inlineStr">
        <is>
          <t>Fuel supply (adjacent market)</t>
        </is>
      </c>
      <c r="D5304" s="12" t="inlineStr">
        <is>
          <t>Control</t>
        </is>
      </c>
      <c r="E5304" s="12" t="inlineStr"/>
      <c r="F5304" s="12" t="inlineStr">
        <is>
          <t>H2 20: 13.8 kV e-house</t>
        </is>
      </c>
      <c r="G5304" s="12" t="inlineStr"/>
      <c r="H5304" s="12" t="inlineStr">
        <is>
          <t>H2 21: rectifier transformer 1 (7 MVA)</t>
        </is>
      </c>
      <c r="I5304" s="12" t="inlineStr">
        <is>
          <t>Control</t>
        </is>
      </c>
      <c r="J5304" s="12" t="inlineStr">
        <is>
          <t>ARMOR-X MC-HL 600 V control, Cu #14 AWG (Class I Div 2)</t>
        </is>
      </c>
      <c r="K5304" s="12" t="inlineStr">
        <is>
          <t>CTAX|7/C|14</t>
        </is>
      </c>
      <c r="L5304" s="12" t="inlineStr">
        <is>
          <t>7/C</t>
        </is>
      </c>
      <c r="M5304" s="12" t="inlineStr">
        <is>
          <t>14</t>
        </is>
      </c>
      <c r="N5304" s="12" t="n">
        <v>1</v>
      </c>
      <c r="O5304" s="12" t="n">
        <v>1</v>
      </c>
      <c r="P5304" s="12" t="n"/>
      <c r="Q5304" s="12" t="n"/>
      <c r="R5304" s="12" t="n"/>
      <c r="S5304" s="12" t="inlineStr">
        <is>
          <t>Duct bank</t>
        </is>
      </c>
      <c r="T5304" s="16" t="n">
        <v>356</v>
      </c>
      <c r="U5304" s="16" t="n">
        <v>48</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K-C-0011</t>
        </is>
      </c>
      <c r="B5305" s="12" t="inlineStr">
        <is>
          <t>K</t>
        </is>
      </c>
      <c r="C5305" s="12" t="inlineStr">
        <is>
          <t>Fuel supply (adjacent market)</t>
        </is>
      </c>
      <c r="D5305" s="12" t="inlineStr">
        <is>
          <t>Control</t>
        </is>
      </c>
      <c r="E5305" s="12" t="inlineStr"/>
      <c r="F5305" s="12" t="inlineStr">
        <is>
          <t>H2 20: 13.8 kV e-house</t>
        </is>
      </c>
      <c r="G5305" s="12" t="inlineStr"/>
      <c r="H5305" s="12" t="inlineStr">
        <is>
          <t>H2 21: rectifier transformer 1 (7 MVA)</t>
        </is>
      </c>
      <c r="I5305" s="12" t="inlineStr">
        <is>
          <t>Control</t>
        </is>
      </c>
      <c r="J5305" s="12" t="inlineStr">
        <is>
          <t>ARMOR-X MC-HL 600 V control, Cu #14 AWG (Class I Div 2)</t>
        </is>
      </c>
      <c r="K5305" s="12" t="inlineStr">
        <is>
          <t>CTAX|12/C|14</t>
        </is>
      </c>
      <c r="L5305" s="12" t="inlineStr">
        <is>
          <t>12/C</t>
        </is>
      </c>
      <c r="M5305" s="12" t="inlineStr">
        <is>
          <t>14</t>
        </is>
      </c>
      <c r="N5305" s="12" t="n">
        <v>1</v>
      </c>
      <c r="O5305" s="12" t="n">
        <v>1</v>
      </c>
      <c r="P5305" s="12" t="n"/>
      <c r="Q5305" s="12" t="n"/>
      <c r="R5305" s="12" t="n"/>
      <c r="S5305" s="12" t="inlineStr">
        <is>
          <t>Duct bank</t>
        </is>
      </c>
      <c r="T5305" s="16" t="n">
        <v>356</v>
      </c>
      <c r="U5305" s="16" t="n">
        <v>48</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K-C-0012</t>
        </is>
      </c>
      <c r="B5306" s="12" t="inlineStr">
        <is>
          <t>K</t>
        </is>
      </c>
      <c r="C5306" s="12" t="inlineStr">
        <is>
          <t>Fuel supply (adjacent market)</t>
        </is>
      </c>
      <c r="D5306" s="12" t="inlineStr">
        <is>
          <t>CT / VT</t>
        </is>
      </c>
      <c r="E5306" s="12" t="inlineStr"/>
      <c r="F5306" s="12" t="inlineStr">
        <is>
          <t>H2 20: 13.8 kV e-house</t>
        </is>
      </c>
      <c r="G5306" s="12" t="inlineStr"/>
      <c r="H5306" s="12" t="inlineStr">
        <is>
          <t>H2 21: rectifier transformer 1 (7 MVA)</t>
        </is>
      </c>
      <c r="I5306" s="12" t="inlineStr">
        <is>
          <t>Control</t>
        </is>
      </c>
      <c r="J5306" s="12" t="inlineStr">
        <is>
          <t>Control cable 600 V Type TC-ER, Cu #10 AWG (CT / VT circuits)</t>
        </is>
      </c>
      <c r="K5306" s="12" t="inlineStr">
        <is>
          <t>CTCT|4/C|10</t>
        </is>
      </c>
      <c r="L5306" s="12" t="inlineStr">
        <is>
          <t>4/C</t>
        </is>
      </c>
      <c r="M5306" s="12" t="inlineStr">
        <is>
          <t>10</t>
        </is>
      </c>
      <c r="N5306" s="12" t="n">
        <v>1</v>
      </c>
      <c r="O5306" s="12" t="n">
        <v>1</v>
      </c>
      <c r="P5306" s="12" t="n"/>
      <c r="Q5306" s="12" t="n"/>
      <c r="R5306" s="12" t="n"/>
      <c r="S5306" s="12" t="inlineStr">
        <is>
          <t>Duct bank</t>
        </is>
      </c>
      <c r="T5306" s="16" t="n">
        <v>356</v>
      </c>
      <c r="U5306" s="16" t="n">
        <v>48</v>
      </c>
      <c r="V5306" s="16">
        <f>ROUNDUP((T5306+U5306+2*'Read Me'!$B$13)*(1+'Read Me'!$B$12),-1)</f>
        <v/>
      </c>
      <c r="W5306" s="16">
        <f>V5306*N5306*O5306</f>
        <v/>
      </c>
      <c r="X5306" s="12">
        <f>IF(LEFT(I5306,2)="MV",2*N5306*IF(L5306="1/C",O5306,1),0)</f>
        <v/>
      </c>
      <c r="Y5306" s="12">
        <f>IF(OR(LEFT(K5306,4)="LVAX",LEFT(K5306,6)="MV15AX",LEFT(K5306,4)="CTAX",LEFT(K5306,2)="W|"),2*N5306*O5306,0)</f>
        <v/>
      </c>
      <c r="Z5306" s="12" t="inlineStr"/>
      <c r="AA5306" s="12">
        <f>N5306*O5306</f>
        <v/>
      </c>
    </row>
    <row r="5307">
      <c r="A5307" s="12" t="inlineStr">
        <is>
          <t>K-C-0013</t>
        </is>
      </c>
      <c r="B5307" s="12" t="inlineStr">
        <is>
          <t>K</t>
        </is>
      </c>
      <c r="C5307" s="12" t="inlineStr">
        <is>
          <t>Fuel supply (adjacent market)</t>
        </is>
      </c>
      <c r="D5307" s="12" t="inlineStr">
        <is>
          <t>CT / VT</t>
        </is>
      </c>
      <c r="E5307" s="12" t="inlineStr"/>
      <c r="F5307" s="12" t="inlineStr">
        <is>
          <t>H2 20: 13.8 kV e-house</t>
        </is>
      </c>
      <c r="G5307" s="12" t="inlineStr"/>
      <c r="H5307" s="12" t="inlineStr">
        <is>
          <t>H2 21: rectifier transformer 1 (7 MVA)</t>
        </is>
      </c>
      <c r="I5307" s="12" t="inlineStr">
        <is>
          <t>Control</t>
        </is>
      </c>
      <c r="J5307" s="12" t="inlineStr">
        <is>
          <t>Control cable 600 V Type TC-ER, Cu #10 AWG (CT / VT circuits)</t>
        </is>
      </c>
      <c r="K5307" s="12" t="inlineStr">
        <is>
          <t>CTCT|4/C|10</t>
        </is>
      </c>
      <c r="L5307" s="12" t="inlineStr">
        <is>
          <t>4/C</t>
        </is>
      </c>
      <c r="M5307" s="12" t="inlineStr">
        <is>
          <t>10</t>
        </is>
      </c>
      <c r="N5307" s="12" t="n">
        <v>1</v>
      </c>
      <c r="O5307" s="12" t="n">
        <v>1</v>
      </c>
      <c r="P5307" s="12" t="n"/>
      <c r="Q5307" s="12" t="n"/>
      <c r="R5307" s="12" t="n"/>
      <c r="S5307" s="12" t="inlineStr">
        <is>
          <t>Duct bank</t>
        </is>
      </c>
      <c r="T5307" s="16" t="n">
        <v>356</v>
      </c>
      <c r="U5307" s="16" t="n">
        <v>48</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K-C-0014</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21: rectifier transformer 2 (7 MVA)</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356</v>
      </c>
      <c r="U5308" s="16" t="n">
        <v>32</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K-C-0015</t>
        </is>
      </c>
      <c r="B5309" s="12" t="inlineStr">
        <is>
          <t>K</t>
        </is>
      </c>
      <c r="C5309" s="12" t="inlineStr">
        <is>
          <t>Fuel supply (adjacent market)</t>
        </is>
      </c>
      <c r="D5309" s="12" t="inlineStr">
        <is>
          <t>Solenoid to JB JB-H2 21: rectifier t-SOL01: 2 x 2/C (field cables)</t>
        </is>
      </c>
      <c r="E5309" s="12" t="inlineStr"/>
      <c r="F5309" s="12" t="inlineStr">
        <is>
          <t>H2 21: rectifier transformer 2 (7 MVA)</t>
        </is>
      </c>
      <c r="G5309" s="12" t="inlineStr">
        <is>
          <t>JB-H2 21: rectifier t-SOL01</t>
        </is>
      </c>
      <c r="H5309" s="12" t="inlineStr">
        <is>
          <t>H2 21: rectifier transformer 2 (7 MVA)</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41</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K-C-0016</t>
        </is>
      </c>
      <c r="B5310" s="12" t="inlineStr">
        <is>
          <t>K</t>
        </is>
      </c>
      <c r="C5310" s="12" t="inlineStr">
        <is>
          <t>Fuel supply (adjacent market)</t>
        </is>
      </c>
      <c r="D5310" s="12" t="inlineStr">
        <is>
          <t>Home run JB-H2 21: rectifier t-SOL01 to the control / marshalling room</t>
        </is>
      </c>
      <c r="E5310" s="12" t="inlineStr"/>
      <c r="F5310" s="12" t="inlineStr">
        <is>
          <t>H2 20: 13.8 kV e-house</t>
        </is>
      </c>
      <c r="G5310" s="12" t="inlineStr">
        <is>
          <t>JB-H2 21: rectifier t-SOL01</t>
        </is>
      </c>
      <c r="H5310" s="12" t="inlineStr">
        <is>
          <t>H2 21: rectifier transformer 2 (7 MVA)</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356</v>
      </c>
      <c r="U5310" s="16" t="n">
        <v>32</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K-C-0017</t>
        </is>
      </c>
      <c r="B5311" s="12" t="inlineStr">
        <is>
          <t>K</t>
        </is>
      </c>
      <c r="C5311" s="12" t="inlineStr">
        <is>
          <t>Fuel supply (adjacent market)</t>
        </is>
      </c>
      <c r="D5311" s="12" t="inlineStr">
        <is>
          <t>Control</t>
        </is>
      </c>
      <c r="E5311" s="12" t="inlineStr"/>
      <c r="F5311" s="12" t="inlineStr">
        <is>
          <t>H2 20: 13.8 kV e-house</t>
        </is>
      </c>
      <c r="G5311" s="12" t="inlineStr"/>
      <c r="H5311" s="12" t="inlineStr">
        <is>
          <t>H2 21: rectifier transformer 2 (7 MVA)</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356</v>
      </c>
      <c r="U5311" s="16" t="n">
        <v>32</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K-C-0018</t>
        </is>
      </c>
      <c r="B5312" s="12" t="inlineStr">
        <is>
          <t>K</t>
        </is>
      </c>
      <c r="C5312" s="12" t="inlineStr">
        <is>
          <t>Fuel supply (adjacent market)</t>
        </is>
      </c>
      <c r="D5312" s="12" t="inlineStr">
        <is>
          <t>Control</t>
        </is>
      </c>
      <c r="E5312" s="12" t="inlineStr"/>
      <c r="F5312" s="12" t="inlineStr">
        <is>
          <t>H2 20: 13.8 kV e-house</t>
        </is>
      </c>
      <c r="G5312" s="12" t="inlineStr"/>
      <c r="H5312" s="12" t="inlineStr">
        <is>
          <t>H2 21: rectifier transformer 2 (7 MVA)</t>
        </is>
      </c>
      <c r="I5312" s="12" t="inlineStr">
        <is>
          <t>Control</t>
        </is>
      </c>
      <c r="J5312" s="12" t="inlineStr">
        <is>
          <t>ARMOR-X MC-HL 600 V control, Cu #14 AWG (Class I Div 2)</t>
        </is>
      </c>
      <c r="K5312" s="12" t="inlineStr">
        <is>
          <t>CTAX|12/C|14</t>
        </is>
      </c>
      <c r="L5312" s="12" t="inlineStr">
        <is>
          <t>12/C</t>
        </is>
      </c>
      <c r="M5312" s="12" t="inlineStr">
        <is>
          <t>14</t>
        </is>
      </c>
      <c r="N5312" s="12" t="n">
        <v>1</v>
      </c>
      <c r="O5312" s="12" t="n">
        <v>1</v>
      </c>
      <c r="P5312" s="12" t="n"/>
      <c r="Q5312" s="12" t="n"/>
      <c r="R5312" s="12" t="n"/>
      <c r="S5312" s="12" t="inlineStr">
        <is>
          <t>Duct bank</t>
        </is>
      </c>
      <c r="T5312" s="16" t="n">
        <v>356</v>
      </c>
      <c r="U5312" s="16" t="n">
        <v>32</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K-C-0019</t>
        </is>
      </c>
      <c r="B5313" s="12" t="inlineStr">
        <is>
          <t>K</t>
        </is>
      </c>
      <c r="C5313" s="12" t="inlineStr">
        <is>
          <t>Fuel supply (adjacent market)</t>
        </is>
      </c>
      <c r="D5313" s="12" t="inlineStr">
        <is>
          <t>CT / VT</t>
        </is>
      </c>
      <c r="E5313" s="12" t="inlineStr"/>
      <c r="F5313" s="12" t="inlineStr">
        <is>
          <t>H2 20: 13.8 kV e-house</t>
        </is>
      </c>
      <c r="G5313" s="12" t="inlineStr"/>
      <c r="H5313" s="12" t="inlineStr">
        <is>
          <t>H2 21: rectifier transformer 2 (7 MVA)</t>
        </is>
      </c>
      <c r="I5313" s="12" t="inlineStr">
        <is>
          <t>Control</t>
        </is>
      </c>
      <c r="J5313" s="12" t="inlineStr">
        <is>
          <t>Control cable 600 V Type TC-ER, Cu #10 AWG (CT / VT circuits)</t>
        </is>
      </c>
      <c r="K5313" s="12" t="inlineStr">
        <is>
          <t>CTCT|4/C|10</t>
        </is>
      </c>
      <c r="L5313" s="12" t="inlineStr">
        <is>
          <t>4/C</t>
        </is>
      </c>
      <c r="M5313" s="12" t="inlineStr">
        <is>
          <t>10</t>
        </is>
      </c>
      <c r="N5313" s="12" t="n">
        <v>1</v>
      </c>
      <c r="O5313" s="12" t="n">
        <v>1</v>
      </c>
      <c r="P5313" s="12" t="n"/>
      <c r="Q5313" s="12" t="n"/>
      <c r="R5313" s="12" t="n"/>
      <c r="S5313" s="12" t="inlineStr">
        <is>
          <t>Duct bank</t>
        </is>
      </c>
      <c r="T5313" s="16" t="n">
        <v>356</v>
      </c>
      <c r="U5313" s="16" t="n">
        <v>32</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K-C-0020</t>
        </is>
      </c>
      <c r="B5314" s="12" t="inlineStr">
        <is>
          <t>K</t>
        </is>
      </c>
      <c r="C5314" s="12" t="inlineStr">
        <is>
          <t>Fuel supply (adjacent market)</t>
        </is>
      </c>
      <c r="D5314" s="12" t="inlineStr">
        <is>
          <t>CT / VT</t>
        </is>
      </c>
      <c r="E5314" s="12" t="inlineStr"/>
      <c r="F5314" s="12" t="inlineStr">
        <is>
          <t>H2 20: 13.8 kV e-house</t>
        </is>
      </c>
      <c r="G5314" s="12" t="inlineStr"/>
      <c r="H5314" s="12" t="inlineStr">
        <is>
          <t>H2 21: rectifier transformer 2 (7 MVA)</t>
        </is>
      </c>
      <c r="I5314" s="12" t="inlineStr">
        <is>
          <t>Control</t>
        </is>
      </c>
      <c r="J5314" s="12" t="inlineStr">
        <is>
          <t>Control cable 600 V Type TC-ER, Cu #10 AWG (CT / VT circuits)</t>
        </is>
      </c>
      <c r="K5314" s="12" t="inlineStr">
        <is>
          <t>CTCT|4/C|10</t>
        </is>
      </c>
      <c r="L5314" s="12" t="inlineStr">
        <is>
          <t>4/C</t>
        </is>
      </c>
      <c r="M5314" s="12" t="inlineStr">
        <is>
          <t>10</t>
        </is>
      </c>
      <c r="N5314" s="12" t="n">
        <v>1</v>
      </c>
      <c r="O5314" s="12" t="n">
        <v>1</v>
      </c>
      <c r="P5314" s="12" t="n"/>
      <c r="Q5314" s="12" t="n"/>
      <c r="R5314" s="12" t="n"/>
      <c r="S5314" s="12" t="inlineStr">
        <is>
          <t>Duct bank</t>
        </is>
      </c>
      <c r="T5314" s="16" t="n">
        <v>356</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K-C-0021</t>
        </is>
      </c>
      <c r="B5315" s="12" t="inlineStr">
        <is>
          <t>K</t>
        </is>
      </c>
      <c r="C5315" s="12" t="inlineStr">
        <is>
          <t>Fuel supply (adjacent market)</t>
        </is>
      </c>
      <c r="D5315" s="12" t="inlineStr">
        <is>
          <t>Motor 1 of 1: control / local station</t>
        </is>
      </c>
      <c r="E5315" s="12" t="inlineStr"/>
      <c r="F5315" s="12" t="inlineStr">
        <is>
          <t>H2 20: 13.8 kV e-house</t>
        </is>
      </c>
      <c r="G5315" s="12" t="inlineStr"/>
      <c r="H5315" s="12" t="inlineStr">
        <is>
          <t>H2 21: rectifier transformer 3 (7 MVA)</t>
        </is>
      </c>
      <c r="I5315" s="12" t="inlineStr">
        <is>
          <t>Control</t>
        </is>
      </c>
      <c r="J5315" s="12" t="inlineStr">
        <is>
          <t>ARMOR-X MC-HL 600 V control, Cu #14 AWG (Class I Div 2)</t>
        </is>
      </c>
      <c r="K5315" s="12" t="inlineStr">
        <is>
          <t>CTAX|7/C|14</t>
        </is>
      </c>
      <c r="L5315" s="12" t="inlineStr">
        <is>
          <t>7/C</t>
        </is>
      </c>
      <c r="M5315" s="12" t="inlineStr">
        <is>
          <t>14</t>
        </is>
      </c>
      <c r="N5315" s="12" t="n">
        <v>1</v>
      </c>
      <c r="O5315" s="12" t="n">
        <v>1</v>
      </c>
      <c r="P5315" s="12" t="n"/>
      <c r="Q5315" s="12" t="n"/>
      <c r="R5315" s="12" t="n"/>
      <c r="S5315" s="12" t="inlineStr">
        <is>
          <t>Duct bank</t>
        </is>
      </c>
      <c r="T5315" s="16" t="n">
        <v>334</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K-C-0022</t>
        </is>
      </c>
      <c r="B5316" s="12" t="inlineStr">
        <is>
          <t>K</t>
        </is>
      </c>
      <c r="C5316" s="12" t="inlineStr">
        <is>
          <t>Fuel supply (adjacent market)</t>
        </is>
      </c>
      <c r="D5316" s="12" t="inlineStr">
        <is>
          <t>Solenoid to JB JB-H2 21: rectifier t-SOL01: 2 x 2/C (field cables)</t>
        </is>
      </c>
      <c r="E5316" s="12" t="inlineStr"/>
      <c r="F5316" s="12" t="inlineStr">
        <is>
          <t>H2 21: rectifier transformer 3 (7 MVA)</t>
        </is>
      </c>
      <c r="G5316" s="12" t="inlineStr">
        <is>
          <t>JB-H2 21: rectifier t-SOL01</t>
        </is>
      </c>
      <c r="H5316" s="12" t="inlineStr">
        <is>
          <t>H2 21: rectifier transformer 3 (7 MVA)</t>
        </is>
      </c>
      <c r="I5316" s="12" t="inlineStr">
        <is>
          <t>Control</t>
        </is>
      </c>
      <c r="J5316" s="12" t="inlineStr">
        <is>
          <t>ARMOR-X MC-HL 600 V control, Cu #14 AWG (Class I Div 2)</t>
        </is>
      </c>
      <c r="K5316" s="12" t="inlineStr">
        <is>
          <t>CTAX|2/C|14</t>
        </is>
      </c>
      <c r="L5316" s="12" t="inlineStr">
        <is>
          <t>2/C</t>
        </is>
      </c>
      <c r="M5316" s="12" t="inlineStr">
        <is>
          <t>14</t>
        </is>
      </c>
      <c r="N5316" s="12" t="n">
        <v>2</v>
      </c>
      <c r="O5316" s="12" t="n">
        <v>1</v>
      </c>
      <c r="P5316" s="12" t="n"/>
      <c r="Q5316" s="12" t="n"/>
      <c r="R5316" s="12" t="n"/>
      <c r="S5316" s="12" t="inlineStr">
        <is>
          <t>Tray / conduit</t>
        </is>
      </c>
      <c r="T5316" s="16" t="n">
        <v>41</v>
      </c>
      <c r="U5316" s="16" t="n">
        <v>10</v>
      </c>
      <c r="V5316" s="16">
        <f>ROUNDUP((T5316+U5316+2*'Read Me'!$B$13)*(1+'Read Me'!$B$12),-1)</f>
        <v/>
      </c>
      <c r="W5316" s="16">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K-C-0023</t>
        </is>
      </c>
      <c r="B5317" s="12" t="inlineStr">
        <is>
          <t>K</t>
        </is>
      </c>
      <c r="C5317" s="12" t="inlineStr">
        <is>
          <t>Fuel supply (adjacent market)</t>
        </is>
      </c>
      <c r="D5317" s="12" t="inlineStr">
        <is>
          <t>Home run JB-H2 21: rectifier t-SOL01 to the control / marshalling room</t>
        </is>
      </c>
      <c r="E5317" s="12" t="inlineStr"/>
      <c r="F5317" s="12" t="inlineStr">
        <is>
          <t>H2 20: 13.8 kV e-house</t>
        </is>
      </c>
      <c r="G5317" s="12" t="inlineStr">
        <is>
          <t>JB-H2 21: rectifier t-SOL01</t>
        </is>
      </c>
      <c r="H5317" s="12" t="inlineStr">
        <is>
          <t>H2 21: rectifier transformer 3 (7 MVA)</t>
        </is>
      </c>
      <c r="I5317" s="12" t="inlineStr">
        <is>
          <t>Control</t>
        </is>
      </c>
      <c r="J5317" s="12" t="inlineStr">
        <is>
          <t>ARMOR-X MC-HL 600 V control, Cu #14 AWG (Class I Div 2)</t>
        </is>
      </c>
      <c r="K5317" s="12" t="inlineStr">
        <is>
          <t>CTAX|25/C|14</t>
        </is>
      </c>
      <c r="L5317" s="12" t="inlineStr">
        <is>
          <t>25/C</t>
        </is>
      </c>
      <c r="M5317" s="12" t="inlineStr">
        <is>
          <t>14</t>
        </is>
      </c>
      <c r="N5317" s="12" t="n">
        <v>1</v>
      </c>
      <c r="O5317" s="12" t="n">
        <v>1</v>
      </c>
      <c r="P5317" s="12" t="n"/>
      <c r="Q5317" s="12" t="n"/>
      <c r="R5317" s="12" t="n"/>
      <c r="S5317" s="12" t="inlineStr">
        <is>
          <t>Duct bank</t>
        </is>
      </c>
      <c r="T5317" s="16" t="n">
        <v>334</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K-C-0024</t>
        </is>
      </c>
      <c r="B5318" s="12" t="inlineStr">
        <is>
          <t>K</t>
        </is>
      </c>
      <c r="C5318" s="12" t="inlineStr">
        <is>
          <t>Fuel supply (adjacent market)</t>
        </is>
      </c>
      <c r="D5318" s="12" t="inlineStr">
        <is>
          <t>Control</t>
        </is>
      </c>
      <c r="E5318" s="12" t="inlineStr"/>
      <c r="F5318" s="12" t="inlineStr">
        <is>
          <t>H2 20: 13.8 kV e-house</t>
        </is>
      </c>
      <c r="G5318" s="12" t="inlineStr"/>
      <c r="H5318" s="12" t="inlineStr">
        <is>
          <t>H2 21: rectifier transformer 3 (7 MVA)</t>
        </is>
      </c>
      <c r="I5318" s="12" t="inlineStr">
        <is>
          <t>Control</t>
        </is>
      </c>
      <c r="J5318" s="12" t="inlineStr">
        <is>
          <t>ARMOR-X MC-HL 600 V control, Cu #14 AWG (Class I Div 2)</t>
        </is>
      </c>
      <c r="K5318" s="12" t="inlineStr">
        <is>
          <t>CTAX|7/C|14</t>
        </is>
      </c>
      <c r="L5318" s="12" t="inlineStr">
        <is>
          <t>7/C</t>
        </is>
      </c>
      <c r="M5318" s="12" t="inlineStr">
        <is>
          <t>14</t>
        </is>
      </c>
      <c r="N5318" s="12" t="n">
        <v>1</v>
      </c>
      <c r="O5318" s="12" t="n">
        <v>1</v>
      </c>
      <c r="P5318" s="12" t="n"/>
      <c r="Q5318" s="12" t="n"/>
      <c r="R5318" s="12" t="n"/>
      <c r="S5318" s="12" t="inlineStr">
        <is>
          <t>Duct bank</t>
        </is>
      </c>
      <c r="T5318" s="16" t="n">
        <v>334</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K-C-0025</t>
        </is>
      </c>
      <c r="B5319" s="12" t="inlineStr">
        <is>
          <t>K</t>
        </is>
      </c>
      <c r="C5319" s="12" t="inlineStr">
        <is>
          <t>Fuel supply (adjacent market)</t>
        </is>
      </c>
      <c r="D5319" s="12" t="inlineStr">
        <is>
          <t>Control</t>
        </is>
      </c>
      <c r="E5319" s="12" t="inlineStr"/>
      <c r="F5319" s="12" t="inlineStr">
        <is>
          <t>H2 20: 13.8 kV e-house</t>
        </is>
      </c>
      <c r="G5319" s="12" t="inlineStr"/>
      <c r="H5319" s="12" t="inlineStr">
        <is>
          <t>H2 21: rectifier transformer 3 (7 MVA)</t>
        </is>
      </c>
      <c r="I5319" s="12" t="inlineStr">
        <is>
          <t>Control</t>
        </is>
      </c>
      <c r="J5319" s="12" t="inlineStr">
        <is>
          <t>ARMOR-X MC-HL 600 V control, Cu #14 AWG (Class I Div 2)</t>
        </is>
      </c>
      <c r="K5319" s="12" t="inlineStr">
        <is>
          <t>CTAX|12/C|14</t>
        </is>
      </c>
      <c r="L5319" s="12" t="inlineStr">
        <is>
          <t>12/C</t>
        </is>
      </c>
      <c r="M5319" s="12" t="inlineStr">
        <is>
          <t>14</t>
        </is>
      </c>
      <c r="N5319" s="12" t="n">
        <v>1</v>
      </c>
      <c r="O5319" s="12" t="n">
        <v>1</v>
      </c>
      <c r="P5319" s="12" t="n"/>
      <c r="Q5319" s="12" t="n"/>
      <c r="R5319" s="12" t="n"/>
      <c r="S5319" s="12" t="inlineStr">
        <is>
          <t>Duct bank</t>
        </is>
      </c>
      <c r="T5319" s="16" t="n">
        <v>334</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K-C-0026</t>
        </is>
      </c>
      <c r="B5320" s="12" t="inlineStr">
        <is>
          <t>K</t>
        </is>
      </c>
      <c r="C5320" s="12" t="inlineStr">
        <is>
          <t>Fuel supply (adjacent market)</t>
        </is>
      </c>
      <c r="D5320" s="12" t="inlineStr">
        <is>
          <t>CT / VT</t>
        </is>
      </c>
      <c r="E5320" s="12" t="inlineStr"/>
      <c r="F5320" s="12" t="inlineStr">
        <is>
          <t>H2 20: 13.8 kV e-house</t>
        </is>
      </c>
      <c r="G5320" s="12" t="inlineStr"/>
      <c r="H5320" s="12" t="inlineStr">
        <is>
          <t>H2 21: rectifier transformer 3 (7 MVA)</t>
        </is>
      </c>
      <c r="I5320" s="12" t="inlineStr">
        <is>
          <t>Control</t>
        </is>
      </c>
      <c r="J5320" s="12" t="inlineStr">
        <is>
          <t>Control cable 600 V Type TC-ER, Cu #10 AWG (CT / VT circuits)</t>
        </is>
      </c>
      <c r="K5320" s="12" t="inlineStr">
        <is>
          <t>CTCT|4/C|10</t>
        </is>
      </c>
      <c r="L5320" s="12" t="inlineStr">
        <is>
          <t>4/C</t>
        </is>
      </c>
      <c r="M5320" s="12" t="inlineStr">
        <is>
          <t>10</t>
        </is>
      </c>
      <c r="N5320" s="12" t="n">
        <v>1</v>
      </c>
      <c r="O5320" s="12" t="n">
        <v>1</v>
      </c>
      <c r="P5320" s="12" t="n"/>
      <c r="Q5320" s="12" t="n"/>
      <c r="R5320" s="12" t="n"/>
      <c r="S5320" s="12" t="inlineStr">
        <is>
          <t>Duct bank</t>
        </is>
      </c>
      <c r="T5320" s="16" t="n">
        <v>334</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K-C-0027</t>
        </is>
      </c>
      <c r="B5321" s="12" t="inlineStr">
        <is>
          <t>K</t>
        </is>
      </c>
      <c r="C5321" s="12" t="inlineStr">
        <is>
          <t>Fuel supply (adjacent market)</t>
        </is>
      </c>
      <c r="D5321" s="12" t="inlineStr">
        <is>
          <t>CT / VT</t>
        </is>
      </c>
      <c r="E5321" s="12" t="inlineStr"/>
      <c r="F5321" s="12" t="inlineStr">
        <is>
          <t>H2 20: 13.8 kV e-house</t>
        </is>
      </c>
      <c r="G5321" s="12" t="inlineStr"/>
      <c r="H5321" s="12" t="inlineStr">
        <is>
          <t>H2 21: rectifier transformer 3 (7 MVA)</t>
        </is>
      </c>
      <c r="I5321" s="12" t="inlineStr">
        <is>
          <t>Control</t>
        </is>
      </c>
      <c r="J5321" s="12" t="inlineStr">
        <is>
          <t>Control cable 600 V Type TC-ER, Cu #10 AWG (CT / VT circuits)</t>
        </is>
      </c>
      <c r="K5321" s="12" t="inlineStr">
        <is>
          <t>CTCT|4/C|10</t>
        </is>
      </c>
      <c r="L5321" s="12" t="inlineStr">
        <is>
          <t>4/C</t>
        </is>
      </c>
      <c r="M5321" s="12" t="inlineStr">
        <is>
          <t>10</t>
        </is>
      </c>
      <c r="N5321" s="12" t="n">
        <v>1</v>
      </c>
      <c r="O5321" s="12" t="n">
        <v>1</v>
      </c>
      <c r="P5321" s="12" t="n"/>
      <c r="Q5321" s="12" t="n"/>
      <c r="R5321" s="12" t="n"/>
      <c r="S5321" s="12" t="inlineStr">
        <is>
          <t>Duct bank</t>
        </is>
      </c>
      <c r="T5321" s="16" t="n">
        <v>334</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K-C-0028</t>
        </is>
      </c>
      <c r="B5322" s="12" t="inlineStr">
        <is>
          <t>K</t>
        </is>
      </c>
      <c r="C5322" s="12" t="inlineStr">
        <is>
          <t>Fuel supply (adjacent market)</t>
        </is>
      </c>
      <c r="D5322" s="12" t="inlineStr">
        <is>
          <t>Motor 1 of 1: control / local station</t>
        </is>
      </c>
      <c r="E5322" s="12" t="inlineStr"/>
      <c r="F5322" s="12" t="inlineStr">
        <is>
          <t>H2 20: 13.8 kV e-house</t>
        </is>
      </c>
      <c r="G5322" s="12" t="inlineStr"/>
      <c r="H5322" s="12" t="inlineStr">
        <is>
          <t>H2 21: rectifier transformer 4 (7 MVA)</t>
        </is>
      </c>
      <c r="I5322" s="12" t="inlineStr">
        <is>
          <t>Control</t>
        </is>
      </c>
      <c r="J5322" s="12" t="inlineStr">
        <is>
          <t>ARMOR-X MC-HL 600 V control, Cu #14 AWG (Class I Div 2)</t>
        </is>
      </c>
      <c r="K5322" s="12" t="inlineStr">
        <is>
          <t>CTAX|7/C|14</t>
        </is>
      </c>
      <c r="L5322" s="12" t="inlineStr">
        <is>
          <t>7/C</t>
        </is>
      </c>
      <c r="M5322" s="12" t="inlineStr">
        <is>
          <t>14</t>
        </is>
      </c>
      <c r="N5322" s="12" t="n">
        <v>1</v>
      </c>
      <c r="O5322" s="12" t="n">
        <v>1</v>
      </c>
      <c r="P5322" s="12" t="n"/>
      <c r="Q5322" s="12" t="n"/>
      <c r="R5322" s="12" t="n"/>
      <c r="S5322" s="12" t="inlineStr">
        <is>
          <t>Duct bank</t>
        </is>
      </c>
      <c r="T5322" s="16" t="n">
        <v>312</v>
      </c>
      <c r="U5322" s="16" t="n">
        <v>32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K-C-0029</t>
        </is>
      </c>
      <c r="B5323" s="12" t="inlineStr">
        <is>
          <t>K</t>
        </is>
      </c>
      <c r="C5323" s="12" t="inlineStr">
        <is>
          <t>Fuel supply (adjacent market)</t>
        </is>
      </c>
      <c r="D5323" s="12" t="inlineStr">
        <is>
          <t>Solenoid to JB JB-H2 21: rectifier t-SOL01: 2 x 2/C (field cables)</t>
        </is>
      </c>
      <c r="E5323" s="12" t="inlineStr"/>
      <c r="F5323" s="12" t="inlineStr">
        <is>
          <t>H2 21: rectifier transformer 4 (7 MVA)</t>
        </is>
      </c>
      <c r="G5323" s="12" t="inlineStr">
        <is>
          <t>JB-H2 21: rectifier t-SOL01</t>
        </is>
      </c>
      <c r="H5323" s="12" t="inlineStr">
        <is>
          <t>H2 21: rectifier transformer 4 (7 MVA)</t>
        </is>
      </c>
      <c r="I5323" s="12" t="inlineStr">
        <is>
          <t>Control</t>
        </is>
      </c>
      <c r="J5323" s="12" t="inlineStr">
        <is>
          <t>ARMOR-X MC-HL 600 V control, Cu #14 AWG (Class I Div 2)</t>
        </is>
      </c>
      <c r="K5323" s="12" t="inlineStr">
        <is>
          <t>CTAX|2/C|14</t>
        </is>
      </c>
      <c r="L5323" s="12" t="inlineStr">
        <is>
          <t>2/C</t>
        </is>
      </c>
      <c r="M5323" s="12" t="inlineStr">
        <is>
          <t>14</t>
        </is>
      </c>
      <c r="N5323" s="12" t="n">
        <v>2</v>
      </c>
      <c r="O5323" s="12" t="n">
        <v>1</v>
      </c>
      <c r="P5323" s="12" t="n"/>
      <c r="Q5323" s="12" t="n"/>
      <c r="R5323" s="12" t="n"/>
      <c r="S5323" s="12" t="inlineStr">
        <is>
          <t>Tray / conduit</t>
        </is>
      </c>
      <c r="T5323" s="16" t="n">
        <v>41</v>
      </c>
      <c r="U5323" s="16" t="n">
        <v>10</v>
      </c>
      <c r="V5323" s="16">
        <f>ROUNDUP((T5323+U5323+2*'Read Me'!$B$13)*(1+'Read Me'!$B$12),-1)</f>
        <v/>
      </c>
      <c r="W5323" s="16">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K-C-0030</t>
        </is>
      </c>
      <c r="B5324" s="12" t="inlineStr">
        <is>
          <t>K</t>
        </is>
      </c>
      <c r="C5324" s="12" t="inlineStr">
        <is>
          <t>Fuel supply (adjacent market)</t>
        </is>
      </c>
      <c r="D5324" s="12" t="inlineStr">
        <is>
          <t>Home run JB-H2 21: rectifier t-SOL01 to the control / marshalling room</t>
        </is>
      </c>
      <c r="E5324" s="12" t="inlineStr"/>
      <c r="F5324" s="12" t="inlineStr">
        <is>
          <t>H2 20: 13.8 kV e-house</t>
        </is>
      </c>
      <c r="G5324" s="12" t="inlineStr">
        <is>
          <t>JB-H2 21: rectifier t-SOL01</t>
        </is>
      </c>
      <c r="H5324" s="12" t="inlineStr">
        <is>
          <t>H2 21: rectifier transformer 4 (7 MVA)</t>
        </is>
      </c>
      <c r="I5324" s="12" t="inlineStr">
        <is>
          <t>Control</t>
        </is>
      </c>
      <c r="J5324" s="12" t="inlineStr">
        <is>
          <t>ARMOR-X MC-HL 600 V control, Cu #14 AWG (Class I Div 2)</t>
        </is>
      </c>
      <c r="K5324" s="12" t="inlineStr">
        <is>
          <t>CTAX|25/C|14</t>
        </is>
      </c>
      <c r="L5324" s="12" t="inlineStr">
        <is>
          <t>25/C</t>
        </is>
      </c>
      <c r="M5324" s="12" t="inlineStr">
        <is>
          <t>14</t>
        </is>
      </c>
      <c r="N5324" s="12" t="n">
        <v>1</v>
      </c>
      <c r="O5324" s="12" t="n">
        <v>1</v>
      </c>
      <c r="P5324" s="12" t="n"/>
      <c r="Q5324" s="12" t="n"/>
      <c r="R5324" s="12" t="n"/>
      <c r="S5324" s="12" t="inlineStr">
        <is>
          <t>Duct bank</t>
        </is>
      </c>
      <c r="T5324" s="16" t="n">
        <v>312</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K-C-0031</t>
        </is>
      </c>
      <c r="B5325" s="12" t="inlineStr">
        <is>
          <t>K</t>
        </is>
      </c>
      <c r="C5325" s="12" t="inlineStr">
        <is>
          <t>Fuel supply (adjacent market)</t>
        </is>
      </c>
      <c r="D5325" s="12" t="inlineStr">
        <is>
          <t>Control</t>
        </is>
      </c>
      <c r="E5325" s="12" t="inlineStr"/>
      <c r="F5325" s="12" t="inlineStr">
        <is>
          <t>H2 20: 13.8 kV e-house</t>
        </is>
      </c>
      <c r="G5325" s="12" t="inlineStr"/>
      <c r="H5325" s="12" t="inlineStr">
        <is>
          <t>H2 21: rectifier transformer 4 (7 MVA)</t>
        </is>
      </c>
      <c r="I5325" s="12" t="inlineStr">
        <is>
          <t>Control</t>
        </is>
      </c>
      <c r="J5325" s="12" t="inlineStr">
        <is>
          <t>ARMOR-X MC-HL 600 V control, Cu #14 AWG (Class I Div 2)</t>
        </is>
      </c>
      <c r="K5325" s="12" t="inlineStr">
        <is>
          <t>CTAX|7/C|14</t>
        </is>
      </c>
      <c r="L5325" s="12" t="inlineStr">
        <is>
          <t>7/C</t>
        </is>
      </c>
      <c r="M5325" s="12" t="inlineStr">
        <is>
          <t>14</t>
        </is>
      </c>
      <c r="N5325" s="12" t="n">
        <v>1</v>
      </c>
      <c r="O5325" s="12" t="n">
        <v>1</v>
      </c>
      <c r="P5325" s="12" t="n"/>
      <c r="Q5325" s="12" t="n"/>
      <c r="R5325" s="12" t="n"/>
      <c r="S5325" s="12" t="inlineStr">
        <is>
          <t>Duct bank</t>
        </is>
      </c>
      <c r="T5325" s="16" t="n">
        <v>312</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K-C-0032</t>
        </is>
      </c>
      <c r="B5326" s="12" t="inlineStr">
        <is>
          <t>K</t>
        </is>
      </c>
      <c r="C5326" s="12" t="inlineStr">
        <is>
          <t>Fuel supply (adjacent market)</t>
        </is>
      </c>
      <c r="D5326" s="12" t="inlineStr">
        <is>
          <t>Control</t>
        </is>
      </c>
      <c r="E5326" s="12" t="inlineStr"/>
      <c r="F5326" s="12" t="inlineStr">
        <is>
          <t>H2 20: 13.8 kV e-house</t>
        </is>
      </c>
      <c r="G5326" s="12" t="inlineStr"/>
      <c r="H5326" s="12" t="inlineStr">
        <is>
          <t>H2 21: rectifier transformer 4 (7 MVA)</t>
        </is>
      </c>
      <c r="I5326" s="12" t="inlineStr">
        <is>
          <t>Control</t>
        </is>
      </c>
      <c r="J5326" s="12" t="inlineStr">
        <is>
          <t>ARMOR-X MC-HL 600 V control, Cu #14 AWG (Class I Div 2)</t>
        </is>
      </c>
      <c r="K5326" s="12" t="inlineStr">
        <is>
          <t>CTAX|12/C|14</t>
        </is>
      </c>
      <c r="L5326" s="12" t="inlineStr">
        <is>
          <t>12/C</t>
        </is>
      </c>
      <c r="M5326" s="12" t="inlineStr">
        <is>
          <t>14</t>
        </is>
      </c>
      <c r="N5326" s="12" t="n">
        <v>1</v>
      </c>
      <c r="O5326" s="12" t="n">
        <v>1</v>
      </c>
      <c r="P5326" s="12" t="n"/>
      <c r="Q5326" s="12" t="n"/>
      <c r="R5326" s="12" t="n"/>
      <c r="S5326" s="12" t="inlineStr">
        <is>
          <t>Duct bank</t>
        </is>
      </c>
      <c r="T5326" s="16" t="n">
        <v>312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K-C-0033</t>
        </is>
      </c>
      <c r="B5327" s="12" t="inlineStr">
        <is>
          <t>K</t>
        </is>
      </c>
      <c r="C5327" s="12" t="inlineStr">
        <is>
          <t>Fuel supply (adjacent market)</t>
        </is>
      </c>
      <c r="D5327" s="12" t="inlineStr">
        <is>
          <t>CT / VT</t>
        </is>
      </c>
      <c r="E5327" s="12" t="inlineStr"/>
      <c r="F5327" s="12" t="inlineStr">
        <is>
          <t>H2 20: 13.8 kV e-house</t>
        </is>
      </c>
      <c r="G5327" s="12" t="inlineStr"/>
      <c r="H5327" s="12" t="inlineStr">
        <is>
          <t>H2 21: rectifier transformer 4 (7 MVA)</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Duct bank</t>
        </is>
      </c>
      <c r="T5327" s="16" t="n">
        <v>312</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K-C-0034</t>
        </is>
      </c>
      <c r="B5328" s="12" t="inlineStr">
        <is>
          <t>K</t>
        </is>
      </c>
      <c r="C5328" s="12" t="inlineStr">
        <is>
          <t>Fuel supply (adjacent market)</t>
        </is>
      </c>
      <c r="D5328" s="12" t="inlineStr">
        <is>
          <t>CT / VT</t>
        </is>
      </c>
      <c r="E5328" s="12" t="inlineStr"/>
      <c r="F5328" s="12" t="inlineStr">
        <is>
          <t>H2 20: 13.8 kV e-house</t>
        </is>
      </c>
      <c r="G5328" s="12" t="inlineStr"/>
      <c r="H5328" s="12" t="inlineStr">
        <is>
          <t>H2 21: rectifier transformer 4 (7 MVA)</t>
        </is>
      </c>
      <c r="I5328" s="12" t="inlineStr">
        <is>
          <t>Control</t>
        </is>
      </c>
      <c r="J5328" s="12" t="inlineStr">
        <is>
          <t>Control cable 600 V Type TC-ER, Cu #10 AWG (CT / VT circuits)</t>
        </is>
      </c>
      <c r="K5328" s="12" t="inlineStr">
        <is>
          <t>CTCT|4/C|10</t>
        </is>
      </c>
      <c r="L5328" s="12" t="inlineStr">
        <is>
          <t>4/C</t>
        </is>
      </c>
      <c r="M5328" s="12" t="inlineStr">
        <is>
          <t>10</t>
        </is>
      </c>
      <c r="N5328" s="12" t="n">
        <v>1</v>
      </c>
      <c r="O5328" s="12" t="n">
        <v>1</v>
      </c>
      <c r="P5328" s="12" t="n"/>
      <c r="Q5328" s="12" t="n"/>
      <c r="R5328" s="12" t="n"/>
      <c r="S5328" s="12" t="inlineStr">
        <is>
          <t>Duct bank</t>
        </is>
      </c>
      <c r="T5328" s="16" t="n">
        <v>312</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K-C-0035</t>
        </is>
      </c>
      <c r="B5329" s="12" t="inlineStr">
        <is>
          <t>K</t>
        </is>
      </c>
      <c r="C5329" s="12" t="inlineStr">
        <is>
          <t>Fuel supply (adjacent market)</t>
        </is>
      </c>
      <c r="D5329" s="12" t="inlineStr">
        <is>
          <t>Motor 1 of 1: control / local station</t>
        </is>
      </c>
      <c r="E5329" s="12" t="inlineStr"/>
      <c r="F5329" s="12" t="inlineStr">
        <is>
          <t>H2 20: 13.8 kV e-house</t>
        </is>
      </c>
      <c r="G5329" s="12" t="inlineStr"/>
      <c r="H5329" s="12" t="inlineStr">
        <is>
          <t>H2 21: rectifier transformer 5 (7 MVA)</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254</v>
      </c>
      <c r="U5329" s="16" t="n">
        <v>32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K-C-0036</t>
        </is>
      </c>
      <c r="B5330" s="12" t="inlineStr">
        <is>
          <t>K</t>
        </is>
      </c>
      <c r="C5330" s="12" t="inlineStr">
        <is>
          <t>Fuel supply (adjacent market)</t>
        </is>
      </c>
      <c r="D5330" s="12" t="inlineStr">
        <is>
          <t>Solenoid to JB JB-H2 21: rectifier t-SOL01: 2 x 2/C (field cables)</t>
        </is>
      </c>
      <c r="E5330" s="12" t="inlineStr"/>
      <c r="F5330" s="12" t="inlineStr">
        <is>
          <t>H2 21: rectifier transformer 5 (7 MVA)</t>
        </is>
      </c>
      <c r="G5330" s="12" t="inlineStr">
        <is>
          <t>JB-H2 21: rectifier t-SOL01</t>
        </is>
      </c>
      <c r="H5330" s="12" t="inlineStr">
        <is>
          <t>H2 21: rectifier transformer 5 (7 MVA)</t>
        </is>
      </c>
      <c r="I5330" s="12" t="inlineStr">
        <is>
          <t>Control</t>
        </is>
      </c>
      <c r="J5330" s="12" t="inlineStr">
        <is>
          <t>ARMOR-X MC-HL 600 V control, Cu #14 AWG (Class I Div 2)</t>
        </is>
      </c>
      <c r="K5330" s="12" t="inlineStr">
        <is>
          <t>CTAX|2/C|14</t>
        </is>
      </c>
      <c r="L5330" s="12" t="inlineStr">
        <is>
          <t>2/C</t>
        </is>
      </c>
      <c r="M5330" s="12" t="inlineStr">
        <is>
          <t>14</t>
        </is>
      </c>
      <c r="N5330" s="12" t="n">
        <v>2</v>
      </c>
      <c r="O5330" s="12" t="n">
        <v>1</v>
      </c>
      <c r="P5330" s="12" t="n"/>
      <c r="Q5330" s="12" t="n"/>
      <c r="R5330" s="12" t="n"/>
      <c r="S5330" s="12" t="inlineStr">
        <is>
          <t>Tray / conduit</t>
        </is>
      </c>
      <c r="T5330" s="16" t="n">
        <v>41</v>
      </c>
      <c r="U5330" s="16" t="n">
        <v>10</v>
      </c>
      <c r="V5330" s="16">
        <f>ROUNDUP((T5330+U5330+2*'Read Me'!$B$13)*(1+'Read Me'!$B$12),-1)</f>
        <v/>
      </c>
      <c r="W5330" s="16">
        <f>V5330*N5330*O5330</f>
        <v/>
      </c>
      <c r="X5330" s="12">
        <f>IF(LEFT(I5330,2)="MV",2*N5330*IF(L5330="1/C",O5330,1),0)</f>
        <v/>
      </c>
      <c r="Y5330" s="12">
        <f>IF(OR(LEFT(K5330,4)="LVAX",LEFT(K5330,6)="MV15AX",LEFT(K5330,4)="CTAX",LEFT(K5330,2)="W|"),2*N5330*O5330,0)</f>
        <v/>
      </c>
      <c r="Z5330" s="12" t="inlineStr">
        <is>
          <t>device-to-JB field wiring, one cable per device</t>
        </is>
      </c>
      <c r="AA5330" s="12">
        <f>N5330*O5330</f>
        <v/>
      </c>
    </row>
    <row r="5331">
      <c r="A5331" s="12" t="inlineStr">
        <is>
          <t>K-C-0037</t>
        </is>
      </c>
      <c r="B5331" s="12" t="inlineStr">
        <is>
          <t>K</t>
        </is>
      </c>
      <c r="C5331" s="12" t="inlineStr">
        <is>
          <t>Fuel supply (adjacent market)</t>
        </is>
      </c>
      <c r="D5331" s="12" t="inlineStr">
        <is>
          <t>Home run JB-H2 21: rectifier t-SOL01 to the control / marshalling room</t>
        </is>
      </c>
      <c r="E5331" s="12" t="inlineStr"/>
      <c r="F5331" s="12" t="inlineStr">
        <is>
          <t>H2 20: 13.8 kV e-house</t>
        </is>
      </c>
      <c r="G5331" s="12" t="inlineStr">
        <is>
          <t>JB-H2 21: rectifier t-SOL01</t>
        </is>
      </c>
      <c r="H5331" s="12" t="inlineStr">
        <is>
          <t>H2 21: rectifier transformer 5 (7 MVA)</t>
        </is>
      </c>
      <c r="I5331" s="12" t="inlineStr">
        <is>
          <t>Control</t>
        </is>
      </c>
      <c r="J5331" s="12" t="inlineStr">
        <is>
          <t>ARMOR-X MC-HL 600 V control, Cu #14 AWG (Class I Div 2)</t>
        </is>
      </c>
      <c r="K5331" s="12" t="inlineStr">
        <is>
          <t>CTAX|25/C|14</t>
        </is>
      </c>
      <c r="L5331" s="12" t="inlineStr">
        <is>
          <t>25/C</t>
        </is>
      </c>
      <c r="M5331" s="12" t="inlineStr">
        <is>
          <t>14</t>
        </is>
      </c>
      <c r="N5331" s="12" t="n">
        <v>1</v>
      </c>
      <c r="O5331" s="12" t="n">
        <v>1</v>
      </c>
      <c r="P5331" s="12" t="n"/>
      <c r="Q5331" s="12" t="n"/>
      <c r="R5331" s="12" t="n"/>
      <c r="S5331" s="12" t="inlineStr">
        <is>
          <t>Duct bank</t>
        </is>
      </c>
      <c r="T5331" s="16" t="n">
        <v>254</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K-C-0038</t>
        </is>
      </c>
      <c r="B5332" s="12" t="inlineStr">
        <is>
          <t>K</t>
        </is>
      </c>
      <c r="C5332" s="12" t="inlineStr">
        <is>
          <t>Fuel supply (adjacent market)</t>
        </is>
      </c>
      <c r="D5332" s="12" t="inlineStr">
        <is>
          <t>Control</t>
        </is>
      </c>
      <c r="E5332" s="12" t="inlineStr"/>
      <c r="F5332" s="12" t="inlineStr">
        <is>
          <t>H2 20: 13.8 kV e-house</t>
        </is>
      </c>
      <c r="G5332" s="12" t="inlineStr"/>
      <c r="H5332" s="12" t="inlineStr">
        <is>
          <t>H2 21: rectifier transformer 5 (7 MVA)</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254</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K-C-0039</t>
        </is>
      </c>
      <c r="B5333" s="12" t="inlineStr">
        <is>
          <t>K</t>
        </is>
      </c>
      <c r="C5333" s="12" t="inlineStr">
        <is>
          <t>Fuel supply (adjacent market)</t>
        </is>
      </c>
      <c r="D5333" s="12" t="inlineStr">
        <is>
          <t>Control</t>
        </is>
      </c>
      <c r="E5333" s="12" t="inlineStr"/>
      <c r="F5333" s="12" t="inlineStr">
        <is>
          <t>H2 20: 13.8 kV e-house</t>
        </is>
      </c>
      <c r="G5333" s="12" t="inlineStr"/>
      <c r="H5333" s="12" t="inlineStr">
        <is>
          <t>H2 21: rectifier transformer 5 (7 MVA)</t>
        </is>
      </c>
      <c r="I5333" s="12" t="inlineStr">
        <is>
          <t>Control</t>
        </is>
      </c>
      <c r="J5333" s="12" t="inlineStr">
        <is>
          <t>ARMOR-X MC-HL 600 V control, Cu #14 AWG (Class I Div 2)</t>
        </is>
      </c>
      <c r="K5333" s="12" t="inlineStr">
        <is>
          <t>CTAX|12/C|14</t>
        </is>
      </c>
      <c r="L5333" s="12" t="inlineStr">
        <is>
          <t>12/C</t>
        </is>
      </c>
      <c r="M5333" s="12" t="inlineStr">
        <is>
          <t>14</t>
        </is>
      </c>
      <c r="N5333" s="12" t="n">
        <v>1</v>
      </c>
      <c r="O5333" s="12" t="n">
        <v>1</v>
      </c>
      <c r="P5333" s="12" t="n"/>
      <c r="Q5333" s="12" t="n"/>
      <c r="R5333" s="12" t="n"/>
      <c r="S5333" s="12" t="inlineStr">
        <is>
          <t>Duct bank</t>
        </is>
      </c>
      <c r="T5333" s="16" t="n">
        <v>254</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K-C-0040</t>
        </is>
      </c>
      <c r="B5334" s="12" t="inlineStr">
        <is>
          <t>K</t>
        </is>
      </c>
      <c r="C5334" s="12" t="inlineStr">
        <is>
          <t>Fuel supply (adjacent market)</t>
        </is>
      </c>
      <c r="D5334" s="12" t="inlineStr">
        <is>
          <t>CT / VT</t>
        </is>
      </c>
      <c r="E5334" s="12" t="inlineStr"/>
      <c r="F5334" s="12" t="inlineStr">
        <is>
          <t>H2 20: 13.8 kV e-house</t>
        </is>
      </c>
      <c r="G5334" s="12" t="inlineStr"/>
      <c r="H5334" s="12" t="inlineStr">
        <is>
          <t>H2 21: rectifier transformer 5 (7 MVA)</t>
        </is>
      </c>
      <c r="I5334" s="12" t="inlineStr">
        <is>
          <t>Control</t>
        </is>
      </c>
      <c r="J5334" s="12" t="inlineStr">
        <is>
          <t>Control cable 600 V Type TC-ER, Cu #10 AWG (CT / VT circuits)</t>
        </is>
      </c>
      <c r="K5334" s="12" t="inlineStr">
        <is>
          <t>CTCT|4/C|10</t>
        </is>
      </c>
      <c r="L5334" s="12" t="inlineStr">
        <is>
          <t>4/C</t>
        </is>
      </c>
      <c r="M5334" s="12" t="inlineStr">
        <is>
          <t>10</t>
        </is>
      </c>
      <c r="N5334" s="12" t="n">
        <v>1</v>
      </c>
      <c r="O5334" s="12" t="n">
        <v>1</v>
      </c>
      <c r="P5334" s="12" t="n"/>
      <c r="Q5334" s="12" t="n"/>
      <c r="R5334" s="12" t="n"/>
      <c r="S5334" s="12" t="inlineStr">
        <is>
          <t>Duct bank</t>
        </is>
      </c>
      <c r="T5334" s="16" t="n">
        <v>254</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K-C-0041</t>
        </is>
      </c>
      <c r="B5335" s="12" t="inlineStr">
        <is>
          <t>K</t>
        </is>
      </c>
      <c r="C5335" s="12" t="inlineStr">
        <is>
          <t>Fuel supply (adjacent market)</t>
        </is>
      </c>
      <c r="D5335" s="12" t="inlineStr">
        <is>
          <t>CT / VT</t>
        </is>
      </c>
      <c r="E5335" s="12" t="inlineStr"/>
      <c r="F5335" s="12" t="inlineStr">
        <is>
          <t>H2 20: 13.8 kV e-house</t>
        </is>
      </c>
      <c r="G5335" s="12" t="inlineStr"/>
      <c r="H5335" s="12" t="inlineStr">
        <is>
          <t>H2 21: rectifier transformer 5 (7 MVA)</t>
        </is>
      </c>
      <c r="I5335" s="12" t="inlineStr">
        <is>
          <t>Control</t>
        </is>
      </c>
      <c r="J5335" s="12" t="inlineStr">
        <is>
          <t>Control cable 600 V Type TC-ER, Cu #10 AWG (CT / VT circuits)</t>
        </is>
      </c>
      <c r="K5335" s="12" t="inlineStr">
        <is>
          <t>CTCT|4/C|10</t>
        </is>
      </c>
      <c r="L5335" s="12" t="inlineStr">
        <is>
          <t>4/C</t>
        </is>
      </c>
      <c r="M5335" s="12" t="inlineStr">
        <is>
          <t>10</t>
        </is>
      </c>
      <c r="N5335" s="12" t="n">
        <v>1</v>
      </c>
      <c r="O5335" s="12" t="n">
        <v>1</v>
      </c>
      <c r="P5335" s="12" t="n"/>
      <c r="Q5335" s="12" t="n"/>
      <c r="R5335" s="12" t="n"/>
      <c r="S5335" s="12" t="inlineStr">
        <is>
          <t>Duct bank</t>
        </is>
      </c>
      <c r="T5335" s="16" t="n">
        <v>254</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K-C-0042</t>
        </is>
      </c>
      <c r="B5336" s="12" t="inlineStr">
        <is>
          <t>K</t>
        </is>
      </c>
      <c r="C5336" s="12" t="inlineStr">
        <is>
          <t>Fuel supply (adjacent market)</t>
        </is>
      </c>
      <c r="D5336" s="12" t="inlineStr">
        <is>
          <t>Motor 1 of 1: control / local station</t>
        </is>
      </c>
      <c r="E5336" s="12" t="inlineStr"/>
      <c r="F5336" s="12" t="inlineStr">
        <is>
          <t>H2 20: 13.8 kV e-house</t>
        </is>
      </c>
      <c r="G5336" s="12" t="inlineStr">
        <is>
          <t>H2-EL</t>
        </is>
      </c>
      <c r="H5336" s="12" t="inlineStr">
        <is>
          <t>H2 22: electrolyzer building (5 x HyLYZER-1000 + 5 rectifiers)</t>
        </is>
      </c>
      <c r="I5336" s="12" t="inlineStr">
        <is>
          <t>Control</t>
        </is>
      </c>
      <c r="J5336" s="12" t="inlineStr">
        <is>
          <t>ARMOR-X MC-HL 600 V control, Cu #14 AWG (Class I Div 2)</t>
        </is>
      </c>
      <c r="K5336" s="12" t="inlineStr">
        <is>
          <t>CTAX|7/C|14</t>
        </is>
      </c>
      <c r="L5336" s="12" t="inlineStr">
        <is>
          <t>7/C</t>
        </is>
      </c>
      <c r="M5336" s="12" t="inlineStr">
        <is>
          <t>14</t>
        </is>
      </c>
      <c r="N5336" s="12" t="n">
        <v>1</v>
      </c>
      <c r="O5336" s="12" t="n">
        <v>1</v>
      </c>
      <c r="P5336" s="12" t="n"/>
      <c r="Q5336" s="12" t="n"/>
      <c r="R5336" s="12" t="n"/>
      <c r="S5336" s="12" t="inlineStr">
        <is>
          <t>Duct bank</t>
        </is>
      </c>
      <c r="T5336" s="16" t="n">
        <v>346</v>
      </c>
      <c r="U5336" s="16" t="n">
        <v>32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K-C-0043</t>
        </is>
      </c>
      <c r="B5337" s="12" t="inlineStr">
        <is>
          <t>K</t>
        </is>
      </c>
      <c r="C5337" s="12" t="inlineStr">
        <is>
          <t>Fuel supply (adjacent market)</t>
        </is>
      </c>
      <c r="D5337" s="12" t="inlineStr">
        <is>
          <t>Solenoid to JB JB-H2-EL-SOL01: 2 x 2/C (field cables)</t>
        </is>
      </c>
      <c r="E5337" s="12" t="inlineStr">
        <is>
          <t>H2-EL</t>
        </is>
      </c>
      <c r="F5337" s="12" t="inlineStr">
        <is>
          <t>H2 22: electrolyzer building (5 x HyLYZER-1000 + 5 rectifiers)</t>
        </is>
      </c>
      <c r="G5337" s="12" t="inlineStr">
        <is>
          <t>JB-H2-EL-SOL01</t>
        </is>
      </c>
      <c r="H5337" s="12" t="inlineStr">
        <is>
          <t>H2 22: electrolyzer building (5 x HyLYZER-1000 + 5 rectifiers)</t>
        </is>
      </c>
      <c r="I5337" s="12" t="inlineStr">
        <is>
          <t>Control</t>
        </is>
      </c>
      <c r="J5337" s="12" t="inlineStr">
        <is>
          <t>ARMOR-X MC-HL 600 V control, Cu #14 AWG (Class I Div 2)</t>
        </is>
      </c>
      <c r="K5337" s="12" t="inlineStr">
        <is>
          <t>CTAX|2/C|14</t>
        </is>
      </c>
      <c r="L5337" s="12" t="inlineStr">
        <is>
          <t>2/C</t>
        </is>
      </c>
      <c r="M5337" s="12" t="inlineStr">
        <is>
          <t>14</t>
        </is>
      </c>
      <c r="N5337" s="12" t="n">
        <v>2</v>
      </c>
      <c r="O5337" s="12" t="n">
        <v>1</v>
      </c>
      <c r="P5337" s="12" t="n"/>
      <c r="Q5337" s="12" t="n"/>
      <c r="R5337" s="12" t="n"/>
      <c r="S5337" s="12" t="inlineStr">
        <is>
          <t>Tray / conduit</t>
        </is>
      </c>
      <c r="T5337" s="16" t="n">
        <v>157</v>
      </c>
      <c r="U5337" s="16" t="n">
        <v>10</v>
      </c>
      <c r="V5337" s="16">
        <f>ROUNDUP((T5337+U5337+2*'Read Me'!$B$13)*(1+'Read Me'!$B$12),-1)</f>
        <v/>
      </c>
      <c r="W5337" s="16">
        <f>V5337*N5337*O5337</f>
        <v/>
      </c>
      <c r="X5337" s="12">
        <f>IF(LEFT(I5337,2)="MV",2*N5337*IF(L5337="1/C",O5337,1),0)</f>
        <v/>
      </c>
      <c r="Y5337" s="12">
        <f>IF(OR(LEFT(K5337,4)="LVAX",LEFT(K5337,6)="MV15AX",LEFT(K5337,4)="CTAX",LEFT(K5337,2)="W|"),2*N5337*O5337,0)</f>
        <v/>
      </c>
      <c r="Z5337" s="12" t="inlineStr">
        <is>
          <t>device-to-JB field wiring, one cable per device</t>
        </is>
      </c>
      <c r="AA5337" s="12">
        <f>N5337*O5337</f>
        <v/>
      </c>
    </row>
    <row r="5338">
      <c r="A5338" s="12" t="inlineStr">
        <is>
          <t>K-C-0044</t>
        </is>
      </c>
      <c r="B5338" s="12" t="inlineStr">
        <is>
          <t>K</t>
        </is>
      </c>
      <c r="C5338" s="12" t="inlineStr">
        <is>
          <t>Fuel supply (adjacent market)</t>
        </is>
      </c>
      <c r="D5338" s="12" t="inlineStr">
        <is>
          <t>Home run JB-H2-EL-SOL01 to the control / marshalling room</t>
        </is>
      </c>
      <c r="E5338" s="12" t="inlineStr"/>
      <c r="F5338" s="12" t="inlineStr">
        <is>
          <t>H2 20: 13.8 kV e-house</t>
        </is>
      </c>
      <c r="G5338" s="12" t="inlineStr">
        <is>
          <t>JB-H2-EL-SOL01</t>
        </is>
      </c>
      <c r="H5338" s="12" t="inlineStr">
        <is>
          <t>H2 22: electrolyzer building (5 x HyLYZER-1000 + 5 rectifiers)</t>
        </is>
      </c>
      <c r="I5338" s="12" t="inlineStr">
        <is>
          <t>Control</t>
        </is>
      </c>
      <c r="J5338" s="12" t="inlineStr">
        <is>
          <t>ARMOR-X MC-HL 600 V control, Cu #14 AWG (Class I Div 2)</t>
        </is>
      </c>
      <c r="K5338" s="12" t="inlineStr">
        <is>
          <t>CTAX|25/C|14</t>
        </is>
      </c>
      <c r="L5338" s="12" t="inlineStr">
        <is>
          <t>25/C</t>
        </is>
      </c>
      <c r="M5338" s="12" t="inlineStr">
        <is>
          <t>14</t>
        </is>
      </c>
      <c r="N5338" s="12" t="n">
        <v>1</v>
      </c>
      <c r="O5338" s="12" t="n">
        <v>1</v>
      </c>
      <c r="P5338" s="12" t="n"/>
      <c r="Q5338" s="12" t="n"/>
      <c r="R5338" s="12" t="n"/>
      <c r="S5338" s="12" t="inlineStr">
        <is>
          <t>Duct bank</t>
        </is>
      </c>
      <c r="T5338" s="16" t="n">
        <v>346</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K-C-0045</t>
        </is>
      </c>
      <c r="B5339" s="12" t="inlineStr">
        <is>
          <t>K</t>
        </is>
      </c>
      <c r="C5339" s="12" t="inlineStr">
        <is>
          <t>Fuel supply (adjacent market)</t>
        </is>
      </c>
      <c r="D5339" s="12" t="inlineStr">
        <is>
          <t>Motor 1 of 1: control / local station</t>
        </is>
      </c>
      <c r="E5339" s="12" t="inlineStr"/>
      <c r="F5339" s="12" t="inlineStr">
        <is>
          <t>H2 20: 13.8 kV e-house</t>
        </is>
      </c>
      <c r="G5339" s="12" t="inlineStr"/>
      <c r="H5339" s="12" t="inlineStr">
        <is>
          <t>H2 23: dry coolers</t>
        </is>
      </c>
      <c r="I5339" s="12" t="inlineStr">
        <is>
          <t>Control</t>
        </is>
      </c>
      <c r="J5339" s="12" t="inlineStr">
        <is>
          <t>ARMOR-X MC-HL 600 V control, Cu #14 AWG (Class I Div 2)</t>
        </is>
      </c>
      <c r="K5339" s="12" t="inlineStr">
        <is>
          <t>CTAX|7/C|14</t>
        </is>
      </c>
      <c r="L5339" s="12" t="inlineStr">
        <is>
          <t>7/C</t>
        </is>
      </c>
      <c r="M5339" s="12" t="inlineStr">
        <is>
          <t>14</t>
        </is>
      </c>
      <c r="N5339" s="12" t="n">
        <v>1</v>
      </c>
      <c r="O5339" s="12" t="n">
        <v>1</v>
      </c>
      <c r="P5339" s="12" t="n"/>
      <c r="Q5339" s="12" t="n"/>
      <c r="R5339" s="12" t="n"/>
      <c r="S5339" s="12" t="inlineStr">
        <is>
          <t>Duct bank</t>
        </is>
      </c>
      <c r="T5339" s="16" t="n">
        <v>100</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K-C-0046</t>
        </is>
      </c>
      <c r="B5340" s="12" t="inlineStr">
        <is>
          <t>K</t>
        </is>
      </c>
      <c r="C5340" s="12" t="inlineStr">
        <is>
          <t>Fuel supply (adjacent market)</t>
        </is>
      </c>
      <c r="D5340" s="12" t="inlineStr">
        <is>
          <t>Solenoid to JB JB-H2 23: dry coolers-SOL01: 2 x 2/C (field cables)</t>
        </is>
      </c>
      <c r="E5340" s="12" t="inlineStr"/>
      <c r="F5340" s="12" t="inlineStr">
        <is>
          <t>H2 23: dry coolers</t>
        </is>
      </c>
      <c r="G5340" s="12" t="inlineStr">
        <is>
          <t>JB-H2 23: dry coolers-SOL01</t>
        </is>
      </c>
      <c r="H5340" s="12" t="inlineStr">
        <is>
          <t>H2 23: dry coolers</t>
        </is>
      </c>
      <c r="I5340" s="12" t="inlineStr">
        <is>
          <t>Control</t>
        </is>
      </c>
      <c r="J5340" s="12" t="inlineStr">
        <is>
          <t>ARMOR-X MC-HL 600 V control, Cu #14 AWG (Class I Div 2)</t>
        </is>
      </c>
      <c r="K5340" s="12" t="inlineStr">
        <is>
          <t>CTAX|2/C|14</t>
        </is>
      </c>
      <c r="L5340" s="12" t="inlineStr">
        <is>
          <t>2/C</t>
        </is>
      </c>
      <c r="M5340" s="12" t="inlineStr">
        <is>
          <t>14</t>
        </is>
      </c>
      <c r="N5340" s="12" t="n">
        <v>2</v>
      </c>
      <c r="O5340" s="12" t="n">
        <v>1</v>
      </c>
      <c r="P5340" s="12" t="n"/>
      <c r="Q5340" s="12" t="n"/>
      <c r="R5340" s="12" t="n"/>
      <c r="S5340" s="12" t="inlineStr">
        <is>
          <t>Tray / conduit</t>
        </is>
      </c>
      <c r="T5340" s="16" t="n">
        <v>111</v>
      </c>
      <c r="U5340" s="16" t="n">
        <v>10</v>
      </c>
      <c r="V5340" s="16">
        <f>ROUNDUP((T5340+U5340+2*'Read Me'!$B$13)*(1+'Read Me'!$B$12),-1)</f>
        <v/>
      </c>
      <c r="W5340" s="16">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K-C-0047</t>
        </is>
      </c>
      <c r="B5341" s="12" t="inlineStr">
        <is>
          <t>K</t>
        </is>
      </c>
      <c r="C5341" s="12" t="inlineStr">
        <is>
          <t>Fuel supply (adjacent market)</t>
        </is>
      </c>
      <c r="D5341" s="12" t="inlineStr">
        <is>
          <t>Home run JB-H2 23: dry coolers-SOL01 to the control / marshalling room</t>
        </is>
      </c>
      <c r="E5341" s="12" t="inlineStr"/>
      <c r="F5341" s="12" t="inlineStr">
        <is>
          <t>H2 20: 13.8 kV e-house</t>
        </is>
      </c>
      <c r="G5341" s="12" t="inlineStr">
        <is>
          <t>JB-H2 23: dry coolers-SOL01</t>
        </is>
      </c>
      <c r="H5341" s="12" t="inlineStr">
        <is>
          <t>H2 23: dry coolers</t>
        </is>
      </c>
      <c r="I5341" s="12" t="inlineStr">
        <is>
          <t>Control</t>
        </is>
      </c>
      <c r="J5341" s="12" t="inlineStr">
        <is>
          <t>ARMOR-X MC-HL 600 V control, Cu #14 AWG (Class I Div 2)</t>
        </is>
      </c>
      <c r="K5341" s="12" t="inlineStr">
        <is>
          <t>CTAX|25/C|14</t>
        </is>
      </c>
      <c r="L5341" s="12" t="inlineStr">
        <is>
          <t>25/C</t>
        </is>
      </c>
      <c r="M5341" s="12" t="inlineStr">
        <is>
          <t>14</t>
        </is>
      </c>
      <c r="N5341" s="12" t="n">
        <v>1</v>
      </c>
      <c r="O5341" s="12" t="n">
        <v>1</v>
      </c>
      <c r="P5341" s="12" t="n"/>
      <c r="Q5341" s="12" t="n"/>
      <c r="R5341" s="12" t="n"/>
      <c r="S5341" s="12" t="inlineStr">
        <is>
          <t>Duct bank</t>
        </is>
      </c>
      <c r="T5341" s="16" t="n">
        <v>100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K-C-0048</t>
        </is>
      </c>
      <c r="B5342" s="12" t="inlineStr">
        <is>
          <t>K</t>
        </is>
      </c>
      <c r="C5342" s="12" t="inlineStr">
        <is>
          <t>Fuel supply (adjacent market)</t>
        </is>
      </c>
      <c r="D5342" s="12" t="inlineStr">
        <is>
          <t>Motor 1 of 1: control / local station</t>
        </is>
      </c>
      <c r="E5342" s="12" t="inlineStr"/>
      <c r="F5342" s="12" t="inlineStr">
        <is>
          <t>H2 20: 13.8 kV e-house</t>
        </is>
      </c>
      <c r="G5342" s="12" t="inlineStr"/>
      <c r="H5342" s="12" t="inlineStr">
        <is>
          <t>H2 24: water purification (RO / EDI)</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6" t="n">
        <v>146</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K-C-0049</t>
        </is>
      </c>
      <c r="B5343" s="12" t="inlineStr">
        <is>
          <t>K</t>
        </is>
      </c>
      <c r="C5343" s="12" t="inlineStr">
        <is>
          <t>Fuel supply (adjacent market)</t>
        </is>
      </c>
      <c r="D5343" s="12" t="inlineStr">
        <is>
          <t>Solenoid to JB JB-H2 24: water purif-SOL01: 2 x 2/C (field cables)</t>
        </is>
      </c>
      <c r="E5343" s="12" t="inlineStr"/>
      <c r="F5343" s="12" t="inlineStr">
        <is>
          <t>H2 24: water purification (RO / EDI)</t>
        </is>
      </c>
      <c r="G5343" s="12" t="inlineStr">
        <is>
          <t>JB-H2 24: water purif-SOL01</t>
        </is>
      </c>
      <c r="H5343" s="12" t="inlineStr">
        <is>
          <t>H2 24: water purification (RO / EDI)</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6" t="n">
        <v>60</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K-C-0050</t>
        </is>
      </c>
      <c r="B5344" s="12" t="inlineStr">
        <is>
          <t>K</t>
        </is>
      </c>
      <c r="C5344" s="12" t="inlineStr">
        <is>
          <t>Fuel supply (adjacent market)</t>
        </is>
      </c>
      <c r="D5344" s="12" t="inlineStr">
        <is>
          <t>Home run JB-H2 24: water purif-SOL01 to the control / marshalling room</t>
        </is>
      </c>
      <c r="E5344" s="12" t="inlineStr"/>
      <c r="F5344" s="12" t="inlineStr">
        <is>
          <t>H2 20: 13.8 kV e-house</t>
        </is>
      </c>
      <c r="G5344" s="12" t="inlineStr">
        <is>
          <t>JB-H2 24: water purif-SOL01</t>
        </is>
      </c>
      <c r="H5344" s="12" t="inlineStr">
        <is>
          <t>H2 24: water purification (RO / EDI)</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6" t="n">
        <v>146</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K-C-0051</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25: H2 dryer / purification</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Duct bank</t>
        </is>
      </c>
      <c r="T5345" s="16" t="n">
        <v>0</v>
      </c>
      <c r="U5345" s="16" t="n">
        <v>49</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K-C-0052</t>
        </is>
      </c>
      <c r="B5346" s="12" t="inlineStr">
        <is>
          <t>K</t>
        </is>
      </c>
      <c r="C5346" s="12" t="inlineStr">
        <is>
          <t>Fuel supply (adjacent market)</t>
        </is>
      </c>
      <c r="D5346" s="12" t="inlineStr">
        <is>
          <t>Solenoid to JB JB-H2 25: H2 dryer / -SOL01: 2 x 2/C (field cables)</t>
        </is>
      </c>
      <c r="E5346" s="12" t="inlineStr"/>
      <c r="F5346" s="12" t="inlineStr">
        <is>
          <t>H2 25: H2 dryer / purification</t>
        </is>
      </c>
      <c r="G5346" s="12" t="inlineStr">
        <is>
          <t>JB-H2 25: H2 dryer / -SOL01</t>
        </is>
      </c>
      <c r="H5346" s="12" t="inlineStr">
        <is>
          <t>H2 25: H2 dryer / purification</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6" t="n">
        <v>60</v>
      </c>
      <c r="U5346" s="16" t="n">
        <v>10</v>
      </c>
      <c r="V5346" s="16">
        <f>ROUNDUP((T5346+U5346+2*'Read Me'!$B$13)*(1+'Read Me'!$B$12),-1)</f>
        <v/>
      </c>
      <c r="W5346" s="16">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K-C-0053</t>
        </is>
      </c>
      <c r="B5347" s="12" t="inlineStr">
        <is>
          <t>K</t>
        </is>
      </c>
      <c r="C5347" s="12" t="inlineStr">
        <is>
          <t>Fuel supply (adjacent market)</t>
        </is>
      </c>
      <c r="D5347" s="12" t="inlineStr">
        <is>
          <t>Home run JB-H2 25: H2 dryer / -SOL01 to the control / marshalling room</t>
        </is>
      </c>
      <c r="E5347" s="12" t="inlineStr"/>
      <c r="F5347" s="12" t="inlineStr">
        <is>
          <t>H2 20: 13.8 kV e-house</t>
        </is>
      </c>
      <c r="G5347" s="12" t="inlineStr">
        <is>
          <t>JB-H2 25: H2 dryer / -SOL01</t>
        </is>
      </c>
      <c r="H5347" s="12" t="inlineStr">
        <is>
          <t>H2 25: H2 dryer / purification</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Duct bank</t>
        </is>
      </c>
      <c r="T5347" s="16" t="n">
        <v>0</v>
      </c>
      <c r="U5347" s="16" t="n">
        <v>49</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K-C-0054</t>
        </is>
      </c>
      <c r="B5348" s="12" t="inlineStr">
        <is>
          <t>K</t>
        </is>
      </c>
      <c r="C5348" s="12" t="inlineStr">
        <is>
          <t>Fuel supply (adjacent market)</t>
        </is>
      </c>
      <c r="D5348" s="12" t="inlineStr">
        <is>
          <t>Motor 1 of 1: control / local station</t>
        </is>
      </c>
      <c r="E5348" s="12" t="inlineStr"/>
      <c r="F5348" s="12" t="inlineStr">
        <is>
          <t>H2 20: 13.8 kV e-house</t>
        </is>
      </c>
      <c r="G5348" s="12" t="inlineStr"/>
      <c r="H5348" s="12" t="inlineStr">
        <is>
          <t>H2 26: H2 compressor 1 (40 ft ISO)</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Duct bank</t>
        </is>
      </c>
      <c r="T5348" s="16" t="n">
        <v>50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K-C-0055</t>
        </is>
      </c>
      <c r="B5349" s="12" t="inlineStr">
        <is>
          <t>K</t>
        </is>
      </c>
      <c r="C5349" s="12" t="inlineStr">
        <is>
          <t>Fuel supply (adjacent market)</t>
        </is>
      </c>
      <c r="D5349" s="12" t="inlineStr">
        <is>
          <t>Solenoid to JB JB-H2 26: H2 compress-SOL01: 2 x 2/C (field cables)</t>
        </is>
      </c>
      <c r="E5349" s="12" t="inlineStr"/>
      <c r="F5349" s="12" t="inlineStr">
        <is>
          <t>H2 26: H2 compressor 1 (40 ft ISO)</t>
        </is>
      </c>
      <c r="G5349" s="12" t="inlineStr">
        <is>
          <t>JB-H2 26: H2 compress-SOL01</t>
        </is>
      </c>
      <c r="H5349" s="12" t="inlineStr">
        <is>
          <t>H2 26: H2 compressor 1 (40 ft ISO)</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6" t="n">
        <v>53</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K-C-0056</t>
        </is>
      </c>
      <c r="B5350" s="12" t="inlineStr">
        <is>
          <t>K</t>
        </is>
      </c>
      <c r="C5350" s="12" t="inlineStr">
        <is>
          <t>Fuel supply (adjacent market)</t>
        </is>
      </c>
      <c r="D5350" s="12" t="inlineStr">
        <is>
          <t>Home run JB-H2 26: H2 compress-SOL01 to the control / marshalling room</t>
        </is>
      </c>
      <c r="E5350" s="12" t="inlineStr"/>
      <c r="F5350" s="12" t="inlineStr">
        <is>
          <t>H2 20: 13.8 kV e-house</t>
        </is>
      </c>
      <c r="G5350" s="12" t="inlineStr">
        <is>
          <t>JB-H2 26: H2 compress-SOL01</t>
        </is>
      </c>
      <c r="H5350" s="12" t="inlineStr">
        <is>
          <t>H2 26: H2 compressor 1 (40 ft ISO)</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Duct bank</t>
        </is>
      </c>
      <c r="T5350" s="16" t="n">
        <v>50</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K-C-0057</t>
        </is>
      </c>
      <c r="B5351" s="12" t="inlineStr">
        <is>
          <t>K</t>
        </is>
      </c>
      <c r="C5351" s="12" t="inlineStr">
        <is>
          <t>Fuel supply (adjacent market)</t>
        </is>
      </c>
      <c r="D5351" s="12" t="inlineStr">
        <is>
          <t>Motor 1 of 1: control / local station</t>
        </is>
      </c>
      <c r="E5351" s="12" t="inlineStr"/>
      <c r="F5351" s="12" t="inlineStr">
        <is>
          <t>H2 20: 13.8 kV e-house</t>
        </is>
      </c>
      <c r="G5351" s="12" t="inlineStr"/>
      <c r="H5351" s="12" t="inlineStr">
        <is>
          <t>H2 26: H2 compressor 2 (40 ft ISO)</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Duct bank</t>
        </is>
      </c>
      <c r="T5351" s="16" t="n">
        <v>50</v>
      </c>
      <c r="U5351" s="16" t="n">
        <v>47</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K-C-0058</t>
        </is>
      </c>
      <c r="B5352" s="12" t="inlineStr">
        <is>
          <t>K</t>
        </is>
      </c>
      <c r="C5352" s="12" t="inlineStr">
        <is>
          <t>Fuel supply (adjacent market)</t>
        </is>
      </c>
      <c r="D5352" s="12" t="inlineStr">
        <is>
          <t>Solenoid to JB JB-H2 26: H2 compress-SOL01: 2 x 2/C (field cables)</t>
        </is>
      </c>
      <c r="E5352" s="12" t="inlineStr"/>
      <c r="F5352" s="12" t="inlineStr">
        <is>
          <t>H2 26: H2 compressor 2 (40 ft ISO)</t>
        </is>
      </c>
      <c r="G5352" s="12" t="inlineStr">
        <is>
          <t>JB-H2 26: H2 compress-SOL01</t>
        </is>
      </c>
      <c r="H5352" s="12" t="inlineStr">
        <is>
          <t>H2 26: H2 compressor 2 (40 ft ISO)</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6" t="n">
        <v>53</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K-C-0059</t>
        </is>
      </c>
      <c r="B5353" s="12" t="inlineStr">
        <is>
          <t>K</t>
        </is>
      </c>
      <c r="C5353" s="12" t="inlineStr">
        <is>
          <t>Fuel supply (adjacent market)</t>
        </is>
      </c>
      <c r="D5353" s="12" t="inlineStr">
        <is>
          <t>Home run JB-H2 26: H2 compress-SOL01 to the control / marshalling room</t>
        </is>
      </c>
      <c r="E5353" s="12" t="inlineStr"/>
      <c r="F5353" s="12" t="inlineStr">
        <is>
          <t>H2 20: 13.8 kV e-house</t>
        </is>
      </c>
      <c r="G5353" s="12" t="inlineStr">
        <is>
          <t>JB-H2 26: H2 compress-SOL01</t>
        </is>
      </c>
      <c r="H5353" s="12" t="inlineStr">
        <is>
          <t>H2 26: H2 compressor 2 (40 ft ISO)</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Duct bank</t>
        </is>
      </c>
      <c r="T5353" s="16" t="n">
        <v>50</v>
      </c>
      <c r="U5353" s="16" t="n">
        <v>47</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K-C-0060</t>
        </is>
      </c>
      <c r="B5354" s="12" t="inlineStr">
        <is>
          <t>K</t>
        </is>
      </c>
      <c r="C5354" s="12" t="inlineStr">
        <is>
          <t>Fuel supply (adjacent market)</t>
        </is>
      </c>
      <c r="D5354" s="12" t="inlineStr">
        <is>
          <t>Motor 1 of 1: control / local station</t>
        </is>
      </c>
      <c r="E5354" s="12" t="inlineStr"/>
      <c r="F5354" s="12" t="inlineStr">
        <is>
          <t>H2 20: 13.8 kV e-house</t>
        </is>
      </c>
      <c r="G5354" s="12" t="inlineStr"/>
      <c r="H5354" s="12" t="inlineStr">
        <is>
          <t>H2 27: storage tube bank (~40 ft tubes)</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Duct bank</t>
        </is>
      </c>
      <c r="T5354" s="16" t="n">
        <v>50</v>
      </c>
      <c r="U5354" s="16" t="n">
        <v>97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K-C-0061</t>
        </is>
      </c>
      <c r="B5355" s="12" t="inlineStr">
        <is>
          <t>K</t>
        </is>
      </c>
      <c r="C5355" s="12" t="inlineStr">
        <is>
          <t>Fuel supply (adjacent market)</t>
        </is>
      </c>
      <c r="D5355" s="12" t="inlineStr">
        <is>
          <t>Solenoid to JB JB-H2 27: storage tub-SOL01: 2 x 2/C (field cables)</t>
        </is>
      </c>
      <c r="E5355" s="12" t="inlineStr"/>
      <c r="F5355" s="12" t="inlineStr">
        <is>
          <t>H2 27: storage tube bank (~40 ft tubes)</t>
        </is>
      </c>
      <c r="G5355" s="12" t="inlineStr">
        <is>
          <t>JB-H2 27: storage tub-SOL01</t>
        </is>
      </c>
      <c r="H5355" s="12" t="inlineStr">
        <is>
          <t>H2 27: storage tube bank (~40 ft tubes)</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6" t="n">
        <v>54</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K-C-0062</t>
        </is>
      </c>
      <c r="B5356" s="12" t="inlineStr">
        <is>
          <t>K</t>
        </is>
      </c>
      <c r="C5356" s="12" t="inlineStr">
        <is>
          <t>Fuel supply (adjacent market)</t>
        </is>
      </c>
      <c r="D5356" s="12" t="inlineStr">
        <is>
          <t>Home run JB-H2 27: storage tub-SOL01 to the control / marshalling room</t>
        </is>
      </c>
      <c r="E5356" s="12" t="inlineStr"/>
      <c r="F5356" s="12" t="inlineStr">
        <is>
          <t>H2 20: 13.8 kV e-house</t>
        </is>
      </c>
      <c r="G5356" s="12" t="inlineStr">
        <is>
          <t>JB-H2 27: storage tub-SOL01</t>
        </is>
      </c>
      <c r="H5356" s="12" t="inlineStr">
        <is>
          <t>H2 27: storage tube bank (~40 ft tubes)</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Duct bank</t>
        </is>
      </c>
      <c r="T5356" s="16" t="n">
        <v>50</v>
      </c>
      <c r="U5356" s="16" t="n">
        <v>97</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K-C-0063</t>
        </is>
      </c>
      <c r="B5357" s="12" t="inlineStr">
        <is>
          <t>K</t>
        </is>
      </c>
      <c r="C5357" s="12" t="inlineStr">
        <is>
          <t>Fuel supply (adjacent market)</t>
        </is>
      </c>
      <c r="D5357" s="12" t="inlineStr">
        <is>
          <t>Motor 1 of 1: control / local station</t>
        </is>
      </c>
      <c r="E5357" s="12" t="inlineStr"/>
      <c r="F5357" s="12" t="inlineStr">
        <is>
          <t>H2 20: 13.8 kV e-house</t>
        </is>
      </c>
      <c r="G5357" s="12" t="inlineStr"/>
      <c r="H5357" s="12" t="inlineStr">
        <is>
          <t>H2 27: storage tube bank (~40 ft tubes)</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Duct bank</t>
        </is>
      </c>
      <c r="T5357" s="16" t="n">
        <v>50</v>
      </c>
      <c r="U5357" s="16" t="n">
        <v>117</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K-C-0064</t>
        </is>
      </c>
      <c r="B5358" s="12" t="inlineStr">
        <is>
          <t>K</t>
        </is>
      </c>
      <c r="C5358" s="12" t="inlineStr">
        <is>
          <t>Fuel supply (adjacent market)</t>
        </is>
      </c>
      <c r="D5358" s="12" t="inlineStr">
        <is>
          <t>Solenoid to JB JB-H2 27: storage tub-SOL01: 2 x 2/C (field cables)</t>
        </is>
      </c>
      <c r="E5358" s="12" t="inlineStr"/>
      <c r="F5358" s="12" t="inlineStr">
        <is>
          <t>H2 27: storage tube bank (~40 ft tubes)</t>
        </is>
      </c>
      <c r="G5358" s="12" t="inlineStr">
        <is>
          <t>JB-H2 27: storage tub-SOL01</t>
        </is>
      </c>
      <c r="H5358" s="12" t="inlineStr">
        <is>
          <t>H2 27: storage tube bank (~40 ft tubes)</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6" t="n">
        <v>54</v>
      </c>
      <c r="U5358" s="16" t="n">
        <v>10</v>
      </c>
      <c r="V5358" s="16">
        <f>ROUNDUP((T5358+U5358+2*'Read Me'!$B$13)*(1+'Read Me'!$B$12),-1)</f>
        <v/>
      </c>
      <c r="W5358" s="16">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K-C-0065</t>
        </is>
      </c>
      <c r="B5359" s="12" t="inlineStr">
        <is>
          <t>K</t>
        </is>
      </c>
      <c r="C5359" s="12" t="inlineStr">
        <is>
          <t>Fuel supply (adjacent market)</t>
        </is>
      </c>
      <c r="D5359" s="12" t="inlineStr">
        <is>
          <t>Home run JB-H2 27: storage tub-SOL01 to the control / marshalling room</t>
        </is>
      </c>
      <c r="E5359" s="12" t="inlineStr"/>
      <c r="F5359" s="12" t="inlineStr">
        <is>
          <t>H2 20: 13.8 kV e-house</t>
        </is>
      </c>
      <c r="G5359" s="12" t="inlineStr">
        <is>
          <t>JB-H2 27: storage tub-SOL01</t>
        </is>
      </c>
      <c r="H5359" s="12" t="inlineStr">
        <is>
          <t>H2 27: storage tube bank (~40 ft tubes)</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Duct bank</t>
        </is>
      </c>
      <c r="T5359" s="16" t="n">
        <v>50</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K-C-0066</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27: storage tube bank (~40 ft tubes)</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Duct bank</t>
        </is>
      </c>
      <c r="T5360" s="16" t="n">
        <v>50</v>
      </c>
      <c r="U5360" s="16" t="n">
        <v>97</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K-C-0067</t>
        </is>
      </c>
      <c r="B5361" s="12" t="inlineStr">
        <is>
          <t>K</t>
        </is>
      </c>
      <c r="C5361" s="12" t="inlineStr">
        <is>
          <t>Fuel supply (adjacent market)</t>
        </is>
      </c>
      <c r="D5361" s="12" t="inlineStr">
        <is>
          <t>Solenoid to JB JB-H2 27: storage tub-SOL01: 2 x 2/C (field cables)</t>
        </is>
      </c>
      <c r="E5361" s="12" t="inlineStr"/>
      <c r="F5361" s="12" t="inlineStr">
        <is>
          <t>H2 27: storage tube bank (~40 ft tubes)</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6" t="n">
        <v>54</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K-C-0068</t>
        </is>
      </c>
      <c r="B5362" s="12" t="inlineStr">
        <is>
          <t>K</t>
        </is>
      </c>
      <c r="C5362" s="12" t="inlineStr">
        <is>
          <t>Fuel supply (adjacent market)</t>
        </is>
      </c>
      <c r="D5362" s="12" t="inlineStr">
        <is>
          <t>Home run JB-H2 27: storage tub-SOL01 to the control / marshalling room</t>
        </is>
      </c>
      <c r="E5362" s="12" t="inlineStr"/>
      <c r="F5362" s="12" t="inlineStr">
        <is>
          <t>H2 20: 13.8 kV e-house</t>
        </is>
      </c>
      <c r="G5362" s="12" t="inlineStr">
        <is>
          <t>JB-H2 27: storage tub-SOL01</t>
        </is>
      </c>
      <c r="H5362" s="12" t="inlineStr">
        <is>
          <t>H2 27: storage tube bank (~40 ft tubes)</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Duct bank</t>
        </is>
      </c>
      <c r="T5362" s="16" t="n">
        <v>50</v>
      </c>
      <c r="U5362" s="16" t="n">
        <v>97</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K-C-0069</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27: storage tube bank (~40 ft tubes)</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Duct bank</t>
        </is>
      </c>
      <c r="T5363" s="16" t="n">
        <v>50</v>
      </c>
      <c r="U5363" s="16" t="n">
        <v>117</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K-C-0070</t>
        </is>
      </c>
      <c r="B5364" s="12" t="inlineStr">
        <is>
          <t>K</t>
        </is>
      </c>
      <c r="C5364" s="12" t="inlineStr">
        <is>
          <t>Fuel supply (adjacent market)</t>
        </is>
      </c>
      <c r="D5364" s="12" t="inlineStr">
        <is>
          <t>Solenoid to JB JB-H2 27: storage tub-SOL01: 2 x 2/C (field cables)</t>
        </is>
      </c>
      <c r="E5364" s="12" t="inlineStr"/>
      <c r="F5364" s="12" t="inlineStr">
        <is>
          <t>H2 27: storage tube bank (~40 ft tubes)</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6" t="n">
        <v>54</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K-C-0071</t>
        </is>
      </c>
      <c r="B5365" s="12" t="inlineStr">
        <is>
          <t>K</t>
        </is>
      </c>
      <c r="C5365" s="12" t="inlineStr">
        <is>
          <t>Fuel supply (adjacent market)</t>
        </is>
      </c>
      <c r="D5365" s="12" t="inlineStr">
        <is>
          <t>Home run JB-H2 27: storage tub-SOL01 to the control / marshalling room</t>
        </is>
      </c>
      <c r="E5365" s="12" t="inlineStr"/>
      <c r="F5365" s="12" t="inlineStr">
        <is>
          <t>H2 20: 13.8 kV e-house</t>
        </is>
      </c>
      <c r="G5365" s="12" t="inlineStr">
        <is>
          <t>JB-H2 27: storage tub-SOL01</t>
        </is>
      </c>
      <c r="H5365" s="12" t="inlineStr">
        <is>
          <t>H2 27: storage tube bank (~40 ft tubes)</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50</v>
      </c>
      <c r="U5365" s="16" t="n">
        <v>117</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K-C-0072</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28: N2 purge supply</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53</v>
      </c>
      <c r="U5366" s="16" t="n">
        <v>36</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K-C-0073</t>
        </is>
      </c>
      <c r="B5367" s="12" t="inlineStr">
        <is>
          <t>K</t>
        </is>
      </c>
      <c r="C5367" s="12" t="inlineStr">
        <is>
          <t>Fuel supply (adjacent market)</t>
        </is>
      </c>
      <c r="D5367" s="12" t="inlineStr">
        <is>
          <t>Solenoid to JB JB-H2 28: N2 purge su-SOL01: 2 x 2/C (field cables)</t>
        </is>
      </c>
      <c r="E5367" s="12" t="inlineStr"/>
      <c r="F5367" s="12" t="inlineStr">
        <is>
          <t>H2 28: N2 purge supply</t>
        </is>
      </c>
      <c r="G5367" s="12" t="inlineStr">
        <is>
          <t>JB-H2 28: N2 purge su-SOL01</t>
        </is>
      </c>
      <c r="H5367" s="12" t="inlineStr">
        <is>
          <t>H2 28: N2 purge supply</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6" t="n">
        <v>56</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K-C-0074</t>
        </is>
      </c>
      <c r="B5368" s="12" t="inlineStr">
        <is>
          <t>K</t>
        </is>
      </c>
      <c r="C5368" s="12" t="inlineStr">
        <is>
          <t>Fuel supply (adjacent market)</t>
        </is>
      </c>
      <c r="D5368" s="12" t="inlineStr">
        <is>
          <t>Home run JB-H2 28: N2 purge su-SOL01 to the control / marshalling room</t>
        </is>
      </c>
      <c r="E5368" s="12" t="inlineStr"/>
      <c r="F5368" s="12" t="inlineStr">
        <is>
          <t>H2 20: 13.8 kV e-house</t>
        </is>
      </c>
      <c r="G5368" s="12" t="inlineStr">
        <is>
          <t>JB-H2 28: N2 purge su-SOL01</t>
        </is>
      </c>
      <c r="H5368" s="12" t="inlineStr">
        <is>
          <t>H2 28: N2 purge supply</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Duct bank</t>
        </is>
      </c>
      <c r="T5368" s="16" t="n">
        <v>53</v>
      </c>
      <c r="U5368" s="16" t="n">
        <v>36</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K-C-0075</t>
        </is>
      </c>
      <c r="B5369" s="12" t="inlineStr">
        <is>
          <t>K</t>
        </is>
      </c>
      <c r="C5369" s="12" t="inlineStr">
        <is>
          <t>Fuel supply (adjacent market)</t>
        </is>
      </c>
      <c r="D5369" s="12" t="inlineStr">
        <is>
          <t>Motor 1 of 1: control / local station</t>
        </is>
      </c>
      <c r="E5369" s="12" t="inlineStr"/>
      <c r="F5369" s="12" t="inlineStr">
        <is>
          <t>H2 20: 13.8 kV e-house</t>
        </is>
      </c>
      <c r="G5369" s="12" t="inlineStr"/>
      <c r="H5369" s="12" t="inlineStr">
        <is>
          <t>H2 29: vent stack</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Duct bank</t>
        </is>
      </c>
      <c r="T5369" s="16" t="n">
        <v>55</v>
      </c>
      <c r="U5369" s="16" t="n">
        <v>205</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K-C-0076</t>
        </is>
      </c>
      <c r="B5370" s="12" t="inlineStr">
        <is>
          <t>K</t>
        </is>
      </c>
      <c r="C5370" s="12" t="inlineStr">
        <is>
          <t>Fuel supply (adjacent market)</t>
        </is>
      </c>
      <c r="D5370" s="12" t="inlineStr">
        <is>
          <t>Solenoid to JB JB-H2 29: vent stack-SOL01: 2 x 2/C (field cables)</t>
        </is>
      </c>
      <c r="E5370" s="12" t="inlineStr"/>
      <c r="F5370" s="12" t="inlineStr">
        <is>
          <t>H2 29: vent stack</t>
        </is>
      </c>
      <c r="G5370" s="12" t="inlineStr">
        <is>
          <t>JB-H2 29: vent stack-SOL01</t>
        </is>
      </c>
      <c r="H5370" s="12" t="inlineStr">
        <is>
          <t>H2 29: vent stack</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6" t="n">
        <v>45</v>
      </c>
      <c r="U5370" s="16" t="n">
        <v>10</v>
      </c>
      <c r="V5370" s="16">
        <f>ROUNDUP((T5370+U5370+2*'Read Me'!$B$13)*(1+'Read Me'!$B$12),-1)</f>
        <v/>
      </c>
      <c r="W5370" s="16">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K-C-0077</t>
        </is>
      </c>
      <c r="B5371" s="12" t="inlineStr">
        <is>
          <t>K</t>
        </is>
      </c>
      <c r="C5371" s="12" t="inlineStr">
        <is>
          <t>Fuel supply (adjacent market)</t>
        </is>
      </c>
      <c r="D5371" s="12" t="inlineStr">
        <is>
          <t>Home run JB-H2 29: vent stack-SOL01 to the control / marshalling room</t>
        </is>
      </c>
      <c r="E5371" s="12" t="inlineStr"/>
      <c r="F5371" s="12" t="inlineStr">
        <is>
          <t>H2 20: 13.8 kV e-house</t>
        </is>
      </c>
      <c r="G5371" s="12" t="inlineStr">
        <is>
          <t>JB-H2 29: vent stack-SOL01</t>
        </is>
      </c>
      <c r="H5371" s="12" t="inlineStr">
        <is>
          <t>H2 29: vent stack</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Duct bank</t>
        </is>
      </c>
      <c r="T5371" s="16" t="n">
        <v>55</v>
      </c>
      <c r="U5371" s="16" t="n">
        <v>205</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K-C-0078</t>
        </is>
      </c>
      <c r="B5372" s="12" t="inlineStr">
        <is>
          <t>K</t>
        </is>
      </c>
      <c r="C5372" s="12" t="inlineStr">
        <is>
          <t>Fuel supply (adjacent market)</t>
        </is>
      </c>
      <c r="D5372" s="12" t="inlineStr">
        <is>
          <t>Motor 1 of 1: control / local station</t>
        </is>
      </c>
      <c r="E5372" s="12" t="inlineStr"/>
      <c r="F5372" s="12" t="inlineStr">
        <is>
          <t>LNG 17: LNG e-house (13.8 kV / 480 V)</t>
        </is>
      </c>
      <c r="G5372" s="12" t="inlineStr"/>
      <c r="H5372" s="12" t="inlineStr">
        <is>
          <t>H2 30: H2 / gas blending station (plant gas yard)</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994</v>
      </c>
      <c r="U5372" s="16" t="n">
        <v>114</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K-C-0079</t>
        </is>
      </c>
      <c r="B5373" s="12" t="inlineStr">
        <is>
          <t>K</t>
        </is>
      </c>
      <c r="C5373" s="12" t="inlineStr">
        <is>
          <t>Fuel supply (adjacent market)</t>
        </is>
      </c>
      <c r="D5373" s="12" t="inlineStr">
        <is>
          <t>Solenoid to JB JB-H2 30: H2 / gas bl-SOL01: 2 x 2/C (field cables)</t>
        </is>
      </c>
      <c r="E5373" s="12" t="inlineStr"/>
      <c r="F5373" s="12" t="inlineStr">
        <is>
          <t>H2 30: H2 / gas blending station (plant gas yard)</t>
        </is>
      </c>
      <c r="G5373" s="12" t="inlineStr">
        <is>
          <t>JB-H2 30: H2 / gas bl-SOL01</t>
        </is>
      </c>
      <c r="H5373" s="12" t="inlineStr">
        <is>
          <t>H2 30: H2 / gas blending station (plant gas yard)</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6" t="n">
        <v>129</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K-C-0080</t>
        </is>
      </c>
      <c r="B5374" s="12" t="inlineStr">
        <is>
          <t>K</t>
        </is>
      </c>
      <c r="C5374" s="12" t="inlineStr">
        <is>
          <t>Fuel supply (adjacent market)</t>
        </is>
      </c>
      <c r="D5374" s="12" t="inlineStr">
        <is>
          <t>Home run JB-H2 30: H2 / gas bl-SOL01 to the control / marshalling room</t>
        </is>
      </c>
      <c r="E5374" s="12" t="inlineStr"/>
      <c r="F5374" s="12" t="inlineStr">
        <is>
          <t>LNG 17: LNG e-house (13.8 kV / 480 V)</t>
        </is>
      </c>
      <c r="G5374" s="12" t="inlineStr">
        <is>
          <t>JB-H2 30: H2 / gas bl-SOL01</t>
        </is>
      </c>
      <c r="H5374" s="12" t="inlineStr">
        <is>
          <t>H2 30: H2 / gas blending station (plant gas yard)</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Duct bank</t>
        </is>
      </c>
      <c r="T5374" s="16" t="n">
        <v>994</v>
      </c>
      <c r="U5374" s="16" t="n">
        <v>114</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K-C-0081</t>
        </is>
      </c>
      <c r="B5375" s="12" t="inlineStr">
        <is>
          <t>K</t>
        </is>
      </c>
      <c r="C5375" s="12" t="inlineStr">
        <is>
          <t>Fuel supply (adjacent market)</t>
        </is>
      </c>
      <c r="D5375" s="12" t="inlineStr">
        <is>
          <t>Motor 1 of 2: control / local station</t>
        </is>
      </c>
      <c r="E5375" s="12" t="inlineStr"/>
      <c r="F5375" s="12" t="inlineStr">
        <is>
          <t>H2 20: 13.8 kV e-house</t>
        </is>
      </c>
      <c r="G5375" s="12" t="inlineStr"/>
      <c r="H5375" s="12" t="inlineStr">
        <is>
          <t>H2 pipe track and cable trench, hall -&gt; dryer / compressors (N2, instr</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53</v>
      </c>
      <c r="U5375" s="16" t="n">
        <v>62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K-C-0082</t>
        </is>
      </c>
      <c r="B5376" s="12" t="inlineStr">
        <is>
          <t>K</t>
        </is>
      </c>
      <c r="C5376" s="12" t="inlineStr">
        <is>
          <t>Fuel supply (adjacent market)</t>
        </is>
      </c>
      <c r="D5376" s="12" t="inlineStr">
        <is>
          <t>Motor 2 of 2: control / local station</t>
        </is>
      </c>
      <c r="E5376" s="12" t="inlineStr"/>
      <c r="F5376" s="12" t="inlineStr">
        <is>
          <t>H2 20: 13.8 kV e-house</t>
        </is>
      </c>
      <c r="G5376" s="12" t="inlineStr"/>
      <c r="H5376" s="12" t="inlineStr">
        <is>
          <t>H2 pipe track and cable trench, hall -&gt; dryer / compressors (N2, instr</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53</v>
      </c>
      <c r="U5376" s="16" t="n">
        <v>62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K-C-0083</t>
        </is>
      </c>
      <c r="B5377" s="12" t="inlineStr">
        <is>
          <t>K</t>
        </is>
      </c>
      <c r="C5377" s="12" t="inlineStr">
        <is>
          <t>Fuel supply (adjacent market)</t>
        </is>
      </c>
      <c r="D5377" s="12" t="inlineStr">
        <is>
          <t>Control</t>
        </is>
      </c>
      <c r="E5377" s="12" t="inlineStr"/>
      <c r="F5377" s="12" t="inlineStr">
        <is>
          <t>H2 20: 13.8 kV e-house</t>
        </is>
      </c>
      <c r="G5377" s="12" t="inlineStr">
        <is>
          <t>H2-ST</t>
        </is>
      </c>
      <c r="H5377" s="12" t="inlineStr">
        <is>
          <t>H2 storage tube banks x4</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50</v>
      </c>
      <c r="U5377" s="16" t="n">
        <v>92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K-C-0084</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LNG 10: truck unloading bay 1</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237</v>
      </c>
      <c r="U5378" s="16" t="n">
        <v>61</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K-C-0085</t>
        </is>
      </c>
      <c r="B5379" s="12" t="inlineStr">
        <is>
          <t>K</t>
        </is>
      </c>
      <c r="C5379" s="12" t="inlineStr">
        <is>
          <t>Fuel supply (adjacent market)</t>
        </is>
      </c>
      <c r="D5379" s="12" t="inlineStr">
        <is>
          <t>Solenoid to JB JB-LNG 10: truck unlo-SOL01: 2 x 2/C (field cables)</t>
        </is>
      </c>
      <c r="E5379" s="12" t="inlineStr"/>
      <c r="F5379" s="12" t="inlineStr">
        <is>
          <t>LNG 10: truck unloading bay 1</t>
        </is>
      </c>
      <c r="G5379" s="12" t="inlineStr">
        <is>
          <t>JB-LNG 10: truck unlo-SOL01</t>
        </is>
      </c>
      <c r="H5379" s="12" t="inlineStr">
        <is>
          <t>LNG 10: truck unloading bay 1</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6" t="n">
        <v>72</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K-C-0086</t>
        </is>
      </c>
      <c r="B5380" s="12" t="inlineStr">
        <is>
          <t>K</t>
        </is>
      </c>
      <c r="C5380" s="12" t="inlineStr">
        <is>
          <t>Fuel supply (adjacent market)</t>
        </is>
      </c>
      <c r="D5380" s="12" t="inlineStr">
        <is>
          <t>Home run JB-LNG 10: truck unlo-SOL01 to the control / marshalling room</t>
        </is>
      </c>
      <c r="E5380" s="12" t="inlineStr"/>
      <c r="F5380" s="12" t="inlineStr">
        <is>
          <t>LNG 17: LNG e-house (13.8 kV / 480 V)</t>
        </is>
      </c>
      <c r="G5380" s="12" t="inlineStr">
        <is>
          <t>JB-LNG 10: truck unlo-SOL01</t>
        </is>
      </c>
      <c r="H5380" s="12" t="inlineStr">
        <is>
          <t>LNG 10: truck unloading bay 1</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6" t="n">
        <v>237</v>
      </c>
      <c r="U5380" s="16" t="n">
        <v>61</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K-C-0087</t>
        </is>
      </c>
      <c r="B5381" s="12" t="inlineStr">
        <is>
          <t>K</t>
        </is>
      </c>
      <c r="C5381" s="12" t="inlineStr">
        <is>
          <t>Fuel supply (adjacent market)</t>
        </is>
      </c>
      <c r="D5381" s="12" t="inlineStr">
        <is>
          <t>Motor 1 of 1: control / local station</t>
        </is>
      </c>
      <c r="E5381" s="12" t="inlineStr"/>
      <c r="F5381" s="12" t="inlineStr">
        <is>
          <t>LNG 17: LNG e-house (13.8 kV / 480 V)</t>
        </is>
      </c>
      <c r="G5381" s="12" t="inlineStr"/>
      <c r="H5381" s="12" t="inlineStr">
        <is>
          <t>LNG 10: truck unloading bay 2</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6" t="n">
        <v>147</v>
      </c>
      <c r="U5381" s="16" t="n">
        <v>66</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K-C-0088</t>
        </is>
      </c>
      <c r="B5382" s="12" t="inlineStr">
        <is>
          <t>K</t>
        </is>
      </c>
      <c r="C5382" s="12" t="inlineStr">
        <is>
          <t>Fuel supply (adjacent market)</t>
        </is>
      </c>
      <c r="D5382" s="12" t="inlineStr">
        <is>
          <t>Solenoid to JB JB-LNG 10: truck unlo-SOL01: 2 x 2/C (field cables)</t>
        </is>
      </c>
      <c r="E5382" s="12" t="inlineStr"/>
      <c r="F5382" s="12" t="inlineStr">
        <is>
          <t>LNG 10: truck unloading bay 2</t>
        </is>
      </c>
      <c r="G5382" s="12" t="inlineStr">
        <is>
          <t>JB-LNG 10: truck unlo-SOL01</t>
        </is>
      </c>
      <c r="H5382" s="12" t="inlineStr">
        <is>
          <t>LNG 10: truck unloading bay 2</t>
        </is>
      </c>
      <c r="I5382" s="12" t="inlineStr">
        <is>
          <t>Control</t>
        </is>
      </c>
      <c r="J5382" s="12" t="inlineStr">
        <is>
          <t>ARMOR-X MC-HL 600 V control, Cu #14 AWG (Class I Div 2)</t>
        </is>
      </c>
      <c r="K5382" s="12" t="inlineStr">
        <is>
          <t>CTAX|2/C|14</t>
        </is>
      </c>
      <c r="L5382" s="12" t="inlineStr">
        <is>
          <t>2/C</t>
        </is>
      </c>
      <c r="M5382" s="12" t="inlineStr">
        <is>
          <t>14</t>
        </is>
      </c>
      <c r="N5382" s="12" t="n">
        <v>2</v>
      </c>
      <c r="O5382" s="12" t="n">
        <v>1</v>
      </c>
      <c r="P5382" s="12" t="n"/>
      <c r="Q5382" s="12" t="n"/>
      <c r="R5382" s="12" t="n"/>
      <c r="S5382" s="12" t="inlineStr">
        <is>
          <t>Tray / conduit</t>
        </is>
      </c>
      <c r="T5382" s="16" t="n">
        <v>72</v>
      </c>
      <c r="U5382" s="16" t="n">
        <v>10</v>
      </c>
      <c r="V5382" s="16">
        <f>ROUNDUP((T5382+U5382+2*'Read Me'!$B$13)*(1+'Read Me'!$B$12),-1)</f>
        <v/>
      </c>
      <c r="W5382" s="16">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K-C-0089</t>
        </is>
      </c>
      <c r="B5383" s="12" t="inlineStr">
        <is>
          <t>K</t>
        </is>
      </c>
      <c r="C5383" s="12" t="inlineStr">
        <is>
          <t>Fuel supply (adjacent market)</t>
        </is>
      </c>
      <c r="D5383" s="12" t="inlineStr">
        <is>
          <t>Home run JB-LNG 10: truck unlo-SOL01 to the control / marshalling room</t>
        </is>
      </c>
      <c r="E5383" s="12" t="inlineStr"/>
      <c r="F5383" s="12" t="inlineStr">
        <is>
          <t>LNG 17: LNG e-house (13.8 kV / 480 V)</t>
        </is>
      </c>
      <c r="G5383" s="12" t="inlineStr">
        <is>
          <t>JB-LNG 10: truck unlo-SOL01</t>
        </is>
      </c>
      <c r="H5383" s="12" t="inlineStr">
        <is>
          <t>LNG 10: truck unloading bay 2</t>
        </is>
      </c>
      <c r="I5383" s="12" t="inlineStr">
        <is>
          <t>Control</t>
        </is>
      </c>
      <c r="J5383" s="12" t="inlineStr">
        <is>
          <t>ARMOR-X MC-HL 600 V control, Cu #14 AWG (Class I Div 2)</t>
        </is>
      </c>
      <c r="K5383" s="12" t="inlineStr">
        <is>
          <t>CTAX|25/C|14</t>
        </is>
      </c>
      <c r="L5383" s="12" t="inlineStr">
        <is>
          <t>25/C</t>
        </is>
      </c>
      <c r="M5383" s="12" t="inlineStr">
        <is>
          <t>14</t>
        </is>
      </c>
      <c r="N5383" s="12" t="n">
        <v>1</v>
      </c>
      <c r="O5383" s="12" t="n">
        <v>1</v>
      </c>
      <c r="P5383" s="12" t="n"/>
      <c r="Q5383" s="12" t="n"/>
      <c r="R5383" s="12" t="n"/>
      <c r="S5383" s="12" t="inlineStr">
        <is>
          <t>Duct bank</t>
        </is>
      </c>
      <c r="T5383" s="16" t="n">
        <v>147</v>
      </c>
      <c r="U5383" s="16" t="n">
        <v>66</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K-C-0090</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unloading skid</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6" t="n">
        <v>237</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K-C-0091</t>
        </is>
      </c>
      <c r="B5385" s="12" t="inlineStr">
        <is>
          <t>K</t>
        </is>
      </c>
      <c r="C5385" s="12" t="inlineStr">
        <is>
          <t>Fuel supply (adjacent market)</t>
        </is>
      </c>
      <c r="D5385" s="12" t="inlineStr">
        <is>
          <t>Solenoid to JB JB-LNG 10: unloading -SOL01: 2 x 2/C (field cables)</t>
        </is>
      </c>
      <c r="E5385" s="12" t="inlineStr"/>
      <c r="F5385" s="12" t="inlineStr">
        <is>
          <t>LNG 10: unloading skid</t>
        </is>
      </c>
      <c r="G5385" s="12" t="inlineStr">
        <is>
          <t>JB-LNG 10: unloading -SOL01</t>
        </is>
      </c>
      <c r="H5385" s="12" t="inlineStr">
        <is>
          <t>LNG 10: unloading skid</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6" t="n">
        <v>54</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K-C-0092</t>
        </is>
      </c>
      <c r="B5386" s="12" t="inlineStr">
        <is>
          <t>K</t>
        </is>
      </c>
      <c r="C5386" s="12" t="inlineStr">
        <is>
          <t>Fuel supply (adjacent market)</t>
        </is>
      </c>
      <c r="D5386" s="12" t="inlineStr">
        <is>
          <t>Home run JB-LNG 10: unloading -SOL01 to the control / marshalling room</t>
        </is>
      </c>
      <c r="E5386" s="12" t="inlineStr"/>
      <c r="F5386" s="12" t="inlineStr">
        <is>
          <t>LNG 17: LNG e-house (13.8 kV / 480 V)</t>
        </is>
      </c>
      <c r="G5386" s="12" t="inlineStr">
        <is>
          <t>JB-LNG 10: unloading -SOL01</t>
        </is>
      </c>
      <c r="H5386" s="12" t="inlineStr">
        <is>
          <t>LNG 10: unloading skid</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6" t="n">
        <v>237</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K-C-0093</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12: spill impoundment (NFPA 59A, to verify)</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6" t="n">
        <v>230</v>
      </c>
      <c r="U5387" s="16" t="n">
        <v>32</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K-C-0094</t>
        </is>
      </c>
      <c r="B5388" s="12" t="inlineStr">
        <is>
          <t>K</t>
        </is>
      </c>
      <c r="C5388" s="12" t="inlineStr">
        <is>
          <t>Fuel supply (adjacent market)</t>
        </is>
      </c>
      <c r="D5388" s="12" t="inlineStr">
        <is>
          <t>Solenoid to JB JB-LNG 12: spill impo-SOL01: 2 x 2/C (field cables)</t>
        </is>
      </c>
      <c r="E5388" s="12" t="inlineStr"/>
      <c r="F5388" s="12" t="inlineStr">
        <is>
          <t>LNG 12: spill impoundment (NFPA 59A, to verify)</t>
        </is>
      </c>
      <c r="G5388" s="12" t="inlineStr">
        <is>
          <t>JB-LNG 12: spill impo-SOL01</t>
        </is>
      </c>
      <c r="H5388" s="12" t="inlineStr">
        <is>
          <t>LNG 12: spill impoundment (NFPA 59A, to verify)</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6" t="n">
        <v>170</v>
      </c>
      <c r="U5388" s="16" t="n">
        <v>10</v>
      </c>
      <c r="V5388" s="16">
        <f>ROUNDUP((T5388+U5388+2*'Read Me'!$B$13)*(1+'Read Me'!$B$12),-1)</f>
        <v/>
      </c>
      <c r="W5388" s="16">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K-C-0095</t>
        </is>
      </c>
      <c r="B5389" s="12" t="inlineStr">
        <is>
          <t>K</t>
        </is>
      </c>
      <c r="C5389" s="12" t="inlineStr">
        <is>
          <t>Fuel supply (adjacent market)</t>
        </is>
      </c>
      <c r="D5389" s="12" t="inlineStr">
        <is>
          <t>Home run JB-LNG 12: spill impo-SOL01 to the control / marshalling room</t>
        </is>
      </c>
      <c r="E5389" s="12" t="inlineStr"/>
      <c r="F5389" s="12" t="inlineStr">
        <is>
          <t>LNG 17: LNG e-house (13.8 kV / 480 V)</t>
        </is>
      </c>
      <c r="G5389" s="12" t="inlineStr">
        <is>
          <t>JB-LNG 12: spill impo-SOL01</t>
        </is>
      </c>
      <c r="H5389" s="12" t="inlineStr">
        <is>
          <t>LNG 12: spill impoundment (NFPA 59A, to verify)</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6" t="n">
        <v>230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K-C-0096</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13: send-out pumps 2 x 100%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6" t="n">
        <v>110</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K-C-0097</t>
        </is>
      </c>
      <c r="B5391" s="12" t="inlineStr">
        <is>
          <t>K</t>
        </is>
      </c>
      <c r="C5391" s="12" t="inlineStr">
        <is>
          <t>Fuel supply (adjacent market)</t>
        </is>
      </c>
      <c r="D5391" s="12" t="inlineStr">
        <is>
          <t>Solenoid to JB JB-LNG 13: send-out p-SOL01: 2 x 2/C (field cables)</t>
        </is>
      </c>
      <c r="E5391" s="12" t="inlineStr"/>
      <c r="F5391" s="12" t="inlineStr">
        <is>
          <t>LNG 13: send-out pumps 2 x 100%</t>
        </is>
      </c>
      <c r="G5391" s="12" t="inlineStr">
        <is>
          <t>JB-LNG 13: send-out p-SOL01</t>
        </is>
      </c>
      <c r="H5391" s="12" t="inlineStr">
        <is>
          <t>LNG 13: send-out pumps 2 x 100%</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6" t="n">
        <v>63</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K-C-0098</t>
        </is>
      </c>
      <c r="B5392" s="12" t="inlineStr">
        <is>
          <t>K</t>
        </is>
      </c>
      <c r="C5392" s="12" t="inlineStr">
        <is>
          <t>Fuel supply (adjacent market)</t>
        </is>
      </c>
      <c r="D5392" s="12" t="inlineStr">
        <is>
          <t>Home run JB-LNG 13: send-out p-SOL01 to the control / marshalling room</t>
        </is>
      </c>
      <c r="E5392" s="12" t="inlineStr"/>
      <c r="F5392" s="12" t="inlineStr">
        <is>
          <t>LNG 17: LNG e-house (13.8 kV / 480 V)</t>
        </is>
      </c>
      <c r="G5392" s="12" t="inlineStr">
        <is>
          <t>JB-LNG 13: send-out p-SOL01</t>
        </is>
      </c>
      <c r="H5392" s="12" t="inlineStr">
        <is>
          <t>LNG 13: send-out pumps 2 x 100%</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6" t="n">
        <v>110</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K-C-0099</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14: vaporizers + glycol heater</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6" t="n">
        <v>259</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c r="AA5393" s="12">
        <f>N5393*O5393</f>
        <v/>
      </c>
    </row>
    <row r="5394">
      <c r="A5394" s="12" t="inlineStr">
        <is>
          <t>K-C-0100</t>
        </is>
      </c>
      <c r="B5394" s="12" t="inlineStr">
        <is>
          <t>K</t>
        </is>
      </c>
      <c r="C5394" s="12" t="inlineStr">
        <is>
          <t>Fuel supply (adjacent market)</t>
        </is>
      </c>
      <c r="D5394" s="12" t="inlineStr">
        <is>
          <t>Solenoid to JB JB-LNG 14: vaporizers-SOL01: 2 x 2/C (field cables)</t>
        </is>
      </c>
      <c r="E5394" s="12" t="inlineStr"/>
      <c r="F5394" s="12" t="inlineStr">
        <is>
          <t>LNG 14: vaporizers + glycol heater</t>
        </is>
      </c>
      <c r="G5394" s="12" t="inlineStr">
        <is>
          <t>JB-LNG 14: vaporizers-SOL01</t>
        </is>
      </c>
      <c r="H5394" s="12" t="inlineStr">
        <is>
          <t>LNG 14: vaporizers + glycol heater</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6" t="n">
        <v>122</v>
      </c>
      <c r="U5394" s="16" t="n">
        <v>10</v>
      </c>
      <c r="V5394" s="16">
        <f>ROUNDUP((T5394+U5394+2*'Read Me'!$B$13)*(1+'Read Me'!$B$12),-1)</f>
        <v/>
      </c>
      <c r="W5394" s="16">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K-C-0101</t>
        </is>
      </c>
      <c r="B5395" s="12" t="inlineStr">
        <is>
          <t>K</t>
        </is>
      </c>
      <c r="C5395" s="12" t="inlineStr">
        <is>
          <t>Fuel supply (adjacent market)</t>
        </is>
      </c>
      <c r="D5395" s="12" t="inlineStr">
        <is>
          <t>Home run JB-LNG 14: vaporizers-SOL01 to the control / marshalling room</t>
        </is>
      </c>
      <c r="E5395" s="12" t="inlineStr"/>
      <c r="F5395" s="12" t="inlineStr">
        <is>
          <t>LNG 17: LNG e-house (13.8 kV / 480 V)</t>
        </is>
      </c>
      <c r="G5395" s="12" t="inlineStr">
        <is>
          <t>JB-LNG 14: vaporizers-SOL01</t>
        </is>
      </c>
      <c r="H5395" s="12" t="inlineStr">
        <is>
          <t>LNG 14: vaporizers + glycol heater</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6" t="n">
        <v>259</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c r="AA5395" s="12">
        <f>N5395*O5395</f>
        <v/>
      </c>
    </row>
    <row r="5396">
      <c r="A5396" s="12" t="inlineStr">
        <is>
          <t>K-C-0102</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15: boil-off gas compressor</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6" t="n">
        <v>25</v>
      </c>
      <c r="U5396" s="16" t="n">
        <v>54</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K-C-0103</t>
        </is>
      </c>
      <c r="B5397" s="12" t="inlineStr">
        <is>
          <t>K</t>
        </is>
      </c>
      <c r="C5397" s="12" t="inlineStr">
        <is>
          <t>Fuel supply (adjacent market)</t>
        </is>
      </c>
      <c r="D5397" s="12" t="inlineStr">
        <is>
          <t>Solenoid to JB JB-LNG 15: boil-off g-SOL01: 2 x 2/C (field cables)</t>
        </is>
      </c>
      <c r="E5397" s="12" t="inlineStr"/>
      <c r="F5397" s="12" t="inlineStr">
        <is>
          <t>LNG 15: boil-off gas compressor</t>
        </is>
      </c>
      <c r="G5397" s="12" t="inlineStr">
        <is>
          <t>JB-LNG 15: boil-off g-SOL01</t>
        </is>
      </c>
      <c r="H5397" s="12" t="inlineStr">
        <is>
          <t>LNG 15: boil-off gas compressor</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6" t="n">
        <v>67</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K-C-0104</t>
        </is>
      </c>
      <c r="B5398" s="12" t="inlineStr">
        <is>
          <t>K</t>
        </is>
      </c>
      <c r="C5398" s="12" t="inlineStr">
        <is>
          <t>Fuel supply (adjacent market)</t>
        </is>
      </c>
      <c r="D5398" s="12" t="inlineStr">
        <is>
          <t>Home run JB-LNG 15: boil-off g-SOL01 to the control / marshalling room</t>
        </is>
      </c>
      <c r="E5398" s="12" t="inlineStr"/>
      <c r="F5398" s="12" t="inlineStr">
        <is>
          <t>LNG 17: LNG e-house (13.8 kV / 480 V)</t>
        </is>
      </c>
      <c r="G5398" s="12" t="inlineStr">
        <is>
          <t>JB-LNG 15: boil-off g-SOL01</t>
        </is>
      </c>
      <c r="H5398" s="12" t="inlineStr">
        <is>
          <t>LNG 15: boil-off gas compressor</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6" t="n">
        <v>25</v>
      </c>
      <c r="U5398" s="16" t="n">
        <v>54</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K-C-0105</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16: send-out metering + pressure control</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6" t="n">
        <v>20</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c r="AA5399" s="12">
        <f>N5399*O5399</f>
        <v/>
      </c>
    </row>
    <row r="5400">
      <c r="A5400" s="12" t="inlineStr">
        <is>
          <t>K-C-0106</t>
        </is>
      </c>
      <c r="B5400" s="12" t="inlineStr">
        <is>
          <t>K</t>
        </is>
      </c>
      <c r="C5400" s="12" t="inlineStr">
        <is>
          <t>Fuel supply (adjacent market)</t>
        </is>
      </c>
      <c r="D5400" s="12" t="inlineStr">
        <is>
          <t>Solenoid to JB JB-LNG 16: send-out m-SOL01: 2 x 2/C (field cables)</t>
        </is>
      </c>
      <c r="E5400" s="12" t="inlineStr"/>
      <c r="F5400" s="12" t="inlineStr">
        <is>
          <t>LNG 16: send-out metering + pressure control</t>
        </is>
      </c>
      <c r="G5400" s="12" t="inlineStr">
        <is>
          <t>JB-LNG 16: send-out m-SOL01</t>
        </is>
      </c>
      <c r="H5400" s="12" t="inlineStr">
        <is>
          <t>LNG 16: send-out metering + pressure control</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6" t="n">
        <v>74</v>
      </c>
      <c r="U5400" s="16" t="n">
        <v>10</v>
      </c>
      <c r="V5400" s="16">
        <f>ROUNDUP((T5400+U5400+2*'Read Me'!$B$13)*(1+'Read Me'!$B$12),-1)</f>
        <v/>
      </c>
      <c r="W5400" s="16">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K-C-0107</t>
        </is>
      </c>
      <c r="B5401" s="12" t="inlineStr">
        <is>
          <t>K</t>
        </is>
      </c>
      <c r="C5401" s="12" t="inlineStr">
        <is>
          <t>Fuel supply (adjacent market)</t>
        </is>
      </c>
      <c r="D5401" s="12" t="inlineStr">
        <is>
          <t>Home run JB-LNG 16: send-out m-SOL01 to the control / marshalling room</t>
        </is>
      </c>
      <c r="E5401" s="12" t="inlineStr"/>
      <c r="F5401" s="12" t="inlineStr">
        <is>
          <t>LNG 17: LNG e-house (13.8 kV / 480 V)</t>
        </is>
      </c>
      <c r="G5401" s="12" t="inlineStr">
        <is>
          <t>JB-LNG 16: send-out m-SOL01</t>
        </is>
      </c>
      <c r="H5401" s="12" t="inlineStr">
        <is>
          <t>LNG 16: send-out metering + pressure control</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6" t="n">
        <v>20</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c r="AA5401" s="12">
        <f>N5401*O5401</f>
        <v/>
      </c>
    </row>
    <row r="5402">
      <c r="A5402" s="12" t="inlineStr">
        <is>
          <t>K-C-0108</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17: LNG e-house (13.8 kV / 480 V)</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Tray</t>
        </is>
      </c>
      <c r="T5402" s="16" t="n">
        <v>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K-C-0109</t>
        </is>
      </c>
      <c r="B5403" s="12" t="inlineStr">
        <is>
          <t>K</t>
        </is>
      </c>
      <c r="C5403" s="12" t="inlineStr">
        <is>
          <t>Fuel supply (adjacent market)</t>
        </is>
      </c>
      <c r="D5403" s="12" t="inlineStr">
        <is>
          <t>Solenoid to JB JB-LNG 17: LNG e-hous-SOL01: 2 x 2/C (field cables)</t>
        </is>
      </c>
      <c r="E5403" s="12" t="inlineStr"/>
      <c r="F5403" s="12" t="inlineStr">
        <is>
          <t>LNG 17: LNG e-house (13.8 kV / 480 V)</t>
        </is>
      </c>
      <c r="G5403" s="12" t="inlineStr">
        <is>
          <t>JB-LNG 17: LNG e-hous-SOL01</t>
        </is>
      </c>
      <c r="H5403" s="12" t="inlineStr">
        <is>
          <t>LNG 17: LNG e-house (13.8 kV / 480 V)</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6" t="n">
        <v>58</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K-C-0110</t>
        </is>
      </c>
      <c r="B5404" s="12" t="inlineStr">
        <is>
          <t>K</t>
        </is>
      </c>
      <c r="C5404" s="12" t="inlineStr">
        <is>
          <t>Fuel supply (adjacent market)</t>
        </is>
      </c>
      <c r="D5404" s="12" t="inlineStr">
        <is>
          <t>Home run JB-LNG 17: LNG e-hous-SOL01 to the control / marshalling room</t>
        </is>
      </c>
      <c r="E5404" s="12" t="inlineStr"/>
      <c r="F5404" s="12" t="inlineStr">
        <is>
          <t>LNG 17: LNG e-house (13.8 kV / 480 V)</t>
        </is>
      </c>
      <c r="G5404" s="12" t="inlineStr">
        <is>
          <t>JB-LNG 17: LNG e-hous-SOL01</t>
        </is>
      </c>
      <c r="H5404" s="12" t="inlineStr">
        <is>
          <t>LNG 17: LNG e-house (13.8 kV / 480 V)</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Tray</t>
        </is>
      </c>
      <c r="T5404" s="16" t="n">
        <v>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K-C-0111</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18: vent stack</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6" t="n">
        <v>25</v>
      </c>
      <c r="U5405" s="16" t="n">
        <v>117</v>
      </c>
      <c r="V5405" s="16">
        <f>ROUNDUP((T5405+U5405+2*'Read Me'!$B$13)*(1+'Read Me'!$B$12),-1)</f>
        <v/>
      </c>
      <c r="W5405" s="16">
        <f>V5405*N5405*O5405</f>
        <v/>
      </c>
      <c r="X5405" s="12">
        <f>IF(LEFT(I5405,2)="MV",2*N5405*IF(L5405="1/C",O5405,1),0)</f>
        <v/>
      </c>
      <c r="Y5405" s="12">
        <f>IF(OR(LEFT(K5405,4)="LVAX",LEFT(K5405,6)="MV15AX",LEFT(K5405,4)="CTAX",LEFT(K5405,2)="W|"),2*N5405*O5405,0)</f>
        <v/>
      </c>
      <c r="Z5405" s="12" t="inlineStr"/>
      <c r="AA5405" s="12">
        <f>N5405*O5405</f>
        <v/>
      </c>
    </row>
    <row r="5406">
      <c r="A5406" s="12" t="inlineStr">
        <is>
          <t>K-C-0112</t>
        </is>
      </c>
      <c r="B5406" s="12" t="inlineStr">
        <is>
          <t>K</t>
        </is>
      </c>
      <c r="C5406" s="12" t="inlineStr">
        <is>
          <t>Fuel supply (adjacent market)</t>
        </is>
      </c>
      <c r="D5406" s="12" t="inlineStr">
        <is>
          <t>Solenoid to JB JB-LNG 18: vent stack-SOL01: 2 x 2/C (field cables)</t>
        </is>
      </c>
      <c r="E5406" s="12" t="inlineStr"/>
      <c r="F5406" s="12" t="inlineStr">
        <is>
          <t>LNG 18: vent stack</t>
        </is>
      </c>
      <c r="G5406" s="12" t="inlineStr">
        <is>
          <t>JB-LNG 18: vent stack-SOL01</t>
        </is>
      </c>
      <c r="H5406" s="12" t="inlineStr">
        <is>
          <t>LNG 18: vent stack</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6" t="n">
        <v>55</v>
      </c>
      <c r="U5406" s="16" t="n">
        <v>10</v>
      </c>
      <c r="V5406" s="16">
        <f>ROUNDUP((T5406+U5406+2*'Read Me'!$B$13)*(1+'Read Me'!$B$12),-1)</f>
        <v/>
      </c>
      <c r="W5406" s="16">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K-C-0113</t>
        </is>
      </c>
      <c r="B5407" s="12" t="inlineStr">
        <is>
          <t>K</t>
        </is>
      </c>
      <c r="C5407" s="12" t="inlineStr">
        <is>
          <t>Fuel supply (adjacent market)</t>
        </is>
      </c>
      <c r="D5407" s="12" t="inlineStr">
        <is>
          <t>Home run JB-LNG 18: vent stack-SOL01 to the control / marshalling room</t>
        </is>
      </c>
      <c r="E5407" s="12" t="inlineStr"/>
      <c r="F5407" s="12" t="inlineStr">
        <is>
          <t>LNG 17: LNG e-house (13.8 kV / 480 V)</t>
        </is>
      </c>
      <c r="G5407" s="12" t="inlineStr">
        <is>
          <t>JB-LNG 18: vent stack-SOL01</t>
        </is>
      </c>
      <c r="H5407" s="12" t="inlineStr">
        <is>
          <t>LNG 18: vent stack</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6" t="n">
        <v>25</v>
      </c>
      <c r="U5407" s="16" t="n">
        <v>117</v>
      </c>
      <c r="V5407" s="16">
        <f>ROUNDUP((T5407+U5407+2*'Read Me'!$B$13)*(1+'Read Me'!$B$12),-1)</f>
        <v/>
      </c>
      <c r="W5407" s="16">
        <f>V5407*N5407*O5407</f>
        <v/>
      </c>
      <c r="X5407" s="12">
        <f>IF(LEFT(I5407,2)="MV",2*N5407*IF(L5407="1/C",O5407,1),0)</f>
        <v/>
      </c>
      <c r="Y5407" s="12">
        <f>IF(OR(LEFT(K5407,4)="LVAX",LEFT(K5407,6)="MV15AX",LEFT(K5407,4)="CTAX",LEFT(K5407,2)="W|"),2*N5407*O5407,0)</f>
        <v/>
      </c>
      <c r="Z5407" s="12" t="inlineStr"/>
      <c r="AA5407" s="12">
        <f>N5407*O5407</f>
        <v/>
      </c>
    </row>
    <row r="5408">
      <c r="A5408" s="12" t="inlineStr">
        <is>
          <t>K-C-0114</t>
        </is>
      </c>
      <c r="B5408" s="12" t="inlineStr">
        <is>
          <t>K</t>
        </is>
      </c>
      <c r="C5408" s="12" t="inlineStr">
        <is>
          <t>Fuel supply (adjacent market)</t>
        </is>
      </c>
      <c r="D5408" s="12" t="inlineStr">
        <is>
          <t>Solenoid to JB JB-M&amp;R 2: insulating -SOL01: 4 x 2/C (field cables)</t>
        </is>
      </c>
      <c r="E5408" s="12" t="inlineStr"/>
      <c r="F5408" s="12" t="inlineStr">
        <is>
          <t>M&amp;R 2: insulating joint + ESD valve</t>
        </is>
      </c>
      <c r="G5408" s="12" t="inlineStr">
        <is>
          <t>JB-M&amp;R 2: insulating -SOL01</t>
        </is>
      </c>
      <c r="H5408" s="12" t="inlineStr">
        <is>
          <t>M&amp;R 2: insulating joint + ESD valve</t>
        </is>
      </c>
      <c r="I5408" s="12" t="inlineStr">
        <is>
          <t>Control</t>
        </is>
      </c>
      <c r="J5408" s="12" t="inlineStr">
        <is>
          <t>ARMOR-X MC-HL 600 V control, Cu #14 AWG (Class I Div 2)</t>
        </is>
      </c>
      <c r="K5408" s="12" t="inlineStr">
        <is>
          <t>CTAX|2/C|14</t>
        </is>
      </c>
      <c r="L5408" s="12" t="inlineStr">
        <is>
          <t>2/C</t>
        </is>
      </c>
      <c r="M5408" s="12" t="inlineStr">
        <is>
          <t>14</t>
        </is>
      </c>
      <c r="N5408" s="12" t="n">
        <v>4</v>
      </c>
      <c r="O5408" s="12" t="n">
        <v>1</v>
      </c>
      <c r="P5408" s="12" t="n"/>
      <c r="Q5408" s="12" t="n"/>
      <c r="R5408" s="12" t="n"/>
      <c r="S5408" s="12" t="inlineStr">
        <is>
          <t>Tray / conduit</t>
        </is>
      </c>
      <c r="T5408" s="16" t="n">
        <v>40</v>
      </c>
      <c r="U5408" s="16" t="n">
        <v>10</v>
      </c>
      <c r="V5408" s="16">
        <f>ROUNDUP((T5408+U5408+2*'Read Me'!$B$13)*(1+'Read Me'!$B$12),-1)</f>
        <v/>
      </c>
      <c r="W5408" s="16">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K-C-0115</t>
        </is>
      </c>
      <c r="B5409" s="12" t="inlineStr">
        <is>
          <t>K</t>
        </is>
      </c>
      <c r="C5409" s="12" t="inlineStr">
        <is>
          <t>Fuel supply (adjacent market)</t>
        </is>
      </c>
      <c r="D5409" s="12" t="inlineStr">
        <is>
          <t>Home run JB-M&amp;R 2: insulating -SOL01 to the control / marshalling room</t>
        </is>
      </c>
      <c r="E5409" s="12" t="inlineStr"/>
      <c r="F5409" s="12" t="inlineStr">
        <is>
          <t>LNG 17: LNG e-house (13.8 kV / 480 V)</t>
        </is>
      </c>
      <c r="G5409" s="12" t="inlineStr">
        <is>
          <t>JB-M&amp;R 2: insulating -SOL01</t>
        </is>
      </c>
      <c r="H5409" s="12" t="inlineStr">
        <is>
          <t>M&amp;R 2: insulating joint + ESD valve</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6" t="n">
        <v>758</v>
      </c>
      <c r="U5409" s="16" t="n">
        <v>32</v>
      </c>
      <c r="V5409" s="16">
        <f>ROUNDUP((T5409+U5409+2*'Read Me'!$B$13)*(1+'Read Me'!$B$12),-1)</f>
        <v/>
      </c>
      <c r="W5409" s="16">
        <f>V5409*N5409*O5409</f>
        <v/>
      </c>
      <c r="X5409" s="12">
        <f>IF(LEFT(I5409,2)="MV",2*N5409*IF(L5409="1/C",O5409,1),0)</f>
        <v/>
      </c>
      <c r="Y5409" s="12">
        <f>IF(OR(LEFT(K5409,4)="LVAX",LEFT(K5409,6)="MV15AX",LEFT(K5409,4)="CTAX",LEFT(K5409,2)="W|"),2*N5409*O5409,0)</f>
        <v/>
      </c>
      <c r="Z5409" s="12" t="inlineStr"/>
      <c r="AA5409" s="12">
        <f>N5409*O5409</f>
        <v/>
      </c>
    </row>
    <row r="5410">
      <c r="A5410" s="12" t="inlineStr">
        <is>
          <t>K-C-0116</t>
        </is>
      </c>
      <c r="B5410" s="12" t="inlineStr">
        <is>
          <t>K</t>
        </is>
      </c>
      <c r="C5410" s="12" t="inlineStr">
        <is>
          <t>Fuel supply (adjacent market)</t>
        </is>
      </c>
      <c r="D5410" s="12" t="inlineStr">
        <is>
          <t>Solenoid to JB JB-M&amp;R 3: horizontal -SOL01: 4 x 2/C (field cables)</t>
        </is>
      </c>
      <c r="E5410" s="12" t="inlineStr"/>
      <c r="F5410" s="12" t="inlineStr">
        <is>
          <t>M&amp;R 3: horizontal filter-separator</t>
        </is>
      </c>
      <c r="G5410" s="12" t="inlineStr">
        <is>
          <t>JB-M&amp;R 3: horizontal -SOL01</t>
        </is>
      </c>
      <c r="H5410" s="12" t="inlineStr">
        <is>
          <t>M&amp;R 3: horizontal filter-separator</t>
        </is>
      </c>
      <c r="I5410" s="12" t="inlineStr">
        <is>
          <t>Control</t>
        </is>
      </c>
      <c r="J5410" s="12" t="inlineStr">
        <is>
          <t>ARMOR-X MC-HL 600 V control, Cu #14 AWG (Class I Div 2)</t>
        </is>
      </c>
      <c r="K5410" s="12" t="inlineStr">
        <is>
          <t>CTAX|2/C|14</t>
        </is>
      </c>
      <c r="L5410" s="12" t="inlineStr">
        <is>
          <t>2/C</t>
        </is>
      </c>
      <c r="M5410" s="12" t="inlineStr">
        <is>
          <t>14</t>
        </is>
      </c>
      <c r="N5410" s="12" t="n">
        <v>4</v>
      </c>
      <c r="O5410" s="12" t="n">
        <v>1</v>
      </c>
      <c r="P5410" s="12" t="n"/>
      <c r="Q5410" s="12" t="n"/>
      <c r="R5410" s="12" t="n"/>
      <c r="S5410" s="12" t="inlineStr">
        <is>
          <t>Tray / conduit</t>
        </is>
      </c>
      <c r="T5410" s="16" t="n">
        <v>53</v>
      </c>
      <c r="U5410" s="16" t="n">
        <v>10</v>
      </c>
      <c r="V5410" s="16">
        <f>ROUNDUP((T5410+U5410+2*'Read Me'!$B$13)*(1+'Read Me'!$B$12),-1)</f>
        <v/>
      </c>
      <c r="W5410" s="16">
        <f>V5410*N5410*O5410</f>
        <v/>
      </c>
      <c r="X5410" s="12">
        <f>IF(LEFT(I5410,2)="MV",2*N5410*IF(L5410="1/C",O5410,1),0)</f>
        <v/>
      </c>
      <c r="Y5410" s="12">
        <f>IF(OR(LEFT(K5410,4)="LVAX",LEFT(K5410,6)="MV15AX",LEFT(K5410,4)="CTAX",LEFT(K5410,2)="W|"),2*N5410*O5410,0)</f>
        <v/>
      </c>
      <c r="Z5410" s="12" t="inlineStr">
        <is>
          <t>device-to-JB field wiring, one cable per device</t>
        </is>
      </c>
      <c r="AA5410" s="12">
        <f>N5410*O5410</f>
        <v/>
      </c>
    </row>
    <row r="5411">
      <c r="A5411" s="12" t="inlineStr">
        <is>
          <t>K-C-0117</t>
        </is>
      </c>
      <c r="B5411" s="12" t="inlineStr">
        <is>
          <t>K</t>
        </is>
      </c>
      <c r="C5411" s="12" t="inlineStr">
        <is>
          <t>Fuel supply (adjacent market)</t>
        </is>
      </c>
      <c r="D5411" s="12" t="inlineStr">
        <is>
          <t>Home run JB-M&amp;R 3: horizontal -SOL01 to the control / marshalling room</t>
        </is>
      </c>
      <c r="E5411" s="12" t="inlineStr"/>
      <c r="F5411" s="12" t="inlineStr">
        <is>
          <t>LNG 17: LNG e-house (13.8 kV / 480 V)</t>
        </is>
      </c>
      <c r="G5411" s="12" t="inlineStr">
        <is>
          <t>JB-M&amp;R 3: horizontal -SOL01</t>
        </is>
      </c>
      <c r="H5411" s="12" t="inlineStr">
        <is>
          <t>M&amp;R 3: horizontal filter-separator</t>
        </is>
      </c>
      <c r="I5411" s="12" t="inlineStr">
        <is>
          <t>Control</t>
        </is>
      </c>
      <c r="J5411" s="12" t="inlineStr">
        <is>
          <t>ARMOR-X MC-HL 600 V control, Cu #14 AWG (Class I Div 2)</t>
        </is>
      </c>
      <c r="K5411" s="12" t="inlineStr">
        <is>
          <t>CTAX|25/C|14</t>
        </is>
      </c>
      <c r="L5411" s="12" t="inlineStr">
        <is>
          <t>25/C</t>
        </is>
      </c>
      <c r="M5411" s="12" t="inlineStr">
        <is>
          <t>14</t>
        </is>
      </c>
      <c r="N5411" s="12" t="n">
        <v>1</v>
      </c>
      <c r="O5411" s="12" t="n">
        <v>1</v>
      </c>
      <c r="P5411" s="12" t="n"/>
      <c r="Q5411" s="12" t="n"/>
      <c r="R5411" s="12" t="n"/>
      <c r="S5411" s="12" t="inlineStr">
        <is>
          <t>Duct bank</t>
        </is>
      </c>
      <c r="T5411" s="16" t="n">
        <v>797</v>
      </c>
      <c r="U5411" s="16" t="n">
        <v>32</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K-C-0118</t>
        </is>
      </c>
      <c r="B5412" s="12" t="inlineStr">
        <is>
          <t>K</t>
        </is>
      </c>
      <c r="C5412" s="12" t="inlineStr">
        <is>
          <t>Fuel supply (adjacent market)</t>
        </is>
      </c>
      <c r="D5412" s="12" t="inlineStr">
        <is>
          <t>Control</t>
        </is>
      </c>
      <c r="E5412" s="12" t="inlineStr"/>
      <c r="F5412" s="12" t="inlineStr">
        <is>
          <t>LNG 17: LNG e-house (13.8 kV / 480 V)</t>
        </is>
      </c>
      <c r="G5412" s="12" t="inlineStr"/>
      <c r="H5412" s="12" t="inlineStr">
        <is>
          <t>M&amp;R 4: line heater 1 (water bath)</t>
        </is>
      </c>
      <c r="I5412" s="12" t="inlineStr">
        <is>
          <t>Control</t>
        </is>
      </c>
      <c r="J5412" s="12" t="inlineStr">
        <is>
          <t>ARMOR-X MC-HL 600 V control, Cu #14 AWG (Class I Div 2)</t>
        </is>
      </c>
      <c r="K5412" s="12" t="inlineStr">
        <is>
          <t>CTAX|7/C|14</t>
        </is>
      </c>
      <c r="L5412" s="12" t="inlineStr">
        <is>
          <t>7/C</t>
        </is>
      </c>
      <c r="M5412" s="12" t="inlineStr">
        <is>
          <t>14</t>
        </is>
      </c>
      <c r="N5412" s="12" t="n">
        <v>1</v>
      </c>
      <c r="O5412" s="12" t="n">
        <v>1</v>
      </c>
      <c r="P5412" s="12" t="n"/>
      <c r="Q5412" s="12" t="n"/>
      <c r="R5412" s="12" t="n"/>
      <c r="S5412" s="12" t="inlineStr">
        <is>
          <t>Duct bank</t>
        </is>
      </c>
      <c r="T5412" s="16" t="n">
        <v>593</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K-C-0119</t>
        </is>
      </c>
      <c r="B5413" s="12" t="inlineStr">
        <is>
          <t>K</t>
        </is>
      </c>
      <c r="C5413" s="12" t="inlineStr">
        <is>
          <t>Fuel supply (adjacent market)</t>
        </is>
      </c>
      <c r="D5413" s="12" t="inlineStr">
        <is>
          <t>Control</t>
        </is>
      </c>
      <c r="E5413" s="12" t="inlineStr"/>
      <c r="F5413" s="12" t="inlineStr">
        <is>
          <t>LNG 17: LNG e-house (13.8 kV / 480 V)</t>
        </is>
      </c>
      <c r="G5413" s="12" t="inlineStr"/>
      <c r="H5413" s="12" t="inlineStr">
        <is>
          <t>M&amp;R 4: line heater 2 (water bath)</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6" t="n">
        <v>593</v>
      </c>
      <c r="U5413" s="16" t="n">
        <v>50</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K-C-0120</t>
        </is>
      </c>
      <c r="B5414" s="12" t="inlineStr">
        <is>
          <t>K</t>
        </is>
      </c>
      <c r="C5414" s="12" t="inlineStr">
        <is>
          <t>Fuel supply (adjacent market)</t>
        </is>
      </c>
      <c r="D5414" s="12" t="inlineStr">
        <is>
          <t>Control</t>
        </is>
      </c>
      <c r="E5414" s="12" t="inlineStr"/>
      <c r="F5414" s="12" t="inlineStr">
        <is>
          <t>LNG 17: LNG e-house (13.8 kV / 480 V)</t>
        </is>
      </c>
      <c r="G5414" s="12" t="inlineStr"/>
      <c r="H5414" s="12" t="inlineStr">
        <is>
          <t>M&amp;R 4: line heater 3 (water bath)</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6" t="n">
        <v>593</v>
      </c>
      <c r="U5414" s="16" t="n">
        <v>68</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K-C-0121</t>
        </is>
      </c>
      <c r="B5415" s="12" t="inlineStr">
        <is>
          <t>K</t>
        </is>
      </c>
      <c r="C5415" s="12" t="inlineStr">
        <is>
          <t>Fuel supply (adjacent market)</t>
        </is>
      </c>
      <c r="D5415" s="12" t="inlineStr">
        <is>
          <t>Solenoid to JB JB-M&amp;R 6: regulation -SOL01: 6 x 2/C (field cables)</t>
        </is>
      </c>
      <c r="E5415" s="12" t="inlineStr"/>
      <c r="F5415" s="12" t="inlineStr">
        <is>
          <t>M&amp;R 6: regulation / flow control building</t>
        </is>
      </c>
      <c r="G5415" s="12" t="inlineStr">
        <is>
          <t>JB-M&amp;R 6: regulation -SOL01</t>
        </is>
      </c>
      <c r="H5415" s="12" t="inlineStr">
        <is>
          <t>M&amp;R 6: regulation / flow control building</t>
        </is>
      </c>
      <c r="I5415" s="12" t="inlineStr">
        <is>
          <t>Control</t>
        </is>
      </c>
      <c r="J5415" s="12" t="inlineStr">
        <is>
          <t>ARMOR-X MC-HL 600 V control, Cu #14 AWG (Class I Div 2)</t>
        </is>
      </c>
      <c r="K5415" s="12" t="inlineStr">
        <is>
          <t>CTAX|2/C|14</t>
        </is>
      </c>
      <c r="L5415" s="12" t="inlineStr">
        <is>
          <t>2/C</t>
        </is>
      </c>
      <c r="M5415" s="12" t="inlineStr">
        <is>
          <t>14</t>
        </is>
      </c>
      <c r="N5415" s="12" t="n">
        <v>6</v>
      </c>
      <c r="O5415" s="12" t="n">
        <v>1</v>
      </c>
      <c r="P5415" s="12" t="n"/>
      <c r="Q5415" s="12" t="n"/>
      <c r="R5415" s="12" t="n"/>
      <c r="S5415" s="12" t="inlineStr">
        <is>
          <t>Tray / conduit</t>
        </is>
      </c>
      <c r="T5415" s="16" t="n">
        <v>61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K-C-0122</t>
        </is>
      </c>
      <c r="B5416" s="12" t="inlineStr">
        <is>
          <t>K</t>
        </is>
      </c>
      <c r="C5416" s="12" t="inlineStr">
        <is>
          <t>Fuel supply (adjacent market)</t>
        </is>
      </c>
      <c r="D5416" s="12" t="inlineStr">
        <is>
          <t>Home run JB-M&amp;R 6: regulation -SOL01 to the control / marshalling room</t>
        </is>
      </c>
      <c r="E5416" s="12" t="inlineStr"/>
      <c r="F5416" s="12" t="inlineStr">
        <is>
          <t>LNG 17: LNG e-house (13.8 kV / 480 V)</t>
        </is>
      </c>
      <c r="G5416" s="12" t="inlineStr">
        <is>
          <t>JB-M&amp;R 6: regulation -SOL01</t>
        </is>
      </c>
      <c r="H5416" s="12" t="inlineStr">
        <is>
          <t>M&amp;R 6: regulation / flow control building</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6" t="n">
        <v>470</v>
      </c>
      <c r="U5416" s="16" t="n">
        <v>70</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K-C-0123</t>
        </is>
      </c>
      <c r="B5417" s="12" t="inlineStr">
        <is>
          <t>K</t>
        </is>
      </c>
      <c r="C5417" s="12" t="inlineStr">
        <is>
          <t>Fuel supply (adjacent market)</t>
        </is>
      </c>
      <c r="D5417" s="12" t="inlineStr">
        <is>
          <t>Control</t>
        </is>
      </c>
      <c r="E5417" s="12" t="inlineStr"/>
      <c r="F5417" s="12" t="inlineStr">
        <is>
          <t>LNG 17: LNG e-house (13.8 kV / 480 V)</t>
        </is>
      </c>
      <c r="G5417" s="12" t="inlineStr"/>
      <c r="H5417" s="12" t="inlineStr">
        <is>
          <t>M&amp;R 9: service panel + UPS, SCADA RTU, CP</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6" t="n">
        <v>466</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K-C-0124</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CP test station (as drawn)</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6" t="n">
        <v>441</v>
      </c>
      <c r="U5418" s="16" t="n">
        <v>42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K-C-0125</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SCADA antenna mast base (as drawn)</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6" t="n">
        <v>433</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K-C-0126</t>
        </is>
      </c>
      <c r="B5420" s="12" t="inlineStr">
        <is>
          <t>K</t>
        </is>
      </c>
      <c r="C5420" s="12" t="inlineStr">
        <is>
          <t>Fuel supply (adjacent market)</t>
        </is>
      </c>
      <c r="D5420" s="12" t="inlineStr">
        <is>
          <t>Control</t>
        </is>
      </c>
      <c r="E5420" s="12" t="inlineStr"/>
      <c r="F5420" s="12" t="inlineStr">
        <is>
          <t>H2 20: 13.8 kV e-house</t>
        </is>
      </c>
      <c r="G5420" s="12" t="inlineStr"/>
      <c r="H5420" s="12" t="inlineStr">
        <is>
          <t>PEM electrolyzer 1 (HyLYZER-1000)</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6" t="n">
        <v>358</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K-C-0127</t>
        </is>
      </c>
      <c r="B5421" s="12" t="inlineStr">
        <is>
          <t>K</t>
        </is>
      </c>
      <c r="C5421" s="12" t="inlineStr">
        <is>
          <t>Fuel supply (adjacent market)</t>
        </is>
      </c>
      <c r="D5421" s="12" t="inlineStr">
        <is>
          <t>Control</t>
        </is>
      </c>
      <c r="E5421" s="12" t="inlineStr"/>
      <c r="F5421" s="12" t="inlineStr">
        <is>
          <t>H2 20: 13.8 kV e-house</t>
        </is>
      </c>
      <c r="G5421" s="12" t="inlineStr"/>
      <c r="H5421" s="12" t="inlineStr">
        <is>
          <t>PEM electrolyzer 2 (HyLYZER-1000)</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6" t="n">
        <v>358</v>
      </c>
      <c r="U5421" s="16" t="n">
        <v>48</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K-C-0128</t>
        </is>
      </c>
      <c r="B5422" s="12" t="inlineStr">
        <is>
          <t>K</t>
        </is>
      </c>
      <c r="C5422" s="12" t="inlineStr">
        <is>
          <t>Fuel supply (adjacent market)</t>
        </is>
      </c>
      <c r="D5422" s="12" t="inlineStr">
        <is>
          <t>Control</t>
        </is>
      </c>
      <c r="E5422" s="12" t="inlineStr"/>
      <c r="F5422" s="12" t="inlineStr">
        <is>
          <t>H2 20: 13.8 kV e-house</t>
        </is>
      </c>
      <c r="G5422" s="12" t="inlineStr"/>
      <c r="H5422" s="12" t="inlineStr">
        <is>
          <t>PEM electrolyzer 3 (HyLYZER-1000)</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6" t="n">
        <v>348</v>
      </c>
      <c r="U5422" s="16" t="n">
        <v>49</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K-C-0129</t>
        </is>
      </c>
      <c r="B5423" s="12" t="inlineStr">
        <is>
          <t>K</t>
        </is>
      </c>
      <c r="C5423" s="12" t="inlineStr">
        <is>
          <t>Fuel supply (adjacent market)</t>
        </is>
      </c>
      <c r="D5423" s="12" t="inlineStr">
        <is>
          <t>Control</t>
        </is>
      </c>
      <c r="E5423" s="12" t="inlineStr"/>
      <c r="F5423" s="12" t="inlineStr">
        <is>
          <t>H2 20: 13.8 kV e-house</t>
        </is>
      </c>
      <c r="G5423" s="12" t="inlineStr"/>
      <c r="H5423" s="12" t="inlineStr">
        <is>
          <t>PEM electrolyzer 4 (HyLYZER-1000)</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6" t="n">
        <v>328</v>
      </c>
      <c r="U5423" s="16" t="n">
        <v>49</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K-C-0130</t>
        </is>
      </c>
      <c r="B5424" s="12" t="inlineStr">
        <is>
          <t>K</t>
        </is>
      </c>
      <c r="C5424" s="12" t="inlineStr">
        <is>
          <t>Fuel supply (adjacent market)</t>
        </is>
      </c>
      <c r="D5424" s="12" t="inlineStr">
        <is>
          <t>Control</t>
        </is>
      </c>
      <c r="E5424" s="12" t="inlineStr"/>
      <c r="F5424" s="12" t="inlineStr">
        <is>
          <t>H2 20: 13.8 kV e-house</t>
        </is>
      </c>
      <c r="G5424" s="12" t="inlineStr"/>
      <c r="H5424" s="12" t="inlineStr">
        <is>
          <t>PEM electrolyzer 5 (HyLYZER-1000)</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6" t="n">
        <v>328</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K-C-0131</t>
        </is>
      </c>
      <c r="B5425" s="12" t="inlineStr">
        <is>
          <t>K</t>
        </is>
      </c>
      <c r="C5425" s="12" t="inlineStr">
        <is>
          <t>Fuel supply (adjacent market)</t>
        </is>
      </c>
      <c r="D5425" s="12" t="inlineStr">
        <is>
          <t>Control</t>
        </is>
      </c>
      <c r="E5425" s="12" t="inlineStr"/>
      <c r="F5425" s="12" t="inlineStr">
        <is>
          <t>H2 20: 13.8 kV e-house</t>
        </is>
      </c>
      <c r="G5425" s="12" t="inlineStr"/>
      <c r="H5425" s="12" t="inlineStr">
        <is>
          <t>Rectifier 1 (7 MVA)</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6" t="n">
        <v>346</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K-C-0132</t>
        </is>
      </c>
      <c r="B5426" s="12" t="inlineStr">
        <is>
          <t>K</t>
        </is>
      </c>
      <c r="C5426" s="12" t="inlineStr">
        <is>
          <t>Fuel supply (adjacent market)</t>
        </is>
      </c>
      <c r="D5426" s="12" t="inlineStr">
        <is>
          <t>Control</t>
        </is>
      </c>
      <c r="E5426" s="12" t="inlineStr"/>
      <c r="F5426" s="12" t="inlineStr">
        <is>
          <t>H2 20: 13.8 kV e-house</t>
        </is>
      </c>
      <c r="G5426" s="12" t="inlineStr"/>
      <c r="H5426" s="12" t="inlineStr">
        <is>
          <t>Rectifier 2 (7 MVA)</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Duct bank</t>
        </is>
      </c>
      <c r="T5426" s="16" t="n">
        <v>361</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K-C-0133</t>
        </is>
      </c>
      <c r="B5427" s="12" t="inlineStr">
        <is>
          <t>K</t>
        </is>
      </c>
      <c r="C5427" s="12" t="inlineStr">
        <is>
          <t>Fuel supply (adjacent market)</t>
        </is>
      </c>
      <c r="D5427" s="12" t="inlineStr">
        <is>
          <t>Control</t>
        </is>
      </c>
      <c r="E5427" s="12" t="inlineStr"/>
      <c r="F5427" s="12" t="inlineStr">
        <is>
          <t>H2 20: 13.8 kV e-house</t>
        </is>
      </c>
      <c r="G5427" s="12" t="inlineStr"/>
      <c r="H5427" s="12" t="inlineStr">
        <is>
          <t>Rectifier 3 (7 MVA)</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6" t="n">
        <v>341</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K-C-0134</t>
        </is>
      </c>
      <c r="B5428" s="12" t="inlineStr">
        <is>
          <t>K</t>
        </is>
      </c>
      <c r="C5428" s="12" t="inlineStr">
        <is>
          <t>Fuel supply (adjacent market)</t>
        </is>
      </c>
      <c r="D5428" s="12" t="inlineStr">
        <is>
          <t>Control</t>
        </is>
      </c>
      <c r="E5428" s="12" t="inlineStr"/>
      <c r="F5428" s="12" t="inlineStr">
        <is>
          <t>H2 20: 13.8 kV e-house</t>
        </is>
      </c>
      <c r="G5428" s="12" t="inlineStr"/>
      <c r="H5428" s="12" t="inlineStr">
        <is>
          <t>Rectifier 4 (7 MVA)</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6" t="n">
        <v>321</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K-C-0135</t>
        </is>
      </c>
      <c r="B5429" s="12" t="inlineStr">
        <is>
          <t>K</t>
        </is>
      </c>
      <c r="C5429" s="12" t="inlineStr">
        <is>
          <t>Fuel supply (adjacent market)</t>
        </is>
      </c>
      <c r="D5429" s="12" t="inlineStr">
        <is>
          <t>Control</t>
        </is>
      </c>
      <c r="E5429" s="12" t="inlineStr"/>
      <c r="F5429" s="12" t="inlineStr">
        <is>
          <t>H2 20: 13.8 kV e-house</t>
        </is>
      </c>
      <c r="G5429" s="12" t="inlineStr"/>
      <c r="H5429" s="12" t="inlineStr">
        <is>
          <t>Rectifier 5 (7 MVA)</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6" t="n">
        <v>301</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K-F-0001</t>
        </is>
      </c>
      <c r="B5430" s="12" t="inlineStr">
        <is>
          <t>K</t>
        </is>
      </c>
      <c r="C5430" s="12" t="inlineStr">
        <is>
          <t>Fuel supply (adjacent market)</t>
        </is>
      </c>
      <c r="D5430" s="12" t="inlineStr">
        <is>
          <t>Plant network / DCS fibre</t>
        </is>
      </c>
      <c r="E5430" s="12" t="inlineStr">
        <is>
          <t>CR</t>
        </is>
      </c>
      <c r="F5430" s="12" t="inlineStr">
        <is>
          <t>Control / admin building (main control room)</t>
        </is>
      </c>
      <c r="G5430" s="12" t="inlineStr"/>
      <c r="H5430" s="12" t="inlineStr">
        <is>
          <t>H2 20: 13.8 kV e-house</t>
        </is>
      </c>
      <c r="I5430" s="12" t="inlineStr">
        <is>
          <t>Fibre / data</t>
        </is>
      </c>
      <c r="J5430" s="12" t="inlineStr">
        <is>
          <t>Fibre optic, single-mode, 12-fibre, armored, orange jacket</t>
        </is>
      </c>
      <c r="K5430" s="12" t="inlineStr">
        <is>
          <t>FO|12 SM|-</t>
        </is>
      </c>
      <c r="L5430" s="12" t="inlineStr">
        <is>
          <t>12 SM</t>
        </is>
      </c>
      <c r="M5430" s="12" t="inlineStr">
        <is>
          <t>-</t>
        </is>
      </c>
      <c r="N5430" s="12" t="n">
        <v>1</v>
      </c>
      <c r="O5430" s="12" t="n">
        <v>1</v>
      </c>
      <c r="P5430" s="12" t="n"/>
      <c r="Q5430" s="12" t="n"/>
      <c r="R5430" s="12" t="n"/>
      <c r="S5430" s="12" t="inlineStr">
        <is>
          <t>Trench</t>
        </is>
      </c>
      <c r="T5430" s="16" t="n">
        <v>4293</v>
      </c>
      <c r="U5430" s="16" t="n">
        <v>36</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K-F-0002</t>
        </is>
      </c>
      <c r="B5431" s="12" t="inlineStr">
        <is>
          <t>K</t>
        </is>
      </c>
      <c r="C5431" s="12" t="inlineStr">
        <is>
          <t>Fuel supply (adjacent market)</t>
        </is>
      </c>
      <c r="D5431" s="12" t="inlineStr">
        <is>
          <t>Plant network / DCS fibre</t>
        </is>
      </c>
      <c r="E5431" s="12" t="inlineStr">
        <is>
          <t>CR</t>
        </is>
      </c>
      <c r="F5431" s="12" t="inlineStr">
        <is>
          <t>Control / admin building (main control room)</t>
        </is>
      </c>
      <c r="G5431" s="12" t="inlineStr"/>
      <c r="H5431" s="12" t="inlineStr">
        <is>
          <t>LNG 17: LNG e-house (13.8 kV / 480 V)</t>
        </is>
      </c>
      <c r="I5431" s="12" t="inlineStr">
        <is>
          <t>Fibre / data</t>
        </is>
      </c>
      <c r="J5431" s="12" t="inlineStr">
        <is>
          <t>Fibre optic, single-mode, 12-fibre, armored, orange jacket</t>
        </is>
      </c>
      <c r="K5431" s="12" t="inlineStr">
        <is>
          <t>FO|12 SM|-</t>
        </is>
      </c>
      <c r="L5431" s="12" t="inlineStr">
        <is>
          <t>12 SM</t>
        </is>
      </c>
      <c r="M5431" s="12" t="inlineStr">
        <is>
          <t>-</t>
        </is>
      </c>
      <c r="N5431" s="12" t="n">
        <v>1</v>
      </c>
      <c r="O5431" s="12" t="n">
        <v>1</v>
      </c>
      <c r="P5431" s="12" t="n"/>
      <c r="Q5431" s="12" t="n"/>
      <c r="R5431" s="12" t="n"/>
      <c r="S5431" s="12" t="inlineStr">
        <is>
          <t>Duct bank</t>
        </is>
      </c>
      <c r="T5431" s="16" t="n">
        <v>3499</v>
      </c>
      <c r="U5431" s="16" t="n">
        <v>359</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K-F-0003</t>
        </is>
      </c>
      <c r="B5432" s="12" t="inlineStr">
        <is>
          <t>K</t>
        </is>
      </c>
      <c r="C5432" s="12" t="inlineStr">
        <is>
          <t>Fuel supply (adjacent market)</t>
        </is>
      </c>
      <c r="D5432" s="12" t="inlineStr">
        <is>
          <t>Plant network / DCS fibre</t>
        </is>
      </c>
      <c r="E5432" s="12" t="inlineStr">
        <is>
          <t>CR</t>
        </is>
      </c>
      <c r="F5432" s="12" t="inlineStr">
        <is>
          <t>Control / admin building (main control room)</t>
        </is>
      </c>
      <c r="G5432" s="12" t="inlineStr"/>
      <c r="H5432" s="12" t="inlineStr">
        <is>
          <t>M&amp;R 6: regulation / flow control building</t>
        </is>
      </c>
      <c r="I5432" s="12" t="inlineStr">
        <is>
          <t>Fibre / data</t>
        </is>
      </c>
      <c r="J5432" s="12" t="inlineStr">
        <is>
          <t>Fibre optic, single-mode, 12-fibre, armored, orange jacket</t>
        </is>
      </c>
      <c r="K5432" s="12" t="inlineStr">
        <is>
          <t>FO|12 SM|-</t>
        </is>
      </c>
      <c r="L5432" s="12" t="inlineStr">
        <is>
          <t>12 SM</t>
        </is>
      </c>
      <c r="M5432" s="12" t="inlineStr">
        <is>
          <t>-</t>
        </is>
      </c>
      <c r="N5432" s="12" t="n">
        <v>1</v>
      </c>
      <c r="O5432" s="12" t="n">
        <v>1</v>
      </c>
      <c r="P5432" s="12" t="n"/>
      <c r="Q5432" s="12" t="n"/>
      <c r="R5432" s="12" t="n"/>
      <c r="S5432" s="12" t="inlineStr">
        <is>
          <t>Duct bank</t>
        </is>
      </c>
      <c r="T5432" s="16" t="n">
        <v>3128</v>
      </c>
      <c r="U5432" s="16" t="n">
        <v>302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K-F-0004</t>
        </is>
      </c>
      <c r="B5433" s="12" t="inlineStr">
        <is>
          <t>K</t>
        </is>
      </c>
      <c r="C5433" s="12" t="inlineStr">
        <is>
          <t>Fuel supply (adjacent market)</t>
        </is>
      </c>
      <c r="D5433" s="12" t="inlineStr">
        <is>
          <t>Plant network / DCS fibre</t>
        </is>
      </c>
      <c r="E5433" s="12" t="inlineStr">
        <is>
          <t>CR</t>
        </is>
      </c>
      <c r="F5433" s="12" t="inlineStr">
        <is>
          <t>Control / admin building (main control room)</t>
        </is>
      </c>
      <c r="G5433" s="12" t="inlineStr"/>
      <c r="H5433" s="12" t="inlineStr">
        <is>
          <t>M&amp;R 7: gas quality + measurement building</t>
        </is>
      </c>
      <c r="I5433" s="12" t="inlineStr">
        <is>
          <t>Fibre / data</t>
        </is>
      </c>
      <c r="J5433" s="12" t="inlineStr">
        <is>
          <t>Fibre optic, single-mode, 12-fibre, armored, orange jacket</t>
        </is>
      </c>
      <c r="K5433" s="12" t="inlineStr">
        <is>
          <t>FO|12 SM|-</t>
        </is>
      </c>
      <c r="L5433" s="12" t="inlineStr">
        <is>
          <t>12 SM</t>
        </is>
      </c>
      <c r="M5433" s="12" t="inlineStr">
        <is>
          <t>-</t>
        </is>
      </c>
      <c r="N5433" s="12" t="n">
        <v>1</v>
      </c>
      <c r="O5433" s="12" t="n">
        <v>1</v>
      </c>
      <c r="P5433" s="12" t="n"/>
      <c r="Q5433" s="12" t="n"/>
      <c r="R5433" s="12" t="n"/>
      <c r="S5433" s="12" t="inlineStr">
        <is>
          <t>Duct bank</t>
        </is>
      </c>
      <c r="T5433" s="16" t="n">
        <v>2978</v>
      </c>
      <c r="U5433" s="16" t="n">
        <v>284</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K-FA-0001</t>
        </is>
      </c>
      <c r="B5434" s="12" t="inlineStr">
        <is>
          <t>K</t>
        </is>
      </c>
      <c r="C5434" s="12" t="inlineStr">
        <is>
          <t>Fuel supply (adjacent market)</t>
        </is>
      </c>
      <c r="D5434" s="12" t="inlineStr">
        <is>
          <t>Fire alarm / F&amp;G loop (to the local FACP / F&amp;G node)</t>
        </is>
      </c>
      <c r="E5434" s="12" t="inlineStr"/>
      <c r="F5434" s="12" t="inlineStr">
        <is>
          <t>H2 20: 13.8 kV e-house</t>
        </is>
      </c>
      <c r="G5434" s="12" t="inlineStr"/>
      <c r="H5434" s="12" t="inlineStr">
        <is>
          <t>H2 20: 13.8 kV e-house</t>
        </is>
      </c>
      <c r="I5434" s="12" t="inlineStr">
        <is>
          <t>Fire alarm</t>
        </is>
      </c>
      <c r="J5434" s="12" t="inlineStr">
        <is>
          <t>Fire alarm FPLR 2/C #14 shielded, red jacket (NEC 760)</t>
        </is>
      </c>
      <c r="K5434" s="12" t="inlineStr">
        <is>
          <t>FA|2/C|14</t>
        </is>
      </c>
      <c r="L5434" s="12" t="inlineStr">
        <is>
          <t>2/C</t>
        </is>
      </c>
      <c r="M5434" s="12" t="inlineStr">
        <is>
          <t>14</t>
        </is>
      </c>
      <c r="N5434" s="12" t="n">
        <v>1</v>
      </c>
      <c r="O5434" s="12" t="n">
        <v>1</v>
      </c>
      <c r="P5434" s="12" t="n"/>
      <c r="Q5434" s="12" t="n"/>
      <c r="R5434" s="12" t="n"/>
      <c r="S5434" s="12" t="inlineStr">
        <is>
          <t>Tray</t>
        </is>
      </c>
      <c r="T5434" s="16" t="n">
        <v>0</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K-FA-0002</t>
        </is>
      </c>
      <c r="B5435" s="12" t="inlineStr">
        <is>
          <t>K</t>
        </is>
      </c>
      <c r="C5435" s="12" t="inlineStr">
        <is>
          <t>Fuel supply (adjacent market)</t>
        </is>
      </c>
      <c r="D5435" s="12" t="inlineStr">
        <is>
          <t>Fire alarm / F&amp;G loop (to the local FACP / F&amp;G node)</t>
        </is>
      </c>
      <c r="E5435" s="12" t="inlineStr"/>
      <c r="F5435" s="12" t="inlineStr">
        <is>
          <t>LNG 17: LNG e-house (13.8 kV / 480 V)</t>
        </is>
      </c>
      <c r="G5435" s="12" t="inlineStr"/>
      <c r="H5435" s="12" t="inlineStr">
        <is>
          <t>LNG 17: LNG e-house (13.8 kV / 480 V)</t>
        </is>
      </c>
      <c r="I5435" s="12" t="inlineStr">
        <is>
          <t>Fire alarm</t>
        </is>
      </c>
      <c r="J5435" s="12" t="inlineStr">
        <is>
          <t>Fire alarm FPLR 2/C #14 shielded, red jacket (NEC 760)</t>
        </is>
      </c>
      <c r="K5435" s="12" t="inlineStr">
        <is>
          <t>FA|2/C|14</t>
        </is>
      </c>
      <c r="L5435" s="12" t="inlineStr">
        <is>
          <t>2/C</t>
        </is>
      </c>
      <c r="M5435" s="12" t="inlineStr">
        <is>
          <t>14</t>
        </is>
      </c>
      <c r="N5435" s="12" t="n">
        <v>1</v>
      </c>
      <c r="O5435" s="12" t="n">
        <v>1</v>
      </c>
      <c r="P5435" s="12" t="n"/>
      <c r="Q5435" s="12" t="n"/>
      <c r="R5435" s="12" t="n"/>
      <c r="S5435" s="12" t="inlineStr">
        <is>
          <t>Tray</t>
        </is>
      </c>
      <c r="T5435" s="16" t="n">
        <v>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K-FA-0003</t>
        </is>
      </c>
      <c r="B5436" s="12" t="inlineStr">
        <is>
          <t>K</t>
        </is>
      </c>
      <c r="C5436" s="12" t="inlineStr">
        <is>
          <t>Fuel supply (adjacent market)</t>
        </is>
      </c>
      <c r="D5436" s="12" t="inlineStr">
        <is>
          <t>Fire alarm / F&amp;G loop (to the local FACP / F&amp;G node)</t>
        </is>
      </c>
      <c r="E5436" s="12" t="inlineStr"/>
      <c r="F5436" s="12" t="inlineStr">
        <is>
          <t>LNG 17: LNG e-house (13.8 kV / 480 V)</t>
        </is>
      </c>
      <c r="G5436" s="12" t="inlineStr"/>
      <c r="H5436" s="12" t="inlineStr">
        <is>
          <t>M&amp;R 6: regulation / flow control building</t>
        </is>
      </c>
      <c r="I5436" s="12" t="inlineStr">
        <is>
          <t>Fire alarm</t>
        </is>
      </c>
      <c r="J5436" s="12" t="inlineStr">
        <is>
          <t>Fire alarm FPLR 2/C #14 shielded, red jacket (NEC 760)</t>
        </is>
      </c>
      <c r="K5436" s="12" t="inlineStr">
        <is>
          <t>FA|2/C|14</t>
        </is>
      </c>
      <c r="L5436" s="12" t="inlineStr">
        <is>
          <t>2/C</t>
        </is>
      </c>
      <c r="M5436" s="12" t="inlineStr">
        <is>
          <t>14</t>
        </is>
      </c>
      <c r="N5436" s="12" t="n">
        <v>1</v>
      </c>
      <c r="O5436" s="12" t="n">
        <v>1</v>
      </c>
      <c r="P5436" s="12" t="n"/>
      <c r="Q5436" s="12" t="n"/>
      <c r="R5436" s="12" t="n"/>
      <c r="S5436" s="12" t="inlineStr">
        <is>
          <t>Duct bank</t>
        </is>
      </c>
      <c r="T5436" s="16" t="n">
        <v>470</v>
      </c>
      <c r="U5436" s="16" t="n">
        <v>70</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K-FA-0004</t>
        </is>
      </c>
      <c r="B5437" s="12" t="inlineStr">
        <is>
          <t>K</t>
        </is>
      </c>
      <c r="C5437" s="12" t="inlineStr">
        <is>
          <t>Fuel supply (adjacent market)</t>
        </is>
      </c>
      <c r="D5437" s="12" t="inlineStr">
        <is>
          <t>Fire alarm / F&amp;G loop (to the local FACP / F&amp;G node)</t>
        </is>
      </c>
      <c r="E5437" s="12" t="inlineStr"/>
      <c r="F5437" s="12" t="inlineStr">
        <is>
          <t>LNG 17: LNG e-house (13.8 kV / 480 V)</t>
        </is>
      </c>
      <c r="G5437" s="12" t="inlineStr"/>
      <c r="H5437" s="12" t="inlineStr">
        <is>
          <t>M&amp;R 9: service panel + UPS, SCADA RTU, CP</t>
        </is>
      </c>
      <c r="I5437" s="12" t="inlineStr">
        <is>
          <t>Fire alarm</t>
        </is>
      </c>
      <c r="J5437" s="12" t="inlineStr">
        <is>
          <t>Fire alarm FPLR 2/C #14 shielded, red jacket (NEC 760)</t>
        </is>
      </c>
      <c r="K5437" s="12" t="inlineStr">
        <is>
          <t>FA|2/C|14</t>
        </is>
      </c>
      <c r="L5437" s="12" t="inlineStr">
        <is>
          <t>2/C</t>
        </is>
      </c>
      <c r="M5437" s="12" t="inlineStr">
        <is>
          <t>14</t>
        </is>
      </c>
      <c r="N5437" s="12" t="n">
        <v>1</v>
      </c>
      <c r="O5437" s="12" t="n">
        <v>1</v>
      </c>
      <c r="P5437" s="12" t="n"/>
      <c r="Q5437" s="12" t="n"/>
      <c r="R5437" s="12" t="n"/>
      <c r="S5437" s="12" t="inlineStr">
        <is>
          <t>Duct bank</t>
        </is>
      </c>
      <c r="T5437" s="16" t="n">
        <v>466</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K-FA-0005</t>
        </is>
      </c>
      <c r="B5438" s="12" t="inlineStr">
        <is>
          <t>K</t>
        </is>
      </c>
      <c r="C5438" s="12" t="inlineStr">
        <is>
          <t>Fuel supply (adjacent market)</t>
        </is>
      </c>
      <c r="D5438" s="12" t="inlineStr">
        <is>
          <t>Fire alarm / F&amp;G loop (to the local FACP / F&amp;G node)</t>
        </is>
      </c>
      <c r="E5438" s="12" t="inlineStr"/>
      <c r="F5438" s="12" t="inlineStr">
        <is>
          <t>LNG 17: LNG e-house (13.8 kV / 480 V)</t>
        </is>
      </c>
      <c r="G5438" s="12" t="inlineStr"/>
      <c r="H5438" s="12" t="inlineStr">
        <is>
          <t>M&amp;R SCADA antenna mast base (as drawn)</t>
        </is>
      </c>
      <c r="I5438" s="12" t="inlineStr">
        <is>
          <t>Fire alarm</t>
        </is>
      </c>
      <c r="J5438" s="12" t="inlineStr">
        <is>
          <t>Fire alarm FPLR 2/C #14 shielded, red jacket (NEC 760)</t>
        </is>
      </c>
      <c r="K5438" s="12" t="inlineStr">
        <is>
          <t>FA|2/C|14</t>
        </is>
      </c>
      <c r="L5438" s="12" t="inlineStr">
        <is>
          <t>2/C</t>
        </is>
      </c>
      <c r="M5438" s="12" t="inlineStr">
        <is>
          <t>14</t>
        </is>
      </c>
      <c r="N5438" s="12" t="n">
        <v>1</v>
      </c>
      <c r="O5438" s="12" t="n">
        <v>1</v>
      </c>
      <c r="P5438" s="12" t="n"/>
      <c r="Q5438" s="12" t="n"/>
      <c r="R5438" s="12" t="n"/>
      <c r="S5438" s="12" t="inlineStr">
        <is>
          <t>Duct bank</t>
        </is>
      </c>
      <c r="T5438" s="16" t="n">
        <v>433</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K-I-0001</t>
        </is>
      </c>
      <c r="B5439" s="12" t="inlineStr">
        <is>
          <t>K</t>
        </is>
      </c>
      <c r="C5439" s="12" t="inlineStr">
        <is>
          <t>Fuel supply (adjacent market)</t>
        </is>
      </c>
      <c r="D5439" s="12" t="inlineStr">
        <is>
          <t>Analog instrument to JB JB-T-H2-AI01: 12 x 1 pr (field cables)</t>
        </is>
      </c>
      <c r="E5439" s="12" t="inlineStr">
        <is>
          <t>T-H2</t>
        </is>
      </c>
      <c r="F5439" s="12" t="inlineStr">
        <is>
          <t>H2 19: T-H2 230/13.8 kV (about 40 MVA)</t>
        </is>
      </c>
      <c r="G5439" s="12" t="inlineStr">
        <is>
          <t>JB-T-H2-AI01</t>
        </is>
      </c>
      <c r="H5439" s="12" t="inlineStr">
        <is>
          <t>H2 19: T-H2 230/13.8 kV (about 40 MVA)</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80</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K-I-0002</t>
        </is>
      </c>
      <c r="B5440" s="12" t="inlineStr">
        <is>
          <t>K</t>
        </is>
      </c>
      <c r="C5440" s="12" t="inlineStr">
        <is>
          <t>Fuel supply (adjacent market)</t>
        </is>
      </c>
      <c r="D5440" s="12" t="inlineStr">
        <is>
          <t>Home run JB-T-H2-AI01 to the control / marshalling room</t>
        </is>
      </c>
      <c r="E5440" s="12" t="inlineStr"/>
      <c r="F5440" s="12" t="inlineStr">
        <is>
          <t>H2 20: 13.8 kV e-house</t>
        </is>
      </c>
      <c r="G5440" s="12" t="inlineStr">
        <is>
          <t>JB-T-H2-AI01</t>
        </is>
      </c>
      <c r="H5440" s="12" t="inlineStr">
        <is>
          <t>H2 19: T-H2 230/13.8 kV (about 40 MVA)</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35</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K-I-0003</t>
        </is>
      </c>
      <c r="B5441" s="12" t="inlineStr">
        <is>
          <t>K</t>
        </is>
      </c>
      <c r="C5441" s="12" t="inlineStr">
        <is>
          <t>Fuel supply (adjacent market)</t>
        </is>
      </c>
      <c r="D5441" s="12" t="inlineStr">
        <is>
          <t>Discrete device to JB JB-T-H2-DI01: 12 x 1 pr (field cables)</t>
        </is>
      </c>
      <c r="E5441" s="12" t="inlineStr">
        <is>
          <t>T-H2</t>
        </is>
      </c>
      <c r="F5441" s="12" t="inlineStr">
        <is>
          <t>H2 19: T-H2 230/13.8 kV (about 40 MVA)</t>
        </is>
      </c>
      <c r="G5441" s="12" t="inlineStr">
        <is>
          <t>JB-T-H2-DI01</t>
        </is>
      </c>
      <c r="H5441" s="12" t="inlineStr">
        <is>
          <t>H2 19: T-H2 230/13.8 kV (about 40 MVA)</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80</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K-I-0004</t>
        </is>
      </c>
      <c r="B5442" s="12" t="inlineStr">
        <is>
          <t>K</t>
        </is>
      </c>
      <c r="C5442" s="12" t="inlineStr">
        <is>
          <t>Fuel supply (adjacent market)</t>
        </is>
      </c>
      <c r="D5442" s="12" t="inlineStr">
        <is>
          <t>Home run JB-T-H2-DI01 to the control / marshalling room</t>
        </is>
      </c>
      <c r="E5442" s="12" t="inlineStr"/>
      <c r="F5442" s="12" t="inlineStr">
        <is>
          <t>H2 20: 13.8 kV e-house</t>
        </is>
      </c>
      <c r="G5442" s="12" t="inlineStr">
        <is>
          <t>JB-T-H2-DI01</t>
        </is>
      </c>
      <c r="H5442" s="12" t="inlineStr">
        <is>
          <t>H2 19: T-H2 230/13.8 kV (about 40 MVA)</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35</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K-I-0005</t>
        </is>
      </c>
      <c r="B5443" s="12" t="inlineStr">
        <is>
          <t>K</t>
        </is>
      </c>
      <c r="C5443" s="12" t="inlineStr">
        <is>
          <t>Fuel supply (adjacent market)</t>
        </is>
      </c>
      <c r="D5443" s="12" t="inlineStr">
        <is>
          <t>Analog instrument to JB JB-H2 20: 13.8 kV e-h-AI01: 12 x 1 pr (field cables)</t>
        </is>
      </c>
      <c r="E5443" s="12" t="inlineStr"/>
      <c r="F5443" s="12" t="inlineStr">
        <is>
          <t>H2 20: 13.8 kV e-house</t>
        </is>
      </c>
      <c r="G5443" s="12" t="inlineStr">
        <is>
          <t>JB-H2 20: 13.8 kV e-h-AI01</t>
        </is>
      </c>
      <c r="H5443" s="12" t="inlineStr">
        <is>
          <t>H2 20: 13.8 kV e-house</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69</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K-I-0006</t>
        </is>
      </c>
      <c r="B5444" s="12" t="inlineStr">
        <is>
          <t>K</t>
        </is>
      </c>
      <c r="C5444" s="12" t="inlineStr">
        <is>
          <t>Fuel supply (adjacent market)</t>
        </is>
      </c>
      <c r="D5444" s="12" t="inlineStr">
        <is>
          <t>Home run JB-H2 20: 13.8 kV e-h-AI01 to the control / marshalling room</t>
        </is>
      </c>
      <c r="E5444" s="12" t="inlineStr"/>
      <c r="F5444" s="12" t="inlineStr">
        <is>
          <t>H2 20: 13.8 kV e-house</t>
        </is>
      </c>
      <c r="G5444" s="12" t="inlineStr">
        <is>
          <t>JB-H2 20: 13.8 kV e-h-AI01</t>
        </is>
      </c>
      <c r="H5444" s="12" t="inlineStr">
        <is>
          <t>H2 20: 13.8 kV e-house</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Tray</t>
        </is>
      </c>
      <c r="T5444" s="16" t="n">
        <v>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K-I-0007</t>
        </is>
      </c>
      <c r="B5445" s="12" t="inlineStr">
        <is>
          <t>K</t>
        </is>
      </c>
      <c r="C5445" s="12" t="inlineStr">
        <is>
          <t>Fuel supply (adjacent market)</t>
        </is>
      </c>
      <c r="D5445" s="12" t="inlineStr">
        <is>
          <t>Discrete device to JB JB-H2 20: 13.8 kV e-h-DI01: 12 x 1 pr (field cables)</t>
        </is>
      </c>
      <c r="E5445" s="12" t="inlineStr"/>
      <c r="F5445" s="12" t="inlineStr">
        <is>
          <t>H2 20: 13.8 kV e-house</t>
        </is>
      </c>
      <c r="G5445" s="12" t="inlineStr">
        <is>
          <t>JB-H2 20: 13.8 kV e-h-DI01</t>
        </is>
      </c>
      <c r="H5445" s="12" t="inlineStr">
        <is>
          <t>H2 20: 13.8 kV e-house</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69</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K-I-0008</t>
        </is>
      </c>
      <c r="B5446" s="12" t="inlineStr">
        <is>
          <t>K</t>
        </is>
      </c>
      <c r="C5446" s="12" t="inlineStr">
        <is>
          <t>Fuel supply (adjacent market)</t>
        </is>
      </c>
      <c r="D5446" s="12" t="inlineStr">
        <is>
          <t>Home run JB-H2 20: 13.8 kV e-h-DI01 to the control / marshalling room</t>
        </is>
      </c>
      <c r="E5446" s="12" t="inlineStr"/>
      <c r="F5446" s="12" t="inlineStr">
        <is>
          <t>H2 20: 13.8 kV e-house</t>
        </is>
      </c>
      <c r="G5446" s="12" t="inlineStr">
        <is>
          <t>JB-H2 20: 13.8 kV e-h-DI01</t>
        </is>
      </c>
      <c r="H5446" s="12" t="inlineStr">
        <is>
          <t>H2 20: 13.8 kV e-house</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Tray</t>
        </is>
      </c>
      <c r="T5446" s="16" t="n">
        <v>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K-I-0009</t>
        </is>
      </c>
      <c r="B5447" s="12" t="inlineStr">
        <is>
          <t>K</t>
        </is>
      </c>
      <c r="C5447" s="12" t="inlineStr">
        <is>
          <t>Fuel supply (adjacent market)</t>
        </is>
      </c>
      <c r="D5447" s="12" t="inlineStr">
        <is>
          <t>Analog instrument to JB JB-H2 21: rectifier t-AI01: 12 x 1 pr (field cables)</t>
        </is>
      </c>
      <c r="E5447" s="12" t="inlineStr"/>
      <c r="F5447" s="12" t="inlineStr">
        <is>
          <t>H2 21: rectifier transformer 1 (7 MVA)</t>
        </is>
      </c>
      <c r="G5447" s="12" t="inlineStr">
        <is>
          <t>JB-H2 21: rectifier t-AI01</t>
        </is>
      </c>
      <c r="H5447" s="12" t="inlineStr">
        <is>
          <t>H2 21: rectifier transformer 1 (7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41</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K-I-0010</t>
        </is>
      </c>
      <c r="B5448" s="12" t="inlineStr">
        <is>
          <t>K</t>
        </is>
      </c>
      <c r="C5448" s="12" t="inlineStr">
        <is>
          <t>Fuel supply (adjacent market)</t>
        </is>
      </c>
      <c r="D5448" s="12" t="inlineStr">
        <is>
          <t>Home run JB-H2 21: rectifier t-AI01 to the control / marshalling room</t>
        </is>
      </c>
      <c r="E5448" s="12" t="inlineStr"/>
      <c r="F5448" s="12" t="inlineStr">
        <is>
          <t>H2 20: 13.8 kV e-house</t>
        </is>
      </c>
      <c r="G5448" s="12" t="inlineStr">
        <is>
          <t>JB-H2 21: rectifier t-AI01</t>
        </is>
      </c>
      <c r="H5448" s="12" t="inlineStr">
        <is>
          <t>H2 21: rectifier transformer 1 (7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356</v>
      </c>
      <c r="U5448" s="16" t="n">
        <v>48</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K-I-0011</t>
        </is>
      </c>
      <c r="B5449" s="12" t="inlineStr">
        <is>
          <t>K</t>
        </is>
      </c>
      <c r="C5449" s="12" t="inlineStr">
        <is>
          <t>Fuel supply (adjacent market)</t>
        </is>
      </c>
      <c r="D5449" s="12" t="inlineStr">
        <is>
          <t>Discrete device to JB JB-H2 21: rectifier t-DI01: 12 x 1 pr (field cables)</t>
        </is>
      </c>
      <c r="E5449" s="12" t="inlineStr"/>
      <c r="F5449" s="12" t="inlineStr">
        <is>
          <t>H2 21: rectifier transformer 1 (7 MVA)</t>
        </is>
      </c>
      <c r="G5449" s="12" t="inlineStr">
        <is>
          <t>JB-H2 21: rectifier t-DI01</t>
        </is>
      </c>
      <c r="H5449" s="12" t="inlineStr">
        <is>
          <t>H2 21: rectifier transformer 1 (7 MVA)</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41</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K-I-0012</t>
        </is>
      </c>
      <c r="B5450" s="12" t="inlineStr">
        <is>
          <t>K</t>
        </is>
      </c>
      <c r="C5450" s="12" t="inlineStr">
        <is>
          <t>Fuel supply (adjacent market)</t>
        </is>
      </c>
      <c r="D5450" s="12" t="inlineStr">
        <is>
          <t>Home run JB-H2 21: rectifier t-DI01 to the control / marshalling room</t>
        </is>
      </c>
      <c r="E5450" s="12" t="inlineStr"/>
      <c r="F5450" s="12" t="inlineStr">
        <is>
          <t>H2 20: 13.8 kV e-house</t>
        </is>
      </c>
      <c r="G5450" s="12" t="inlineStr">
        <is>
          <t>JB-H2 21: rectifier t-DI01</t>
        </is>
      </c>
      <c r="H5450" s="12" t="inlineStr">
        <is>
          <t>H2 21: rectifier transformer 1 (7 MVA)</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356</v>
      </c>
      <c r="U5450" s="16" t="n">
        <v>48</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K-I-0013</t>
        </is>
      </c>
      <c r="B5451" s="12" t="inlineStr">
        <is>
          <t>K</t>
        </is>
      </c>
      <c r="C5451" s="12" t="inlineStr">
        <is>
          <t>Fuel supply (adjacent market)</t>
        </is>
      </c>
      <c r="D5451" s="12" t="inlineStr">
        <is>
          <t>Analog instrument to JB JB-H2 21: rectifier t-AI01: 12 x 1 pr (field cables)</t>
        </is>
      </c>
      <c r="E5451" s="12" t="inlineStr"/>
      <c r="F5451" s="12" t="inlineStr">
        <is>
          <t>H2 21: rectifier transformer 2 (7 MVA)</t>
        </is>
      </c>
      <c r="G5451" s="12" t="inlineStr">
        <is>
          <t>JB-H2 21: rectifier t-AI01</t>
        </is>
      </c>
      <c r="H5451" s="12" t="inlineStr">
        <is>
          <t>H2 21: rectifier transformer 2 (7 MVA)</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41</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K-I-0014</t>
        </is>
      </c>
      <c r="B5452" s="12" t="inlineStr">
        <is>
          <t>K</t>
        </is>
      </c>
      <c r="C5452" s="12" t="inlineStr">
        <is>
          <t>Fuel supply (adjacent market)</t>
        </is>
      </c>
      <c r="D5452" s="12" t="inlineStr">
        <is>
          <t>Home run JB-H2 21: rectifier t-AI01 to the control / marshalling room</t>
        </is>
      </c>
      <c r="E5452" s="12" t="inlineStr"/>
      <c r="F5452" s="12" t="inlineStr">
        <is>
          <t>H2 20: 13.8 kV e-house</t>
        </is>
      </c>
      <c r="G5452" s="12" t="inlineStr">
        <is>
          <t>JB-H2 21: rectifier t-AI01</t>
        </is>
      </c>
      <c r="H5452" s="12" t="inlineStr">
        <is>
          <t>H2 21: rectifier transformer 2 (7 MVA)</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356</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K-I-0015</t>
        </is>
      </c>
      <c r="B5453" s="12" t="inlineStr">
        <is>
          <t>K</t>
        </is>
      </c>
      <c r="C5453" s="12" t="inlineStr">
        <is>
          <t>Fuel supply (adjacent market)</t>
        </is>
      </c>
      <c r="D5453" s="12" t="inlineStr">
        <is>
          <t>Discrete device to JB JB-H2 21: rectifier t-DI01: 12 x 1 pr (field cables)</t>
        </is>
      </c>
      <c r="E5453" s="12" t="inlineStr"/>
      <c r="F5453" s="12" t="inlineStr">
        <is>
          <t>H2 21: rectifier transformer 2 (7 MVA)</t>
        </is>
      </c>
      <c r="G5453" s="12" t="inlineStr">
        <is>
          <t>JB-H2 21: rectifier t-DI01</t>
        </is>
      </c>
      <c r="H5453" s="12" t="inlineStr">
        <is>
          <t>H2 21: rectifier transformer 2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41</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K-I-0016</t>
        </is>
      </c>
      <c r="B5454" s="12" t="inlineStr">
        <is>
          <t>K</t>
        </is>
      </c>
      <c r="C5454" s="12" t="inlineStr">
        <is>
          <t>Fuel supply (adjacent market)</t>
        </is>
      </c>
      <c r="D5454" s="12" t="inlineStr">
        <is>
          <t>Home run JB-H2 21: rectifier t-DI01 to the control / marshalling room</t>
        </is>
      </c>
      <c r="E5454" s="12" t="inlineStr"/>
      <c r="F5454" s="12" t="inlineStr">
        <is>
          <t>H2 20: 13.8 kV e-house</t>
        </is>
      </c>
      <c r="G5454" s="12" t="inlineStr">
        <is>
          <t>JB-H2 21: rectifier t-DI01</t>
        </is>
      </c>
      <c r="H5454" s="12" t="inlineStr">
        <is>
          <t>H2 21: rectifier transformer 2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356</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K-I-0017</t>
        </is>
      </c>
      <c r="B5455" s="12" t="inlineStr">
        <is>
          <t>K</t>
        </is>
      </c>
      <c r="C5455" s="12" t="inlineStr">
        <is>
          <t>Fuel supply (adjacent market)</t>
        </is>
      </c>
      <c r="D5455" s="12" t="inlineStr">
        <is>
          <t>Analog instrument to JB JB-H2 21: rectifier t-AI01: 12 x 1 pr (field cables)</t>
        </is>
      </c>
      <c r="E5455" s="12" t="inlineStr"/>
      <c r="F5455" s="12" t="inlineStr">
        <is>
          <t>H2 21: rectifier transformer 3 (7 MVA)</t>
        </is>
      </c>
      <c r="G5455" s="12" t="inlineStr">
        <is>
          <t>JB-H2 21: rectifier t-AI01</t>
        </is>
      </c>
      <c r="H5455" s="12" t="inlineStr">
        <is>
          <t>H2 21: rectifier transformer 3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K-I-0018</t>
        </is>
      </c>
      <c r="B5456" s="12" t="inlineStr">
        <is>
          <t>K</t>
        </is>
      </c>
      <c r="C5456" s="12" t="inlineStr">
        <is>
          <t>Fuel supply (adjacent market)</t>
        </is>
      </c>
      <c r="D5456" s="12" t="inlineStr">
        <is>
          <t>Home run JB-H2 21: rectifier t-AI01 to the control / marshalling room</t>
        </is>
      </c>
      <c r="E5456" s="12" t="inlineStr"/>
      <c r="F5456" s="12" t="inlineStr">
        <is>
          <t>H2 20: 13.8 kV e-house</t>
        </is>
      </c>
      <c r="G5456" s="12" t="inlineStr">
        <is>
          <t>JB-H2 21: rectifier t-AI01</t>
        </is>
      </c>
      <c r="H5456" s="12" t="inlineStr">
        <is>
          <t>H2 21: rectifier transformer 3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334</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K-I-0019</t>
        </is>
      </c>
      <c r="B5457" s="12" t="inlineStr">
        <is>
          <t>K</t>
        </is>
      </c>
      <c r="C5457" s="12" t="inlineStr">
        <is>
          <t>Fuel supply (adjacent market)</t>
        </is>
      </c>
      <c r="D5457" s="12" t="inlineStr">
        <is>
          <t>Discrete device to JB JB-H2 21: rectifier t-DI01: 12 x 1 pr (field cables)</t>
        </is>
      </c>
      <c r="E5457" s="12" t="inlineStr"/>
      <c r="F5457" s="12" t="inlineStr">
        <is>
          <t>H2 21: rectifier transformer 3 (7 MVA)</t>
        </is>
      </c>
      <c r="G5457" s="12" t="inlineStr">
        <is>
          <t>JB-H2 21: rectifier t-DI01</t>
        </is>
      </c>
      <c r="H5457" s="12" t="inlineStr">
        <is>
          <t>H2 21: rectifier transformer 3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41</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K-I-0020</t>
        </is>
      </c>
      <c r="B5458" s="12" t="inlineStr">
        <is>
          <t>K</t>
        </is>
      </c>
      <c r="C5458" s="12" t="inlineStr">
        <is>
          <t>Fuel supply (adjacent market)</t>
        </is>
      </c>
      <c r="D5458" s="12" t="inlineStr">
        <is>
          <t>Home run JB-H2 21: rectifier t-DI01 to the control / marshalling room</t>
        </is>
      </c>
      <c r="E5458" s="12" t="inlineStr"/>
      <c r="F5458" s="12" t="inlineStr">
        <is>
          <t>H2 20: 13.8 kV e-house</t>
        </is>
      </c>
      <c r="G5458" s="12" t="inlineStr">
        <is>
          <t>JB-H2 21: rectifier t-DI01</t>
        </is>
      </c>
      <c r="H5458" s="12" t="inlineStr">
        <is>
          <t>H2 21: rectifier transformer 3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334</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K-I-0021</t>
        </is>
      </c>
      <c r="B5459" s="12" t="inlineStr">
        <is>
          <t>K</t>
        </is>
      </c>
      <c r="C5459" s="12" t="inlineStr">
        <is>
          <t>Fuel supply (adjacent market)</t>
        </is>
      </c>
      <c r="D5459" s="12" t="inlineStr">
        <is>
          <t>Analog instrument to JB JB-H2 21: rectifier t-AI01: 12 x 1 pr (field cables)</t>
        </is>
      </c>
      <c r="E5459" s="12" t="inlineStr"/>
      <c r="F5459" s="12" t="inlineStr">
        <is>
          <t>H2 21: rectifier transformer 4 (7 MVA)</t>
        </is>
      </c>
      <c r="G5459" s="12" t="inlineStr">
        <is>
          <t>JB-H2 21: rectifier t-AI01</t>
        </is>
      </c>
      <c r="H5459" s="12" t="inlineStr">
        <is>
          <t>H2 21: rectifier transformer 4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41</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K-I-0022</t>
        </is>
      </c>
      <c r="B5460" s="12" t="inlineStr">
        <is>
          <t>K</t>
        </is>
      </c>
      <c r="C5460" s="12" t="inlineStr">
        <is>
          <t>Fuel supply (adjacent market)</t>
        </is>
      </c>
      <c r="D5460" s="12" t="inlineStr">
        <is>
          <t>Home run JB-H2 21: rectifier t-AI01 to the control / marshalling room</t>
        </is>
      </c>
      <c r="E5460" s="12" t="inlineStr"/>
      <c r="F5460" s="12" t="inlineStr">
        <is>
          <t>H2 20: 13.8 kV e-house</t>
        </is>
      </c>
      <c r="G5460" s="12" t="inlineStr">
        <is>
          <t>JB-H2 21: rectifier t-AI01</t>
        </is>
      </c>
      <c r="H5460" s="12" t="inlineStr">
        <is>
          <t>H2 21: rectifier transformer 4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312</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K-I-0023</t>
        </is>
      </c>
      <c r="B5461" s="12" t="inlineStr">
        <is>
          <t>K</t>
        </is>
      </c>
      <c r="C5461" s="12" t="inlineStr">
        <is>
          <t>Fuel supply (adjacent market)</t>
        </is>
      </c>
      <c r="D5461" s="12" t="inlineStr">
        <is>
          <t>Discrete device to JB JB-H2 21: rectifier t-DI01: 12 x 1 pr (field cables)</t>
        </is>
      </c>
      <c r="E5461" s="12" t="inlineStr"/>
      <c r="F5461" s="12" t="inlineStr">
        <is>
          <t>H2 21: rectifier transformer 4 (7 MVA)</t>
        </is>
      </c>
      <c r="G5461" s="12" t="inlineStr">
        <is>
          <t>JB-H2 21: rectifier t-DI01</t>
        </is>
      </c>
      <c r="H5461" s="12" t="inlineStr">
        <is>
          <t>H2 21: rectifier transformer 4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41</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K-I-0024</t>
        </is>
      </c>
      <c r="B5462" s="12" t="inlineStr">
        <is>
          <t>K</t>
        </is>
      </c>
      <c r="C5462" s="12" t="inlineStr">
        <is>
          <t>Fuel supply (adjacent market)</t>
        </is>
      </c>
      <c r="D5462" s="12" t="inlineStr">
        <is>
          <t>Home run JB-H2 21: rectifier t-DI01 to the control / marshalling room</t>
        </is>
      </c>
      <c r="E5462" s="12" t="inlineStr"/>
      <c r="F5462" s="12" t="inlineStr">
        <is>
          <t>H2 20: 13.8 kV e-house</t>
        </is>
      </c>
      <c r="G5462" s="12" t="inlineStr">
        <is>
          <t>JB-H2 21: rectifier t-DI01</t>
        </is>
      </c>
      <c r="H5462" s="12" t="inlineStr">
        <is>
          <t>H2 21: rectifier transformer 4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312</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K-I-0025</t>
        </is>
      </c>
      <c r="B5463" s="12" t="inlineStr">
        <is>
          <t>K</t>
        </is>
      </c>
      <c r="C5463" s="12" t="inlineStr">
        <is>
          <t>Fuel supply (adjacent market)</t>
        </is>
      </c>
      <c r="D5463" s="12" t="inlineStr">
        <is>
          <t>Analog instrument to JB JB-H2 21: rectifier t-AI01: 12 x 1 pr (field cables)</t>
        </is>
      </c>
      <c r="E5463" s="12" t="inlineStr"/>
      <c r="F5463" s="12" t="inlineStr">
        <is>
          <t>H2 21: rectifier transformer 5 (7 MVA)</t>
        </is>
      </c>
      <c r="G5463" s="12" t="inlineStr">
        <is>
          <t>JB-H2 21: rectifier t-AI01</t>
        </is>
      </c>
      <c r="H5463" s="12" t="inlineStr">
        <is>
          <t>H2 21: rectifier transformer 5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41</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K-I-0026</t>
        </is>
      </c>
      <c r="B5464" s="12" t="inlineStr">
        <is>
          <t>K</t>
        </is>
      </c>
      <c r="C5464" s="12" t="inlineStr">
        <is>
          <t>Fuel supply (adjacent market)</t>
        </is>
      </c>
      <c r="D5464" s="12" t="inlineStr">
        <is>
          <t>Home run JB-H2 21: rectifier t-AI01 to the control / marshalling room</t>
        </is>
      </c>
      <c r="E5464" s="12" t="inlineStr"/>
      <c r="F5464" s="12" t="inlineStr">
        <is>
          <t>H2 20: 13.8 kV e-house</t>
        </is>
      </c>
      <c r="G5464" s="12" t="inlineStr">
        <is>
          <t>JB-H2 21: rectifier t-AI01</t>
        </is>
      </c>
      <c r="H5464" s="12" t="inlineStr">
        <is>
          <t>H2 21: rectifier transformer 5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254</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K-I-0027</t>
        </is>
      </c>
      <c r="B5465" s="12" t="inlineStr">
        <is>
          <t>K</t>
        </is>
      </c>
      <c r="C5465" s="12" t="inlineStr">
        <is>
          <t>Fuel supply (adjacent market)</t>
        </is>
      </c>
      <c r="D5465" s="12" t="inlineStr">
        <is>
          <t>Discrete device to JB JB-H2 21: rectifier t-DI01: 12 x 1 pr (field cables)</t>
        </is>
      </c>
      <c r="E5465" s="12" t="inlineStr"/>
      <c r="F5465" s="12" t="inlineStr">
        <is>
          <t>H2 21: rectifier transformer 5 (7 MVA)</t>
        </is>
      </c>
      <c r="G5465" s="12" t="inlineStr">
        <is>
          <t>JB-H2 21: rectifier t-DI01</t>
        </is>
      </c>
      <c r="H5465" s="12" t="inlineStr">
        <is>
          <t>H2 21: rectifier transformer 5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41</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K-I-0028</t>
        </is>
      </c>
      <c r="B5466" s="12" t="inlineStr">
        <is>
          <t>K</t>
        </is>
      </c>
      <c r="C5466" s="12" t="inlineStr">
        <is>
          <t>Fuel supply (adjacent market)</t>
        </is>
      </c>
      <c r="D5466" s="12" t="inlineStr">
        <is>
          <t>Home run JB-H2 21: rectifier t-DI01 to the control / marshalling room</t>
        </is>
      </c>
      <c r="E5466" s="12" t="inlineStr"/>
      <c r="F5466" s="12" t="inlineStr">
        <is>
          <t>H2 20: 13.8 kV e-house</t>
        </is>
      </c>
      <c r="G5466" s="12" t="inlineStr">
        <is>
          <t>JB-H2 21: rectifier t-DI01</t>
        </is>
      </c>
      <c r="H5466" s="12" t="inlineStr">
        <is>
          <t>H2 21: rectifier transformer 5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254</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K-I-0029</t>
        </is>
      </c>
      <c r="B5467" s="12" t="inlineStr">
        <is>
          <t>K</t>
        </is>
      </c>
      <c r="C5467" s="12" t="inlineStr">
        <is>
          <t>Fuel supply (adjacent market)</t>
        </is>
      </c>
      <c r="D5467" s="12" t="inlineStr">
        <is>
          <t>Analog instrument to JB JB-H2-EL-AI01: 12 x 1 pr (field cables)</t>
        </is>
      </c>
      <c r="E5467" s="12" t="inlineStr">
        <is>
          <t>H2-EL</t>
        </is>
      </c>
      <c r="F5467" s="12" t="inlineStr">
        <is>
          <t>H2 22: electrolyzer building (5 x HyLYZER-1000 + 5 rectifiers)</t>
        </is>
      </c>
      <c r="G5467" s="12" t="inlineStr">
        <is>
          <t>JB-H2-EL-AI01</t>
        </is>
      </c>
      <c r="H5467" s="12" t="inlineStr">
        <is>
          <t>H2 22: electrolyzer building (5 x HyLYZER-1000 + 5 rectifiers)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157</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K-I-0030</t>
        </is>
      </c>
      <c r="B5468" s="12" t="inlineStr">
        <is>
          <t>K</t>
        </is>
      </c>
      <c r="C5468" s="12" t="inlineStr">
        <is>
          <t>Fuel supply (adjacent market)</t>
        </is>
      </c>
      <c r="D5468" s="12" t="inlineStr">
        <is>
          <t>Home run JB-H2-EL-AI01 to the control / marshalling room</t>
        </is>
      </c>
      <c r="E5468" s="12" t="inlineStr"/>
      <c r="F5468" s="12" t="inlineStr">
        <is>
          <t>H2 20: 13.8 kV e-house</t>
        </is>
      </c>
      <c r="G5468" s="12" t="inlineStr">
        <is>
          <t>JB-H2-EL-AI01</t>
        </is>
      </c>
      <c r="H5468" s="12" t="inlineStr">
        <is>
          <t>H2 22: electrolyzer building (5 x HyLYZER-1000 + 5 rectifiers)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346</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K-I-0031</t>
        </is>
      </c>
      <c r="B5469" s="12" t="inlineStr">
        <is>
          <t>K</t>
        </is>
      </c>
      <c r="C5469" s="12" t="inlineStr">
        <is>
          <t>Fuel supply (adjacent market)</t>
        </is>
      </c>
      <c r="D5469" s="12" t="inlineStr">
        <is>
          <t>Discrete device to JB JB-H2-EL-DI01: 12 x 1 pr (field cables)</t>
        </is>
      </c>
      <c r="E5469" s="12" t="inlineStr">
        <is>
          <t>H2-EL</t>
        </is>
      </c>
      <c r="F5469" s="12" t="inlineStr">
        <is>
          <t>H2 22: electrolyzer building (5 x HyLYZER-1000 + 5 rectifiers)</t>
        </is>
      </c>
      <c r="G5469" s="12" t="inlineStr">
        <is>
          <t>JB-H2-EL-DI01</t>
        </is>
      </c>
      <c r="H5469" s="12" t="inlineStr">
        <is>
          <t>H2 22: electrolyzer building (5 x HyLYZER-1000 + 5 rectifiers)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157</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K-I-0032</t>
        </is>
      </c>
      <c r="B5470" s="12" t="inlineStr">
        <is>
          <t>K</t>
        </is>
      </c>
      <c r="C5470" s="12" t="inlineStr">
        <is>
          <t>Fuel supply (adjacent market)</t>
        </is>
      </c>
      <c r="D5470" s="12" t="inlineStr">
        <is>
          <t>Home run JB-H2-EL-DI01 to the control / marshalling room</t>
        </is>
      </c>
      <c r="E5470" s="12" t="inlineStr"/>
      <c r="F5470" s="12" t="inlineStr">
        <is>
          <t>H2 20: 13.8 kV e-house</t>
        </is>
      </c>
      <c r="G5470" s="12" t="inlineStr">
        <is>
          <t>JB-H2-EL-DI01</t>
        </is>
      </c>
      <c r="H5470" s="12" t="inlineStr">
        <is>
          <t>H2 22: electrolyzer building (5 x HyLYZER-1000 + 5 rectifiers)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346</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K-I-0033</t>
        </is>
      </c>
      <c r="B5471" s="12" t="inlineStr">
        <is>
          <t>K</t>
        </is>
      </c>
      <c r="C5471" s="12" t="inlineStr">
        <is>
          <t>Fuel supply (adjacent market)</t>
        </is>
      </c>
      <c r="D5471" s="12" t="inlineStr">
        <is>
          <t>Analog instrument to JB JB-H2 23: dry coolers-AI01: 12 x 1 pr (field cables)</t>
        </is>
      </c>
      <c r="E5471" s="12" t="inlineStr"/>
      <c r="F5471" s="12" t="inlineStr">
        <is>
          <t>H2 23: dry coolers</t>
        </is>
      </c>
      <c r="G5471" s="12" t="inlineStr">
        <is>
          <t>JB-H2 23: dry coolers-AI01</t>
        </is>
      </c>
      <c r="H5471" s="12" t="inlineStr">
        <is>
          <t>H2 23: dry coolers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111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K-I-0034</t>
        </is>
      </c>
      <c r="B5472" s="12" t="inlineStr">
        <is>
          <t>K</t>
        </is>
      </c>
      <c r="C5472" s="12" t="inlineStr">
        <is>
          <t>Fuel supply (adjacent market)</t>
        </is>
      </c>
      <c r="D5472" s="12" t="inlineStr">
        <is>
          <t>Home run JB-H2 23: dry coolers-AI01 to the control / marshalling room</t>
        </is>
      </c>
      <c r="E5472" s="12" t="inlineStr"/>
      <c r="F5472" s="12" t="inlineStr">
        <is>
          <t>H2 20: 13.8 kV e-house</t>
        </is>
      </c>
      <c r="G5472" s="12" t="inlineStr">
        <is>
          <t>JB-H2 23: dry coolers-AI01</t>
        </is>
      </c>
      <c r="H5472" s="12" t="inlineStr">
        <is>
          <t>H2 23: dry coolers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100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K-I-0035</t>
        </is>
      </c>
      <c r="B5473" s="12" t="inlineStr">
        <is>
          <t>K</t>
        </is>
      </c>
      <c r="C5473" s="12" t="inlineStr">
        <is>
          <t>Fuel supply (adjacent market)</t>
        </is>
      </c>
      <c r="D5473" s="12" t="inlineStr">
        <is>
          <t>Discrete device to JB JB-H2 23: dry coolers-DI01: 12 x 1 pr (field cables)</t>
        </is>
      </c>
      <c r="E5473" s="12" t="inlineStr"/>
      <c r="F5473" s="12" t="inlineStr">
        <is>
          <t>H2 23: dry coolers</t>
        </is>
      </c>
      <c r="G5473" s="12" t="inlineStr">
        <is>
          <t>JB-H2 23: dry coolers-DI01</t>
        </is>
      </c>
      <c r="H5473" s="12" t="inlineStr">
        <is>
          <t>H2 23: dry coolers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6" t="n">
        <v>111</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K-I-0036</t>
        </is>
      </c>
      <c r="B5474" s="12" t="inlineStr">
        <is>
          <t>K</t>
        </is>
      </c>
      <c r="C5474" s="12" t="inlineStr">
        <is>
          <t>Fuel supply (adjacent market)</t>
        </is>
      </c>
      <c r="D5474" s="12" t="inlineStr">
        <is>
          <t>Home run JB-H2 23: dry coolers-DI01 to the control / marshalling room</t>
        </is>
      </c>
      <c r="E5474" s="12" t="inlineStr"/>
      <c r="F5474" s="12" t="inlineStr">
        <is>
          <t>H2 20: 13.8 kV e-house</t>
        </is>
      </c>
      <c r="G5474" s="12" t="inlineStr">
        <is>
          <t>JB-H2 23: dry coolers-DI01</t>
        </is>
      </c>
      <c r="H5474" s="12" t="inlineStr">
        <is>
          <t>H2 23: dry coolers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100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K-I-0037</t>
        </is>
      </c>
      <c r="B5475" s="12" t="inlineStr">
        <is>
          <t>K</t>
        </is>
      </c>
      <c r="C5475" s="12" t="inlineStr">
        <is>
          <t>Fuel supply (adjacent market)</t>
        </is>
      </c>
      <c r="D5475" s="12" t="inlineStr">
        <is>
          <t>Analog instrument to JB JB-H2 24: water purif-AI01: 12 x 1 pr (field cables)</t>
        </is>
      </c>
      <c r="E5475" s="12" t="inlineStr"/>
      <c r="F5475" s="12" t="inlineStr">
        <is>
          <t>H2 24: water purification (RO / EDI)</t>
        </is>
      </c>
      <c r="G5475" s="12" t="inlineStr">
        <is>
          <t>JB-H2 24: water purif-AI01</t>
        </is>
      </c>
      <c r="H5475" s="12" t="inlineStr">
        <is>
          <t>H2 24: water purification (RO / EDI)</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6" t="n">
        <v>60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K-I-0038</t>
        </is>
      </c>
      <c r="B5476" s="12" t="inlineStr">
        <is>
          <t>K</t>
        </is>
      </c>
      <c r="C5476" s="12" t="inlineStr">
        <is>
          <t>Fuel supply (adjacent market)</t>
        </is>
      </c>
      <c r="D5476" s="12" t="inlineStr">
        <is>
          <t>Home run JB-H2 24: water purif-AI01 to the control / marshalling room</t>
        </is>
      </c>
      <c r="E5476" s="12" t="inlineStr"/>
      <c r="F5476" s="12" t="inlineStr">
        <is>
          <t>H2 20: 13.8 kV e-house</t>
        </is>
      </c>
      <c r="G5476" s="12" t="inlineStr">
        <is>
          <t>JB-H2 24: water purif-AI01</t>
        </is>
      </c>
      <c r="H5476" s="12" t="inlineStr">
        <is>
          <t>H2 24: water purification (RO / EDI)</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146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K-I-0039</t>
        </is>
      </c>
      <c r="B5477" s="12" t="inlineStr">
        <is>
          <t>K</t>
        </is>
      </c>
      <c r="C5477" s="12" t="inlineStr">
        <is>
          <t>Fuel supply (adjacent market)</t>
        </is>
      </c>
      <c r="D5477" s="12" t="inlineStr">
        <is>
          <t>Discrete device to JB JB-H2 24: water purif-DI01: 12 x 1 pr (field cables)</t>
        </is>
      </c>
      <c r="E5477" s="12" t="inlineStr"/>
      <c r="F5477" s="12" t="inlineStr">
        <is>
          <t>H2 24: water purification (RO / EDI)</t>
        </is>
      </c>
      <c r="G5477" s="12" t="inlineStr">
        <is>
          <t>JB-H2 24: water purif-DI01</t>
        </is>
      </c>
      <c r="H5477" s="12" t="inlineStr">
        <is>
          <t>H2 24: water purification (RO / EDI)</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6" t="n">
        <v>60</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K-I-0040</t>
        </is>
      </c>
      <c r="B5478" s="12" t="inlineStr">
        <is>
          <t>K</t>
        </is>
      </c>
      <c r="C5478" s="12" t="inlineStr">
        <is>
          <t>Fuel supply (adjacent market)</t>
        </is>
      </c>
      <c r="D5478" s="12" t="inlineStr">
        <is>
          <t>Home run JB-H2 24: water purif-DI01 to the control / marshalling room</t>
        </is>
      </c>
      <c r="E5478" s="12" t="inlineStr"/>
      <c r="F5478" s="12" t="inlineStr">
        <is>
          <t>H2 20: 13.8 kV e-house</t>
        </is>
      </c>
      <c r="G5478" s="12" t="inlineStr">
        <is>
          <t>JB-H2 24: water purif-DI01</t>
        </is>
      </c>
      <c r="H5478" s="12" t="inlineStr">
        <is>
          <t>H2 24: water purification (RO / EDI)</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6" t="n">
        <v>146</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K-I-0041</t>
        </is>
      </c>
      <c r="B5479" s="12" t="inlineStr">
        <is>
          <t>K</t>
        </is>
      </c>
      <c r="C5479" s="12" t="inlineStr">
        <is>
          <t>Fuel supply (adjacent market)</t>
        </is>
      </c>
      <c r="D5479" s="12" t="inlineStr">
        <is>
          <t>Analog instrument to JB JB-H2 25: H2 dryer / -AI01: 12 x 1 pr (field cables)</t>
        </is>
      </c>
      <c r="E5479" s="12" t="inlineStr"/>
      <c r="F5479" s="12" t="inlineStr">
        <is>
          <t>H2 25: H2 dryer / purification</t>
        </is>
      </c>
      <c r="G5479" s="12" t="inlineStr">
        <is>
          <t>JB-H2 25: H2 dryer / -AI01</t>
        </is>
      </c>
      <c r="H5479" s="12" t="inlineStr">
        <is>
          <t>H2 25: H2 dryer / purification</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60</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K-I-0042</t>
        </is>
      </c>
      <c r="B5480" s="12" t="inlineStr">
        <is>
          <t>K</t>
        </is>
      </c>
      <c r="C5480" s="12" t="inlineStr">
        <is>
          <t>Fuel supply (adjacent market)</t>
        </is>
      </c>
      <c r="D5480" s="12" t="inlineStr">
        <is>
          <t>Home run JB-H2 25: H2 dryer / -AI01 to the control / marshalling room</t>
        </is>
      </c>
      <c r="E5480" s="12" t="inlineStr"/>
      <c r="F5480" s="12" t="inlineStr">
        <is>
          <t>H2 20: 13.8 kV e-house</t>
        </is>
      </c>
      <c r="G5480" s="12" t="inlineStr">
        <is>
          <t>JB-H2 25: H2 dryer / -AI01</t>
        </is>
      </c>
      <c r="H5480" s="12" t="inlineStr">
        <is>
          <t>H2 25: H2 dryer / purification</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0</v>
      </c>
      <c r="U5480" s="16" t="n">
        <v>49</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K-I-0043</t>
        </is>
      </c>
      <c r="B5481" s="12" t="inlineStr">
        <is>
          <t>K</t>
        </is>
      </c>
      <c r="C5481" s="12" t="inlineStr">
        <is>
          <t>Fuel supply (adjacent market)</t>
        </is>
      </c>
      <c r="D5481" s="12" t="inlineStr">
        <is>
          <t>Discrete device to JB JB-H2 25: H2 dryer / -DI01: 12 x 1 pr (field cables)</t>
        </is>
      </c>
      <c r="E5481" s="12" t="inlineStr"/>
      <c r="F5481" s="12" t="inlineStr">
        <is>
          <t>H2 25: H2 dryer / purification</t>
        </is>
      </c>
      <c r="G5481" s="12" t="inlineStr">
        <is>
          <t>JB-H2 25: H2 dryer / -DI01</t>
        </is>
      </c>
      <c r="H5481" s="12" t="inlineStr">
        <is>
          <t>H2 25: H2 dryer / purification</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60</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K-I-0044</t>
        </is>
      </c>
      <c r="B5482" s="12" t="inlineStr">
        <is>
          <t>K</t>
        </is>
      </c>
      <c r="C5482" s="12" t="inlineStr">
        <is>
          <t>Fuel supply (adjacent market)</t>
        </is>
      </c>
      <c r="D5482" s="12" t="inlineStr">
        <is>
          <t>Home run JB-H2 25: H2 dryer / -DI01 to the control / marshalling room</t>
        </is>
      </c>
      <c r="E5482" s="12" t="inlineStr"/>
      <c r="F5482" s="12" t="inlineStr">
        <is>
          <t>H2 20: 13.8 kV e-house</t>
        </is>
      </c>
      <c r="G5482" s="12" t="inlineStr">
        <is>
          <t>JB-H2 25: H2 dryer / -DI01</t>
        </is>
      </c>
      <c r="H5482" s="12" t="inlineStr">
        <is>
          <t>H2 25: H2 dryer / purification</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0</v>
      </c>
      <c r="U5482" s="16" t="n">
        <v>49</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K-I-0045</t>
        </is>
      </c>
      <c r="B5483" s="12" t="inlineStr">
        <is>
          <t>K</t>
        </is>
      </c>
      <c r="C5483" s="12" t="inlineStr">
        <is>
          <t>Fuel supply (adjacent market)</t>
        </is>
      </c>
      <c r="D5483" s="12" t="inlineStr">
        <is>
          <t>Analog instrument to JB JB-H2 26: H2 compress-AI01: 12 x 1 pr (field cables)</t>
        </is>
      </c>
      <c r="E5483" s="12" t="inlineStr"/>
      <c r="F5483" s="12" t="inlineStr">
        <is>
          <t>H2 26: H2 compressor 1 (40 ft ISO)</t>
        </is>
      </c>
      <c r="G5483" s="12" t="inlineStr">
        <is>
          <t>JB-H2 26: H2 compress-AI01</t>
        </is>
      </c>
      <c r="H5483" s="12" t="inlineStr">
        <is>
          <t>H2 26: H2 compressor 1 (40 ft ISO)</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53</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K-I-0046</t>
        </is>
      </c>
      <c r="B5484" s="12" t="inlineStr">
        <is>
          <t>K</t>
        </is>
      </c>
      <c r="C5484" s="12" t="inlineStr">
        <is>
          <t>Fuel supply (adjacent market)</t>
        </is>
      </c>
      <c r="D5484" s="12" t="inlineStr">
        <is>
          <t>Home run JB-H2 26: H2 compress-AI01 to the control / marshalling room</t>
        </is>
      </c>
      <c r="E5484" s="12" t="inlineStr"/>
      <c r="F5484" s="12" t="inlineStr">
        <is>
          <t>H2 20: 13.8 kV e-house</t>
        </is>
      </c>
      <c r="G5484" s="12" t="inlineStr">
        <is>
          <t>JB-H2 26: H2 compress-AI01</t>
        </is>
      </c>
      <c r="H5484" s="12" t="inlineStr">
        <is>
          <t>H2 26: H2 compressor 1 (40 ft ISO)</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50</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K-I-0047</t>
        </is>
      </c>
      <c r="B5485" s="12" t="inlineStr">
        <is>
          <t>K</t>
        </is>
      </c>
      <c r="C5485" s="12" t="inlineStr">
        <is>
          <t>Fuel supply (adjacent market)</t>
        </is>
      </c>
      <c r="D5485" s="12" t="inlineStr">
        <is>
          <t>Discrete device to JB JB-H2 26: H2 compress-DI01: 12 x 1 pr (field cables)</t>
        </is>
      </c>
      <c r="E5485" s="12" t="inlineStr"/>
      <c r="F5485" s="12" t="inlineStr">
        <is>
          <t>H2 26: H2 compressor 1 (40 ft ISO)</t>
        </is>
      </c>
      <c r="G5485" s="12" t="inlineStr">
        <is>
          <t>JB-H2 26: H2 compress-DI01</t>
        </is>
      </c>
      <c r="H5485" s="12" t="inlineStr">
        <is>
          <t>H2 26: H2 compressor 1 (40 ft ISO)</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53</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K-I-0048</t>
        </is>
      </c>
      <c r="B5486" s="12" t="inlineStr">
        <is>
          <t>K</t>
        </is>
      </c>
      <c r="C5486" s="12" t="inlineStr">
        <is>
          <t>Fuel supply (adjacent market)</t>
        </is>
      </c>
      <c r="D5486" s="12" t="inlineStr">
        <is>
          <t>Home run JB-H2 26: H2 compress-DI01 to the control / marshalling room</t>
        </is>
      </c>
      <c r="E5486" s="12" t="inlineStr"/>
      <c r="F5486" s="12" t="inlineStr">
        <is>
          <t>H2 20: 13.8 kV e-house</t>
        </is>
      </c>
      <c r="G5486" s="12" t="inlineStr">
        <is>
          <t>JB-H2 26: H2 compress-DI01</t>
        </is>
      </c>
      <c r="H5486" s="12" t="inlineStr">
        <is>
          <t>H2 26: H2 compressor 1 (40 ft ISO)</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50</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K-I-0049</t>
        </is>
      </c>
      <c r="B5487" s="12" t="inlineStr">
        <is>
          <t>K</t>
        </is>
      </c>
      <c r="C5487" s="12" t="inlineStr">
        <is>
          <t>Fuel supply (adjacent market)</t>
        </is>
      </c>
      <c r="D5487" s="12" t="inlineStr">
        <is>
          <t>Analog instrument to JB JB-H2 26: H2 compress-AI01: 12 x 1 pr (field cables)</t>
        </is>
      </c>
      <c r="E5487" s="12" t="inlineStr"/>
      <c r="F5487" s="12" t="inlineStr">
        <is>
          <t>H2 26: H2 compressor 2 (40 ft ISO)</t>
        </is>
      </c>
      <c r="G5487" s="12" t="inlineStr">
        <is>
          <t>JB-H2 26: H2 compress-AI01</t>
        </is>
      </c>
      <c r="H5487" s="12" t="inlineStr">
        <is>
          <t>H2 26: H2 compressor 2 (40 ft ISO)</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53</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K-I-0050</t>
        </is>
      </c>
      <c r="B5488" s="12" t="inlineStr">
        <is>
          <t>K</t>
        </is>
      </c>
      <c r="C5488" s="12" t="inlineStr">
        <is>
          <t>Fuel supply (adjacent market)</t>
        </is>
      </c>
      <c r="D5488" s="12" t="inlineStr">
        <is>
          <t>Home run JB-H2 26: H2 compress-AI01 to the control / marshalling room</t>
        </is>
      </c>
      <c r="E5488" s="12" t="inlineStr"/>
      <c r="F5488" s="12" t="inlineStr">
        <is>
          <t>H2 20: 13.8 kV e-house</t>
        </is>
      </c>
      <c r="G5488" s="12" t="inlineStr">
        <is>
          <t>JB-H2 26: H2 compress-AI01</t>
        </is>
      </c>
      <c r="H5488" s="12" t="inlineStr">
        <is>
          <t>H2 26: H2 compressor 2 (40 ft ISO)</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50</v>
      </c>
      <c r="U5488" s="16" t="n">
        <v>47</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K-I-0051</t>
        </is>
      </c>
      <c r="B5489" s="12" t="inlineStr">
        <is>
          <t>K</t>
        </is>
      </c>
      <c r="C5489" s="12" t="inlineStr">
        <is>
          <t>Fuel supply (adjacent market)</t>
        </is>
      </c>
      <c r="D5489" s="12" t="inlineStr">
        <is>
          <t>Discrete device to JB JB-H2 26: H2 compress-DI01: 12 x 1 pr (field cables)</t>
        </is>
      </c>
      <c r="E5489" s="12" t="inlineStr"/>
      <c r="F5489" s="12" t="inlineStr">
        <is>
          <t>H2 26: H2 compressor 2 (40 ft ISO)</t>
        </is>
      </c>
      <c r="G5489" s="12" t="inlineStr">
        <is>
          <t>JB-H2 26: H2 compress-DI01</t>
        </is>
      </c>
      <c r="H5489" s="12" t="inlineStr">
        <is>
          <t>H2 26: H2 compressor 2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53</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K-I-0052</t>
        </is>
      </c>
      <c r="B5490" s="12" t="inlineStr">
        <is>
          <t>K</t>
        </is>
      </c>
      <c r="C5490" s="12" t="inlineStr">
        <is>
          <t>Fuel supply (adjacent market)</t>
        </is>
      </c>
      <c r="D5490" s="12" t="inlineStr">
        <is>
          <t>Home run JB-H2 26: H2 compress-DI01 to the control / marshalling room</t>
        </is>
      </c>
      <c r="E5490" s="12" t="inlineStr"/>
      <c r="F5490" s="12" t="inlineStr">
        <is>
          <t>H2 20: 13.8 kV e-house</t>
        </is>
      </c>
      <c r="G5490" s="12" t="inlineStr">
        <is>
          <t>JB-H2 26: H2 compress-DI01</t>
        </is>
      </c>
      <c r="H5490" s="12" t="inlineStr">
        <is>
          <t>H2 26: H2 compressor 2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50</v>
      </c>
      <c r="U5490" s="16" t="n">
        <v>47</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K-I-0053</t>
        </is>
      </c>
      <c r="B5491" s="12" t="inlineStr">
        <is>
          <t>K</t>
        </is>
      </c>
      <c r="C5491" s="12" t="inlineStr">
        <is>
          <t>Fuel supply (adjacent market)</t>
        </is>
      </c>
      <c r="D5491" s="12" t="inlineStr">
        <is>
          <t>Analog instrument to JB JB-H2 27: storage tub-AI01: 12 x 1 pr (field cables)</t>
        </is>
      </c>
      <c r="E5491" s="12" t="inlineStr"/>
      <c r="F5491" s="12" t="inlineStr">
        <is>
          <t>H2 27: storage tube bank (~40 ft tubes)</t>
        </is>
      </c>
      <c r="G5491" s="12" t="inlineStr">
        <is>
          <t>JB-H2 27: storage tub-AI01</t>
        </is>
      </c>
      <c r="H5491" s="12" t="inlineStr">
        <is>
          <t>H2 27: storage tube bank (~40 ft tubes)</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6" t="n">
        <v>54</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K-I-0054</t>
        </is>
      </c>
      <c r="B5492" s="12" t="inlineStr">
        <is>
          <t>K</t>
        </is>
      </c>
      <c r="C5492" s="12" t="inlineStr">
        <is>
          <t>Fuel supply (adjacent market)</t>
        </is>
      </c>
      <c r="D5492" s="12" t="inlineStr">
        <is>
          <t>Home run JB-H2 27: storage tub-AI01 to the control / marshalling room</t>
        </is>
      </c>
      <c r="E5492" s="12" t="inlineStr"/>
      <c r="F5492" s="12" t="inlineStr">
        <is>
          <t>H2 20: 13.8 kV e-house</t>
        </is>
      </c>
      <c r="G5492" s="12" t="inlineStr">
        <is>
          <t>JB-H2 27: storage tub-AI01</t>
        </is>
      </c>
      <c r="H5492" s="12" t="inlineStr">
        <is>
          <t>H2 27: storage tube bank (~40 ft tubes)</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50</v>
      </c>
      <c r="U5492" s="16" t="n">
        <v>97</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K-I-0055</t>
        </is>
      </c>
      <c r="B5493" s="12" t="inlineStr">
        <is>
          <t>K</t>
        </is>
      </c>
      <c r="C5493" s="12" t="inlineStr">
        <is>
          <t>Fuel supply (adjacent market)</t>
        </is>
      </c>
      <c r="D5493" s="12" t="inlineStr">
        <is>
          <t>Discrete device to JB JB-H2 27: storage tub-DI01: 12 x 1 pr (field cables)</t>
        </is>
      </c>
      <c r="E5493" s="12" t="inlineStr"/>
      <c r="F5493" s="12" t="inlineStr">
        <is>
          <t>H2 27: storage tube bank (~40 ft tubes)</t>
        </is>
      </c>
      <c r="G5493" s="12" t="inlineStr">
        <is>
          <t>JB-H2 27: storage tub-DI01</t>
        </is>
      </c>
      <c r="H5493" s="12" t="inlineStr">
        <is>
          <t>H2 27: storage tube bank (~40 ft tubes)</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6" t="n">
        <v>54</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K-I-0056</t>
        </is>
      </c>
      <c r="B5494" s="12" t="inlineStr">
        <is>
          <t>K</t>
        </is>
      </c>
      <c r="C5494" s="12" t="inlineStr">
        <is>
          <t>Fuel supply (adjacent market)</t>
        </is>
      </c>
      <c r="D5494" s="12" t="inlineStr">
        <is>
          <t>Home run JB-H2 27: storage tub-DI01 to the control / marshalling room</t>
        </is>
      </c>
      <c r="E5494" s="12" t="inlineStr"/>
      <c r="F5494" s="12" t="inlineStr">
        <is>
          <t>H2 20: 13.8 kV e-house</t>
        </is>
      </c>
      <c r="G5494" s="12" t="inlineStr">
        <is>
          <t>JB-H2 27: storage tub-DI01</t>
        </is>
      </c>
      <c r="H5494" s="12" t="inlineStr">
        <is>
          <t>H2 27: storage tube bank (~40 ft tubes)</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50</v>
      </c>
      <c r="U5494" s="16" t="n">
        <v>97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K-I-0057</t>
        </is>
      </c>
      <c r="B5495" s="12" t="inlineStr">
        <is>
          <t>K</t>
        </is>
      </c>
      <c r="C5495" s="12" t="inlineStr">
        <is>
          <t>Fuel supply (adjacent market)</t>
        </is>
      </c>
      <c r="D5495" s="12" t="inlineStr">
        <is>
          <t>Analog instrument to JB JB-H2 27: storage tub-AI01: 12 x 1 pr (field cables)</t>
        </is>
      </c>
      <c r="E5495" s="12" t="inlineStr"/>
      <c r="F5495" s="12" t="inlineStr">
        <is>
          <t>H2 27: storage tube bank (~40 ft tubes)</t>
        </is>
      </c>
      <c r="G5495" s="12" t="inlineStr">
        <is>
          <t>JB-H2 27: storage tub-AI01</t>
        </is>
      </c>
      <c r="H5495" s="12" t="inlineStr">
        <is>
          <t>H2 27: storage tube bank (~40 ft tubes)</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6" t="n">
        <v>54</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K-I-0058</t>
        </is>
      </c>
      <c r="B5496" s="12" t="inlineStr">
        <is>
          <t>K</t>
        </is>
      </c>
      <c r="C5496" s="12" t="inlineStr">
        <is>
          <t>Fuel supply (adjacent market)</t>
        </is>
      </c>
      <c r="D5496" s="12" t="inlineStr">
        <is>
          <t>Home run JB-H2 27: storage tub-AI01 to the control / marshalling room</t>
        </is>
      </c>
      <c r="E5496" s="12" t="inlineStr"/>
      <c r="F5496" s="12" t="inlineStr">
        <is>
          <t>H2 20: 13.8 kV e-house</t>
        </is>
      </c>
      <c r="G5496" s="12" t="inlineStr">
        <is>
          <t>JB-H2 27: storage tub-AI01</t>
        </is>
      </c>
      <c r="H5496" s="12" t="inlineStr">
        <is>
          <t>H2 27: storage tube bank (~40 ft tubes)</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50</v>
      </c>
      <c r="U5496" s="16" t="n">
        <v>117</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K-I-0059</t>
        </is>
      </c>
      <c r="B5497" s="12" t="inlineStr">
        <is>
          <t>K</t>
        </is>
      </c>
      <c r="C5497" s="12" t="inlineStr">
        <is>
          <t>Fuel supply (adjacent market)</t>
        </is>
      </c>
      <c r="D5497" s="12" t="inlineStr">
        <is>
          <t>Discrete device to JB JB-H2 27: storage tub-DI01: 12 x 1 pr (field cables)</t>
        </is>
      </c>
      <c r="E5497" s="12" t="inlineStr"/>
      <c r="F5497" s="12" t="inlineStr">
        <is>
          <t>H2 27: storage tube bank (~40 ft tubes)</t>
        </is>
      </c>
      <c r="G5497" s="12" t="inlineStr">
        <is>
          <t>JB-H2 27: storage tub-DI01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6" t="n">
        <v>54</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K-I-0060</t>
        </is>
      </c>
      <c r="B5498" s="12" t="inlineStr">
        <is>
          <t>K</t>
        </is>
      </c>
      <c r="C5498" s="12" t="inlineStr">
        <is>
          <t>Fuel supply (adjacent market)</t>
        </is>
      </c>
      <c r="D5498" s="12" t="inlineStr">
        <is>
          <t>Home run JB-H2 27: storage tub-DI01 to the control / marshalling room</t>
        </is>
      </c>
      <c r="E5498" s="12" t="inlineStr"/>
      <c r="F5498" s="12" t="inlineStr">
        <is>
          <t>H2 20: 13.8 kV e-house</t>
        </is>
      </c>
      <c r="G5498" s="12" t="inlineStr">
        <is>
          <t>JB-H2 27: storage tub-DI01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50</v>
      </c>
      <c r="U5498" s="16" t="n">
        <v>117</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K-I-0061</t>
        </is>
      </c>
      <c r="B5499" s="12" t="inlineStr">
        <is>
          <t>K</t>
        </is>
      </c>
      <c r="C5499" s="12" t="inlineStr">
        <is>
          <t>Fuel supply (adjacent market)</t>
        </is>
      </c>
      <c r="D5499" s="12" t="inlineStr">
        <is>
          <t>Analog instrument to JB JB-H2 27: storage tub-AI01: 12 x 1 pr (field cables)</t>
        </is>
      </c>
      <c r="E5499" s="12" t="inlineStr"/>
      <c r="F5499" s="12" t="inlineStr">
        <is>
          <t>H2 27: storage tube bank (~40 ft tubes)</t>
        </is>
      </c>
      <c r="G5499" s="12" t="inlineStr">
        <is>
          <t>JB-H2 27: storage tub-AI01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6" t="n">
        <v>54</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K-I-0062</t>
        </is>
      </c>
      <c r="B5500" s="12" t="inlineStr">
        <is>
          <t>K</t>
        </is>
      </c>
      <c r="C5500" s="12" t="inlineStr">
        <is>
          <t>Fuel supply (adjacent market)</t>
        </is>
      </c>
      <c r="D5500" s="12" t="inlineStr">
        <is>
          <t>Home run JB-H2 27: storage tub-AI01 to the control / marshalling room</t>
        </is>
      </c>
      <c r="E5500" s="12" t="inlineStr"/>
      <c r="F5500" s="12" t="inlineStr">
        <is>
          <t>H2 20: 13.8 kV e-house</t>
        </is>
      </c>
      <c r="G5500" s="12" t="inlineStr">
        <is>
          <t>JB-H2 27: storage tub-AI01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50</v>
      </c>
      <c r="U5500" s="16" t="n">
        <v>97</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K-I-0063</t>
        </is>
      </c>
      <c r="B5501" s="12" t="inlineStr">
        <is>
          <t>K</t>
        </is>
      </c>
      <c r="C5501" s="12" t="inlineStr">
        <is>
          <t>Fuel supply (adjacent market)</t>
        </is>
      </c>
      <c r="D5501" s="12" t="inlineStr">
        <is>
          <t>Discrete device to JB JB-H2 27: storage tub-DI01: 12 x 1 pr (field cables)</t>
        </is>
      </c>
      <c r="E5501" s="12" t="inlineStr"/>
      <c r="F5501" s="12" t="inlineStr">
        <is>
          <t>H2 27: storage tube bank (~40 ft tubes)</t>
        </is>
      </c>
      <c r="G5501" s="12" t="inlineStr">
        <is>
          <t>JB-H2 27: storage tub-DI01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6" t="n">
        <v>54</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K-I-0064</t>
        </is>
      </c>
      <c r="B5502" s="12" t="inlineStr">
        <is>
          <t>K</t>
        </is>
      </c>
      <c r="C5502" s="12" t="inlineStr">
        <is>
          <t>Fuel supply (adjacent market)</t>
        </is>
      </c>
      <c r="D5502" s="12" t="inlineStr">
        <is>
          <t>Home run JB-H2 27: storage tub-DI01 to the control / marshalling room</t>
        </is>
      </c>
      <c r="E5502" s="12" t="inlineStr"/>
      <c r="F5502" s="12" t="inlineStr">
        <is>
          <t>H2 20: 13.8 kV e-house</t>
        </is>
      </c>
      <c r="G5502" s="12" t="inlineStr">
        <is>
          <t>JB-H2 27: storage tub-DI01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50</v>
      </c>
      <c r="U5502" s="16" t="n">
        <v>97</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K-I-0065</t>
        </is>
      </c>
      <c r="B5503" s="12" t="inlineStr">
        <is>
          <t>K</t>
        </is>
      </c>
      <c r="C5503" s="12" t="inlineStr">
        <is>
          <t>Fuel supply (adjacent market)</t>
        </is>
      </c>
      <c r="D5503" s="12" t="inlineStr">
        <is>
          <t>Analog instrument to JB JB-H2 27: storage tub-AI01: 12 x 1 pr (field cables)</t>
        </is>
      </c>
      <c r="E5503" s="12" t="inlineStr"/>
      <c r="F5503" s="12" t="inlineStr">
        <is>
          <t>H2 27: storage tube bank (~40 ft tubes)</t>
        </is>
      </c>
      <c r="G5503" s="12" t="inlineStr">
        <is>
          <t>JB-H2 27: storage tub-AI01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6" t="n">
        <v>54</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K-I-0066</t>
        </is>
      </c>
      <c r="B5504" s="12" t="inlineStr">
        <is>
          <t>K</t>
        </is>
      </c>
      <c r="C5504" s="12" t="inlineStr">
        <is>
          <t>Fuel supply (adjacent market)</t>
        </is>
      </c>
      <c r="D5504" s="12" t="inlineStr">
        <is>
          <t>Home run JB-H2 27: storage tub-AI01 to the control / marshalling room</t>
        </is>
      </c>
      <c r="E5504" s="12" t="inlineStr"/>
      <c r="F5504" s="12" t="inlineStr">
        <is>
          <t>H2 20: 13.8 kV e-house</t>
        </is>
      </c>
      <c r="G5504" s="12" t="inlineStr">
        <is>
          <t>JB-H2 27: storage tub-AI01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50</v>
      </c>
      <c r="U5504" s="16" t="n">
        <v>117</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K-I-0067</t>
        </is>
      </c>
      <c r="B5505" s="12" t="inlineStr">
        <is>
          <t>K</t>
        </is>
      </c>
      <c r="C5505" s="12" t="inlineStr">
        <is>
          <t>Fuel supply (adjacent market)</t>
        </is>
      </c>
      <c r="D5505" s="12" t="inlineStr">
        <is>
          <t>Discrete device to JB JB-H2 27: storage tub-DI01: 12 x 1 pr (field cables)</t>
        </is>
      </c>
      <c r="E5505" s="12" t="inlineStr"/>
      <c r="F5505" s="12" t="inlineStr">
        <is>
          <t>H2 27: storage tube bank (~40 ft tubes)</t>
        </is>
      </c>
      <c r="G5505" s="12" t="inlineStr">
        <is>
          <t>JB-H2 27: storage tub-DI01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6" t="n">
        <v>54</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K-I-0068</t>
        </is>
      </c>
      <c r="B5506" s="12" t="inlineStr">
        <is>
          <t>K</t>
        </is>
      </c>
      <c r="C5506" s="12" t="inlineStr">
        <is>
          <t>Fuel supply (adjacent market)</t>
        </is>
      </c>
      <c r="D5506" s="12" t="inlineStr">
        <is>
          <t>Home run JB-H2 27: storage tub-DI01 to the control / marshalling room</t>
        </is>
      </c>
      <c r="E5506" s="12" t="inlineStr"/>
      <c r="F5506" s="12" t="inlineStr">
        <is>
          <t>H2 20: 13.8 kV e-house</t>
        </is>
      </c>
      <c r="G5506" s="12" t="inlineStr">
        <is>
          <t>JB-H2 27: storage tub-DI01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50</v>
      </c>
      <c r="U5506" s="16" t="n">
        <v>117</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K-I-0069</t>
        </is>
      </c>
      <c r="B5507" s="12" t="inlineStr">
        <is>
          <t>K</t>
        </is>
      </c>
      <c r="C5507" s="12" t="inlineStr">
        <is>
          <t>Fuel supply (adjacent market)</t>
        </is>
      </c>
      <c r="D5507" s="12" t="inlineStr">
        <is>
          <t>Analog instrument to JB JB-H2 28: N2 purge su-AI01: 12 x 1 pr (field cables)</t>
        </is>
      </c>
      <c r="E5507" s="12" t="inlineStr"/>
      <c r="F5507" s="12" t="inlineStr">
        <is>
          <t>H2 28: N2 purge supply</t>
        </is>
      </c>
      <c r="G5507" s="12" t="inlineStr">
        <is>
          <t>JB-H2 28: N2 purge su-AI01</t>
        </is>
      </c>
      <c r="H5507" s="12" t="inlineStr">
        <is>
          <t>H2 28: N2 purge supply</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6" t="n">
        <v>56</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K-I-0070</t>
        </is>
      </c>
      <c r="B5508" s="12" t="inlineStr">
        <is>
          <t>K</t>
        </is>
      </c>
      <c r="C5508" s="12" t="inlineStr">
        <is>
          <t>Fuel supply (adjacent market)</t>
        </is>
      </c>
      <c r="D5508" s="12" t="inlineStr">
        <is>
          <t>Home run JB-H2 28: N2 purge su-AI01 to the control / marshalling room</t>
        </is>
      </c>
      <c r="E5508" s="12" t="inlineStr"/>
      <c r="F5508" s="12" t="inlineStr">
        <is>
          <t>H2 20: 13.8 kV e-house</t>
        </is>
      </c>
      <c r="G5508" s="12" t="inlineStr">
        <is>
          <t>JB-H2 28: N2 purge su-AI01</t>
        </is>
      </c>
      <c r="H5508" s="12" t="inlineStr">
        <is>
          <t>H2 28: N2 purge supply</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53</v>
      </c>
      <c r="U5508" s="16" t="n">
        <v>36</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K-I-0071</t>
        </is>
      </c>
      <c r="B5509" s="12" t="inlineStr">
        <is>
          <t>K</t>
        </is>
      </c>
      <c r="C5509" s="12" t="inlineStr">
        <is>
          <t>Fuel supply (adjacent market)</t>
        </is>
      </c>
      <c r="D5509" s="12" t="inlineStr">
        <is>
          <t>Discrete device to JB JB-H2 28: N2 purge su-DI01: 12 x 1 pr (field cables)</t>
        </is>
      </c>
      <c r="E5509" s="12" t="inlineStr"/>
      <c r="F5509" s="12" t="inlineStr">
        <is>
          <t>H2 28: N2 purge supply</t>
        </is>
      </c>
      <c r="G5509" s="12" t="inlineStr">
        <is>
          <t>JB-H2 28: N2 purge su-DI01</t>
        </is>
      </c>
      <c r="H5509" s="12" t="inlineStr">
        <is>
          <t>H2 28: N2 purge supply</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6" t="n">
        <v>56</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K-I-0072</t>
        </is>
      </c>
      <c r="B5510" s="12" t="inlineStr">
        <is>
          <t>K</t>
        </is>
      </c>
      <c r="C5510" s="12" t="inlineStr">
        <is>
          <t>Fuel supply (adjacent market)</t>
        </is>
      </c>
      <c r="D5510" s="12" t="inlineStr">
        <is>
          <t>Home run JB-H2 28: N2 purge su-DI01 to the control / marshalling room</t>
        </is>
      </c>
      <c r="E5510" s="12" t="inlineStr"/>
      <c r="F5510" s="12" t="inlineStr">
        <is>
          <t>H2 20: 13.8 kV e-house</t>
        </is>
      </c>
      <c r="G5510" s="12" t="inlineStr">
        <is>
          <t>JB-H2 28: N2 purge su-DI01</t>
        </is>
      </c>
      <c r="H5510" s="12" t="inlineStr">
        <is>
          <t>H2 28: N2 purge supply</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53</v>
      </c>
      <c r="U5510" s="16" t="n">
        <v>36</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K-I-0073</t>
        </is>
      </c>
      <c r="B5511" s="12" t="inlineStr">
        <is>
          <t>K</t>
        </is>
      </c>
      <c r="C5511" s="12" t="inlineStr">
        <is>
          <t>Fuel supply (adjacent market)</t>
        </is>
      </c>
      <c r="D5511" s="12" t="inlineStr">
        <is>
          <t>Analog instrument to JB JB-H2 29: vent stack-AI01: 12 x 1 pr (field cables)</t>
        </is>
      </c>
      <c r="E5511" s="12" t="inlineStr"/>
      <c r="F5511" s="12" t="inlineStr">
        <is>
          <t>H2 29: vent stack</t>
        </is>
      </c>
      <c r="G5511" s="12" t="inlineStr">
        <is>
          <t>JB-H2 29: vent stack-AI01</t>
        </is>
      </c>
      <c r="H5511" s="12" t="inlineStr">
        <is>
          <t>H2 29: vent stack</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6" t="n">
        <v>45</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K-I-0074</t>
        </is>
      </c>
      <c r="B5512" s="12" t="inlineStr">
        <is>
          <t>K</t>
        </is>
      </c>
      <c r="C5512" s="12" t="inlineStr">
        <is>
          <t>Fuel supply (adjacent market)</t>
        </is>
      </c>
      <c r="D5512" s="12" t="inlineStr">
        <is>
          <t>Home run JB-H2 29: vent stack-AI01 to the control / marshalling room</t>
        </is>
      </c>
      <c r="E5512" s="12" t="inlineStr"/>
      <c r="F5512" s="12" t="inlineStr">
        <is>
          <t>H2 20: 13.8 kV e-house</t>
        </is>
      </c>
      <c r="G5512" s="12" t="inlineStr">
        <is>
          <t>JB-H2 29: vent stack-AI01</t>
        </is>
      </c>
      <c r="H5512" s="12" t="inlineStr">
        <is>
          <t>H2 29: vent stack</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55</v>
      </c>
      <c r="U5512" s="16" t="n">
        <v>205</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K-I-0075</t>
        </is>
      </c>
      <c r="B5513" s="12" t="inlineStr">
        <is>
          <t>K</t>
        </is>
      </c>
      <c r="C5513" s="12" t="inlineStr">
        <is>
          <t>Fuel supply (adjacent market)</t>
        </is>
      </c>
      <c r="D5513" s="12" t="inlineStr">
        <is>
          <t>Discrete device to JB JB-H2 29: vent stack-DI01: 12 x 1 pr (field cables)</t>
        </is>
      </c>
      <c r="E5513" s="12" t="inlineStr"/>
      <c r="F5513" s="12" t="inlineStr">
        <is>
          <t>H2 29: vent stack</t>
        </is>
      </c>
      <c r="G5513" s="12" t="inlineStr">
        <is>
          <t>JB-H2 29: vent stack-DI01</t>
        </is>
      </c>
      <c r="H5513" s="12" t="inlineStr">
        <is>
          <t>H2 29: vent stack</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6" t="n">
        <v>45</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K-I-0076</t>
        </is>
      </c>
      <c r="B5514" s="12" t="inlineStr">
        <is>
          <t>K</t>
        </is>
      </c>
      <c r="C5514" s="12" t="inlineStr">
        <is>
          <t>Fuel supply (adjacent market)</t>
        </is>
      </c>
      <c r="D5514" s="12" t="inlineStr">
        <is>
          <t>Home run JB-H2 29: vent stack-DI01 to the control / marshalling room</t>
        </is>
      </c>
      <c r="E5514" s="12" t="inlineStr"/>
      <c r="F5514" s="12" t="inlineStr">
        <is>
          <t>H2 20: 13.8 kV e-house</t>
        </is>
      </c>
      <c r="G5514" s="12" t="inlineStr">
        <is>
          <t>JB-H2 29: vent stack-DI01</t>
        </is>
      </c>
      <c r="H5514" s="12" t="inlineStr">
        <is>
          <t>H2 29: vent stack</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55</v>
      </c>
      <c r="U5514" s="16" t="n">
        <v>205</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K-I-0077</t>
        </is>
      </c>
      <c r="B5515" s="12" t="inlineStr">
        <is>
          <t>K</t>
        </is>
      </c>
      <c r="C5515" s="12" t="inlineStr">
        <is>
          <t>Fuel supply (adjacent market)</t>
        </is>
      </c>
      <c r="D5515" s="12" t="inlineStr">
        <is>
          <t>Analog instrument to JB JB-H2 30: H2 / gas bl-AI01: 12 x 1 pr (field cables)</t>
        </is>
      </c>
      <c r="E5515" s="12" t="inlineStr"/>
      <c r="F5515" s="12" t="inlineStr">
        <is>
          <t>H2 30: H2 / gas blending station (plant gas yard)</t>
        </is>
      </c>
      <c r="G5515" s="12" t="inlineStr">
        <is>
          <t>JB-H2 30: H2 / gas bl-AI01</t>
        </is>
      </c>
      <c r="H5515" s="12" t="inlineStr">
        <is>
          <t>H2 30: H2 / gas blending station (plant gas yard)</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6" t="n">
        <v>129</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K-I-0078</t>
        </is>
      </c>
      <c r="B5516" s="12" t="inlineStr">
        <is>
          <t>K</t>
        </is>
      </c>
      <c r="C5516" s="12" t="inlineStr">
        <is>
          <t>Fuel supply (adjacent market)</t>
        </is>
      </c>
      <c r="D5516" s="12" t="inlineStr">
        <is>
          <t>Home run JB-H2 30: H2 / gas bl-AI01 to the control / marshalling room</t>
        </is>
      </c>
      <c r="E5516" s="12" t="inlineStr"/>
      <c r="F5516" s="12" t="inlineStr">
        <is>
          <t>LNG 17: LNG e-house (13.8 kV / 480 V)</t>
        </is>
      </c>
      <c r="G5516" s="12" t="inlineStr">
        <is>
          <t>JB-H2 30: H2 / gas bl-AI01</t>
        </is>
      </c>
      <c r="H5516" s="12" t="inlineStr">
        <is>
          <t>H2 30: H2 / gas blending station (plant gas yard)</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994</v>
      </c>
      <c r="U5516" s="16" t="n">
        <v>114</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K-I-0079</t>
        </is>
      </c>
      <c r="B5517" s="12" t="inlineStr">
        <is>
          <t>K</t>
        </is>
      </c>
      <c r="C5517" s="12" t="inlineStr">
        <is>
          <t>Fuel supply (adjacent market)</t>
        </is>
      </c>
      <c r="D5517" s="12" t="inlineStr">
        <is>
          <t>Discrete device to JB JB-H2 30: H2 / gas bl-DI01: 12 x 1 pr (field cables)</t>
        </is>
      </c>
      <c r="E5517" s="12" t="inlineStr"/>
      <c r="F5517" s="12" t="inlineStr">
        <is>
          <t>H2 30: H2 / gas blending station (plant gas yard)</t>
        </is>
      </c>
      <c r="G5517" s="12" t="inlineStr">
        <is>
          <t>JB-H2 30: H2 / gas bl-DI01</t>
        </is>
      </c>
      <c r="H5517" s="12" t="inlineStr">
        <is>
          <t>H2 30: H2 / gas blending station (plant gas yard)</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6" t="n">
        <v>129</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K-I-0080</t>
        </is>
      </c>
      <c r="B5518" s="12" t="inlineStr">
        <is>
          <t>K</t>
        </is>
      </c>
      <c r="C5518" s="12" t="inlineStr">
        <is>
          <t>Fuel supply (adjacent market)</t>
        </is>
      </c>
      <c r="D5518" s="12" t="inlineStr">
        <is>
          <t>Home run JB-H2 30: H2 / gas bl-DI01 to the control / marshalling room</t>
        </is>
      </c>
      <c r="E5518" s="12" t="inlineStr"/>
      <c r="F5518" s="12" t="inlineStr">
        <is>
          <t>LNG 17: LNG e-house (13.8 kV / 480 V)</t>
        </is>
      </c>
      <c r="G5518" s="12" t="inlineStr">
        <is>
          <t>JB-H2 30: H2 / gas bl-DI01</t>
        </is>
      </c>
      <c r="H5518" s="12" t="inlineStr">
        <is>
          <t>H2 30: H2 / gas blending station (plant gas yard)</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994</v>
      </c>
      <c r="U5518" s="16" t="n">
        <v>114</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K-I-0081</t>
        </is>
      </c>
      <c r="B5519" s="12" t="inlineStr">
        <is>
          <t>K</t>
        </is>
      </c>
      <c r="C5519" s="12" t="inlineStr">
        <is>
          <t>Fuel supply (adjacent market)</t>
        </is>
      </c>
      <c r="D5519" s="12" t="inlineStr">
        <is>
          <t>Analog instrument to JB JB-H2 pipe track and -AI01: 10 x 1 pr (field cables)</t>
        </is>
      </c>
      <c r="E5519" s="12" t="inlineStr"/>
      <c r="F5519" s="12" t="inlineStr">
        <is>
          <t>H2 pipe track and cable trench, hall -&gt; dryer / compressors (N2, instr</t>
        </is>
      </c>
      <c r="G5519" s="12" t="inlineStr">
        <is>
          <t>JB-H2 pipe track and -AI01</t>
        </is>
      </c>
      <c r="H5519" s="12" t="inlineStr">
        <is>
          <t>H2 pipe track and cable trench, hall -&gt; dryer / compressors (N2, instr</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10</v>
      </c>
      <c r="O5519" s="12" t="n">
        <v>1</v>
      </c>
      <c r="P5519" s="12" t="n"/>
      <c r="Q5519" s="12" t="n"/>
      <c r="R5519" s="12" t="n"/>
      <c r="S5519" s="12" t="inlineStr">
        <is>
          <t>Tray / conduit</t>
        </is>
      </c>
      <c r="T5519" s="16" t="n">
        <v>70</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K-I-0082</t>
        </is>
      </c>
      <c r="B5520" s="12" t="inlineStr">
        <is>
          <t>K</t>
        </is>
      </c>
      <c r="C5520" s="12" t="inlineStr">
        <is>
          <t>Fuel supply (adjacent market)</t>
        </is>
      </c>
      <c r="D5520" s="12" t="inlineStr">
        <is>
          <t>Home run JB-H2 pipe track and -AI01 to the control / marshalling room</t>
        </is>
      </c>
      <c r="E5520" s="12" t="inlineStr"/>
      <c r="F5520" s="12" t="inlineStr">
        <is>
          <t>H2 20: 13.8 kV e-house</t>
        </is>
      </c>
      <c r="G5520" s="12" t="inlineStr">
        <is>
          <t>JB-H2 pipe track and -AI01</t>
        </is>
      </c>
      <c r="H5520" s="12" t="inlineStr">
        <is>
          <t>H2 pipe track and cable trench, hall -&gt; dryer / compressors (N2, instr</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53</v>
      </c>
      <c r="U5520" s="16" t="n">
        <v>62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K-I-0083</t>
        </is>
      </c>
      <c r="B5521" s="12" t="inlineStr">
        <is>
          <t>K</t>
        </is>
      </c>
      <c r="C5521" s="12" t="inlineStr">
        <is>
          <t>Fuel supply (adjacent market)</t>
        </is>
      </c>
      <c r="D5521" s="12" t="inlineStr">
        <is>
          <t>Discrete device to JB JB-H2 pipe track and -DI01: 10 x 1 pr (field cables)</t>
        </is>
      </c>
      <c r="E5521" s="12" t="inlineStr"/>
      <c r="F5521" s="12" t="inlineStr">
        <is>
          <t>H2 pipe track and cable trench, hall -&gt; dryer / compressors (N2, instr</t>
        </is>
      </c>
      <c r="G5521" s="12" t="inlineStr">
        <is>
          <t>JB-H2 pipe track and -DI01</t>
        </is>
      </c>
      <c r="H5521" s="12" t="inlineStr">
        <is>
          <t>H2 pipe track and cable trench, hall -&gt; dryer / compressors (N2, instr</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10</v>
      </c>
      <c r="O5521" s="12" t="n">
        <v>1</v>
      </c>
      <c r="P5521" s="12" t="n"/>
      <c r="Q5521" s="12" t="n"/>
      <c r="R5521" s="12" t="n"/>
      <c r="S5521" s="12" t="inlineStr">
        <is>
          <t>Tray / conduit</t>
        </is>
      </c>
      <c r="T5521" s="16" t="n">
        <v>70</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K-I-0084</t>
        </is>
      </c>
      <c r="B5522" s="12" t="inlineStr">
        <is>
          <t>K</t>
        </is>
      </c>
      <c r="C5522" s="12" t="inlineStr">
        <is>
          <t>Fuel supply (adjacent market)</t>
        </is>
      </c>
      <c r="D5522" s="12" t="inlineStr">
        <is>
          <t>Home run JB-H2 pipe track and -DI01 to the control / marshalling room</t>
        </is>
      </c>
      <c r="E5522" s="12" t="inlineStr"/>
      <c r="F5522" s="12" t="inlineStr">
        <is>
          <t>H2 20: 13.8 kV e-house</t>
        </is>
      </c>
      <c r="G5522" s="12" t="inlineStr">
        <is>
          <t>JB-H2 pipe track and -DI01</t>
        </is>
      </c>
      <c r="H5522" s="12" t="inlineStr">
        <is>
          <t>H2 pipe track and cable trench, hall -&gt; dryer / compressors (N2, instr</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53</v>
      </c>
      <c r="U5522" s="16" t="n">
        <v>62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K-I-0085</t>
        </is>
      </c>
      <c r="B5523" s="12" t="inlineStr">
        <is>
          <t>K</t>
        </is>
      </c>
      <c r="C5523" s="12" t="inlineStr">
        <is>
          <t>Fuel supply (adjacent market)</t>
        </is>
      </c>
      <c r="D5523" s="12" t="inlineStr">
        <is>
          <t>Instrumentation</t>
        </is>
      </c>
      <c r="E5523" s="12" t="inlineStr"/>
      <c r="F5523" s="12" t="inlineStr">
        <is>
          <t>H2 20: 13.8 kV e-house</t>
        </is>
      </c>
      <c r="G5523" s="12" t="inlineStr">
        <is>
          <t>H2-ST</t>
        </is>
      </c>
      <c r="H5523" s="12" t="inlineStr">
        <is>
          <t>H2 storage tube banks x4</t>
        </is>
      </c>
      <c r="I5523" s="12" t="inlineStr">
        <is>
          <t>Instrumentation</t>
        </is>
      </c>
      <c r="J5523" s="12" t="inlineStr">
        <is>
          <t>Instrumentation ITC / PLTC, IS, #18 shielded pairs, blue jacket</t>
        </is>
      </c>
      <c r="K5523" s="12" t="inlineStr">
        <is>
          <t>ITC|4 pr|18</t>
        </is>
      </c>
      <c r="L5523" s="12" t="inlineStr">
        <is>
          <t>4 pr</t>
        </is>
      </c>
      <c r="M5523" s="12" t="inlineStr">
        <is>
          <t>18</t>
        </is>
      </c>
      <c r="N5523" s="12" t="n">
        <v>1</v>
      </c>
      <c r="O5523" s="12" t="n">
        <v>1</v>
      </c>
      <c r="P5523" s="12" t="n"/>
      <c r="Q5523" s="12" t="n"/>
      <c r="R5523" s="12" t="n"/>
      <c r="S5523" s="12" t="inlineStr">
        <is>
          <t>Duct bank</t>
        </is>
      </c>
      <c r="T5523" s="16" t="n">
        <v>50</v>
      </c>
      <c r="U5523" s="16" t="n">
        <v>92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K-I-0086</t>
        </is>
      </c>
      <c r="B5524" s="12" t="inlineStr">
        <is>
          <t>K</t>
        </is>
      </c>
      <c r="C5524" s="12" t="inlineStr">
        <is>
          <t>Fuel supply (adjacent market)</t>
        </is>
      </c>
      <c r="D5524" s="12" t="inlineStr">
        <is>
          <t>Instrumentation</t>
        </is>
      </c>
      <c r="E5524" s="12" t="inlineStr"/>
      <c r="F5524" s="12" t="inlineStr">
        <is>
          <t>H2 20: 13.8 kV e-house</t>
        </is>
      </c>
      <c r="G5524" s="12" t="inlineStr">
        <is>
          <t>H2R</t>
        </is>
      </c>
      <c r="H5524" s="12" t="inlineStr">
        <is>
          <t>H2R: hydrogen pipeline receiving station (pig receiver, filters, meter</t>
        </is>
      </c>
      <c r="I5524" s="12" t="inlineStr">
        <is>
          <t>Instrumentation</t>
        </is>
      </c>
      <c r="J5524" s="12" t="inlineStr">
        <is>
          <t>Instrumentation ITC / PLTC, IS, #18 shielded pairs, blue jacket</t>
        </is>
      </c>
      <c r="K5524" s="12" t="inlineStr">
        <is>
          <t>ITC|4 pr|18</t>
        </is>
      </c>
      <c r="L5524" s="12" t="inlineStr">
        <is>
          <t>4 pr</t>
        </is>
      </c>
      <c r="M5524" s="12" t="inlineStr">
        <is>
          <t>18</t>
        </is>
      </c>
      <c r="N5524" s="12" t="n">
        <v>1</v>
      </c>
      <c r="O5524" s="12" t="n">
        <v>1</v>
      </c>
      <c r="P5524" s="12" t="n"/>
      <c r="Q5524" s="12" t="n"/>
      <c r="R5524" s="12" t="n"/>
      <c r="S5524" s="12" t="inlineStr">
        <is>
          <t>Duct bank</t>
        </is>
      </c>
      <c r="T5524" s="16" t="n">
        <v>40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K-I-0087</t>
        </is>
      </c>
      <c r="B5525" s="12" t="inlineStr">
        <is>
          <t>K</t>
        </is>
      </c>
      <c r="C5525" s="12" t="inlineStr">
        <is>
          <t>Fuel supply (adjacent market)</t>
        </is>
      </c>
      <c r="D5525" s="12" t="inlineStr">
        <is>
          <t>Analog instrument to JB JB-LNG 10: truck unlo-AI01: 12 x 1 pr (field cables)</t>
        </is>
      </c>
      <c r="E5525" s="12" t="inlineStr"/>
      <c r="F5525" s="12" t="inlineStr">
        <is>
          <t>LNG 10: truck unloading bay 1</t>
        </is>
      </c>
      <c r="G5525" s="12" t="inlineStr">
        <is>
          <t>JB-LNG 10: truck unlo-AI01</t>
        </is>
      </c>
      <c r="H5525" s="12" t="inlineStr">
        <is>
          <t>LNG 10: truck unloading bay 1</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72</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K-I-0088</t>
        </is>
      </c>
      <c r="B5526" s="12" t="inlineStr">
        <is>
          <t>K</t>
        </is>
      </c>
      <c r="C5526" s="12" t="inlineStr">
        <is>
          <t>Fuel supply (adjacent market)</t>
        </is>
      </c>
      <c r="D5526" s="12" t="inlineStr">
        <is>
          <t>Home run JB-LNG 10: truck unlo-AI01 to the control / marshalling room</t>
        </is>
      </c>
      <c r="E5526" s="12" t="inlineStr"/>
      <c r="F5526" s="12" t="inlineStr">
        <is>
          <t>LNG 17: LNG e-house (13.8 kV / 480 V)</t>
        </is>
      </c>
      <c r="G5526" s="12" t="inlineStr">
        <is>
          <t>JB-LNG 10: truck unlo-AI01</t>
        </is>
      </c>
      <c r="H5526" s="12" t="inlineStr">
        <is>
          <t>LNG 10: truck unloading bay 1</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237</v>
      </c>
      <c r="U5526" s="16" t="n">
        <v>61</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K-I-0089</t>
        </is>
      </c>
      <c r="B5527" s="12" t="inlineStr">
        <is>
          <t>K</t>
        </is>
      </c>
      <c r="C5527" s="12" t="inlineStr">
        <is>
          <t>Fuel supply (adjacent market)</t>
        </is>
      </c>
      <c r="D5527" s="12" t="inlineStr">
        <is>
          <t>Discrete device to JB JB-LNG 10: truck unlo-DI01: 12 x 1 pr (field cables)</t>
        </is>
      </c>
      <c r="E5527" s="12" t="inlineStr"/>
      <c r="F5527" s="12" t="inlineStr">
        <is>
          <t>LNG 10: truck unloading bay 1</t>
        </is>
      </c>
      <c r="G5527" s="12" t="inlineStr">
        <is>
          <t>JB-LNG 10: truck unlo-DI01</t>
        </is>
      </c>
      <c r="H5527" s="12" t="inlineStr">
        <is>
          <t>LNG 10: truck unloading bay 1</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72</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K-I-0090</t>
        </is>
      </c>
      <c r="B5528" s="12" t="inlineStr">
        <is>
          <t>K</t>
        </is>
      </c>
      <c r="C5528" s="12" t="inlineStr">
        <is>
          <t>Fuel supply (adjacent market)</t>
        </is>
      </c>
      <c r="D5528" s="12" t="inlineStr">
        <is>
          <t>Home run JB-LNG 10: truck unlo-DI01 to the control / marshalling room</t>
        </is>
      </c>
      <c r="E5528" s="12" t="inlineStr"/>
      <c r="F5528" s="12" t="inlineStr">
        <is>
          <t>LNG 17: LNG e-house (13.8 kV / 480 V)</t>
        </is>
      </c>
      <c r="G5528" s="12" t="inlineStr">
        <is>
          <t>JB-LNG 10: truck unlo-DI01</t>
        </is>
      </c>
      <c r="H5528" s="12" t="inlineStr">
        <is>
          <t>LNG 10: truck unloading bay 1</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237</v>
      </c>
      <c r="U5528" s="16" t="n">
        <v>61</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K-I-0091</t>
        </is>
      </c>
      <c r="B5529" s="12" t="inlineStr">
        <is>
          <t>K</t>
        </is>
      </c>
      <c r="C5529" s="12" t="inlineStr">
        <is>
          <t>Fuel supply (adjacent market)</t>
        </is>
      </c>
      <c r="D5529" s="12" t="inlineStr">
        <is>
          <t>Analog instrument to JB JB-LNG 10: truck unlo-AI01: 12 x 1 pr (field cables)</t>
        </is>
      </c>
      <c r="E5529" s="12" t="inlineStr"/>
      <c r="F5529" s="12" t="inlineStr">
        <is>
          <t>LNG 10: truck unloading bay 2</t>
        </is>
      </c>
      <c r="G5529" s="12" t="inlineStr">
        <is>
          <t>JB-LNG 10: truck unlo-AI01</t>
        </is>
      </c>
      <c r="H5529" s="12" t="inlineStr">
        <is>
          <t>LNG 10: truck unloading bay 2</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72</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K-I-0092</t>
        </is>
      </c>
      <c r="B5530" s="12" t="inlineStr">
        <is>
          <t>K</t>
        </is>
      </c>
      <c r="C5530" s="12" t="inlineStr">
        <is>
          <t>Fuel supply (adjacent market)</t>
        </is>
      </c>
      <c r="D5530" s="12" t="inlineStr">
        <is>
          <t>Home run JB-LNG 10: truck unlo-AI01 to the control / marshalling room</t>
        </is>
      </c>
      <c r="E5530" s="12" t="inlineStr"/>
      <c r="F5530" s="12" t="inlineStr">
        <is>
          <t>LNG 17: LNG e-house (13.8 kV / 480 V)</t>
        </is>
      </c>
      <c r="G5530" s="12" t="inlineStr">
        <is>
          <t>JB-LNG 10: truck unlo-AI01</t>
        </is>
      </c>
      <c r="H5530" s="12" t="inlineStr">
        <is>
          <t>LNG 10: truck unloading bay 2</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147</v>
      </c>
      <c r="U5530" s="16" t="n">
        <v>66</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K-I-0093</t>
        </is>
      </c>
      <c r="B5531" s="12" t="inlineStr">
        <is>
          <t>K</t>
        </is>
      </c>
      <c r="C5531" s="12" t="inlineStr">
        <is>
          <t>Fuel supply (adjacent market)</t>
        </is>
      </c>
      <c r="D5531" s="12" t="inlineStr">
        <is>
          <t>Discrete device to JB JB-LNG 10: truck unlo-DI01: 12 x 1 pr (field cables)</t>
        </is>
      </c>
      <c r="E5531" s="12" t="inlineStr"/>
      <c r="F5531" s="12" t="inlineStr">
        <is>
          <t>LNG 10: truck unloading bay 2</t>
        </is>
      </c>
      <c r="G5531" s="12" t="inlineStr">
        <is>
          <t>JB-LNG 10: truck unlo-DI01</t>
        </is>
      </c>
      <c r="H5531" s="12" t="inlineStr">
        <is>
          <t>LNG 10: truck unloading bay 2</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72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K-I-0094</t>
        </is>
      </c>
      <c r="B5532" s="12" t="inlineStr">
        <is>
          <t>K</t>
        </is>
      </c>
      <c r="C5532" s="12" t="inlineStr">
        <is>
          <t>Fuel supply (adjacent market)</t>
        </is>
      </c>
      <c r="D5532" s="12" t="inlineStr">
        <is>
          <t>Home run JB-LNG 10: truck unlo-DI01 to the control / marshalling room</t>
        </is>
      </c>
      <c r="E5532" s="12" t="inlineStr"/>
      <c r="F5532" s="12" t="inlineStr">
        <is>
          <t>LNG 17: LNG e-house (13.8 kV / 480 V)</t>
        </is>
      </c>
      <c r="G5532" s="12" t="inlineStr">
        <is>
          <t>JB-LNG 10: truck unlo-DI01</t>
        </is>
      </c>
      <c r="H5532" s="12" t="inlineStr">
        <is>
          <t>LNG 10: truck unloading bay 2</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147</v>
      </c>
      <c r="U5532" s="16" t="n">
        <v>66</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K-I-0095</t>
        </is>
      </c>
      <c r="B5533" s="12" t="inlineStr">
        <is>
          <t>K</t>
        </is>
      </c>
      <c r="C5533" s="12" t="inlineStr">
        <is>
          <t>Fuel supply (adjacent market)</t>
        </is>
      </c>
      <c r="D5533" s="12" t="inlineStr">
        <is>
          <t>Analog instrument to JB JB-LNG 10: unloading -AI01: 12 x 1 pr (field cables)</t>
        </is>
      </c>
      <c r="E5533" s="12" t="inlineStr"/>
      <c r="F5533" s="12" t="inlineStr">
        <is>
          <t>LNG 10: unloading skid</t>
        </is>
      </c>
      <c r="G5533" s="12" t="inlineStr">
        <is>
          <t>JB-LNG 10: unloading -AI01</t>
        </is>
      </c>
      <c r="H5533" s="12" t="inlineStr">
        <is>
          <t>LNG 10: unloading skid</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54</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K-I-0096</t>
        </is>
      </c>
      <c r="B5534" s="12" t="inlineStr">
        <is>
          <t>K</t>
        </is>
      </c>
      <c r="C5534" s="12" t="inlineStr">
        <is>
          <t>Fuel supply (adjacent market)</t>
        </is>
      </c>
      <c r="D5534" s="12" t="inlineStr">
        <is>
          <t>Home run JB-LNG 10: unloading -AI01 to the control / marshalling room</t>
        </is>
      </c>
      <c r="E5534" s="12" t="inlineStr"/>
      <c r="F5534" s="12" t="inlineStr">
        <is>
          <t>LNG 17: LNG e-house (13.8 kV / 480 V)</t>
        </is>
      </c>
      <c r="G5534" s="12" t="inlineStr">
        <is>
          <t>JB-LNG 10: unloading -AI01</t>
        </is>
      </c>
      <c r="H5534" s="12" t="inlineStr">
        <is>
          <t>LNG 10: unloading skid</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237</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K-I-0097</t>
        </is>
      </c>
      <c r="B5535" s="12" t="inlineStr">
        <is>
          <t>K</t>
        </is>
      </c>
      <c r="C5535" s="12" t="inlineStr">
        <is>
          <t>Fuel supply (adjacent market)</t>
        </is>
      </c>
      <c r="D5535" s="12" t="inlineStr">
        <is>
          <t>Discrete device to JB JB-LNG 10: unloading -DI01: 12 x 1 pr (field cables)</t>
        </is>
      </c>
      <c r="E5535" s="12" t="inlineStr"/>
      <c r="F5535" s="12" t="inlineStr">
        <is>
          <t>LNG 10: unloading skid</t>
        </is>
      </c>
      <c r="G5535" s="12" t="inlineStr">
        <is>
          <t>JB-LNG 10: unloading -DI01</t>
        </is>
      </c>
      <c r="H5535" s="12" t="inlineStr">
        <is>
          <t>LNG 10: unloading skid</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K-I-0098</t>
        </is>
      </c>
      <c r="B5536" s="12" t="inlineStr">
        <is>
          <t>K</t>
        </is>
      </c>
      <c r="C5536" s="12" t="inlineStr">
        <is>
          <t>Fuel supply (adjacent market)</t>
        </is>
      </c>
      <c r="D5536" s="12" t="inlineStr">
        <is>
          <t>Home run JB-LNG 10: unloading -DI01 to the control / marshalling room</t>
        </is>
      </c>
      <c r="E5536" s="12" t="inlineStr"/>
      <c r="F5536" s="12" t="inlineStr">
        <is>
          <t>LNG 17: LNG e-house (13.8 kV / 480 V)</t>
        </is>
      </c>
      <c r="G5536" s="12" t="inlineStr">
        <is>
          <t>JB-LNG 10: unloading -DI01</t>
        </is>
      </c>
      <c r="H5536" s="12" t="inlineStr">
        <is>
          <t>LNG 10: unloading skid</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237</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K-I-0099</t>
        </is>
      </c>
      <c r="B5537" s="12" t="inlineStr">
        <is>
          <t>K</t>
        </is>
      </c>
      <c r="C5537" s="12" t="inlineStr">
        <is>
          <t>Fuel supply (adjacent market)</t>
        </is>
      </c>
      <c r="D5537" s="12" t="inlineStr">
        <is>
          <t>Analog instrument to JB JB-LNG-T1-AI01: 4 x 1 pr (field cables)</t>
        </is>
      </c>
      <c r="E5537" s="12" t="inlineStr">
        <is>
          <t>LNG-T1</t>
        </is>
      </c>
      <c r="F5537" s="12" t="inlineStr">
        <is>
          <t>LNG 11: tank 1, Chart HS 50000 (51,780 gal)</t>
        </is>
      </c>
      <c r="G5537" s="12" t="inlineStr">
        <is>
          <t>JB-LNG-T1-AI01</t>
        </is>
      </c>
      <c r="H5537" s="12" t="inlineStr">
        <is>
          <t>LNG 11: tank 1, Chart HS 50000 (51,780 gal)</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4</v>
      </c>
      <c r="O5537" s="12" t="n">
        <v>1</v>
      </c>
      <c r="P5537" s="12" t="n"/>
      <c r="Q5537" s="12" t="n"/>
      <c r="R5537" s="12" t="n"/>
      <c r="S5537" s="12" t="inlineStr">
        <is>
          <t>Tray / conduit</t>
        </is>
      </c>
      <c r="T5537" s="16" t="n">
        <v>77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K-I-0100</t>
        </is>
      </c>
      <c r="B5538" s="12" t="inlineStr">
        <is>
          <t>K</t>
        </is>
      </c>
      <c r="C5538" s="12" t="inlineStr">
        <is>
          <t>Fuel supply (adjacent market)</t>
        </is>
      </c>
      <c r="D5538" s="12" t="inlineStr">
        <is>
          <t>Home run JB-LNG-T1-AI01 to the control / marshalling room</t>
        </is>
      </c>
      <c r="E5538" s="12" t="inlineStr"/>
      <c r="F5538" s="12" t="inlineStr">
        <is>
          <t>LNG 17: LNG e-house (13.8 kV / 480 V)</t>
        </is>
      </c>
      <c r="G5538" s="12" t="inlineStr">
        <is>
          <t>JB-LNG-T1-AI01</t>
        </is>
      </c>
      <c r="H5538" s="12" t="inlineStr">
        <is>
          <t>LNG 11: tank 1, Chart HS 50000 (51,780 gal)</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210</v>
      </c>
      <c r="U5538" s="16" t="n">
        <v>32</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K-I-0101</t>
        </is>
      </c>
      <c r="B5539" s="12" t="inlineStr">
        <is>
          <t>K</t>
        </is>
      </c>
      <c r="C5539" s="12" t="inlineStr">
        <is>
          <t>Fuel supply (adjacent market)</t>
        </is>
      </c>
      <c r="D5539" s="12" t="inlineStr">
        <is>
          <t>Discrete device to JB JB-LNG-T1-DI01: 4 x 1 pr (field cables)</t>
        </is>
      </c>
      <c r="E5539" s="12" t="inlineStr">
        <is>
          <t>LNG-T1</t>
        </is>
      </c>
      <c r="F5539" s="12" t="inlineStr">
        <is>
          <t>LNG 11: tank 1, Chart HS 50000 (51,780 gal)</t>
        </is>
      </c>
      <c r="G5539" s="12" t="inlineStr">
        <is>
          <t>JB-LNG-T1-DI01</t>
        </is>
      </c>
      <c r="H5539" s="12" t="inlineStr">
        <is>
          <t>LNG 11: tank 1, Chart HS 50000 (51,780 gal)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4</v>
      </c>
      <c r="O5539" s="12" t="n">
        <v>1</v>
      </c>
      <c r="P5539" s="12" t="n"/>
      <c r="Q5539" s="12" t="n"/>
      <c r="R5539" s="12" t="n"/>
      <c r="S5539" s="12" t="inlineStr">
        <is>
          <t>Tray / conduit</t>
        </is>
      </c>
      <c r="T5539" s="16" t="n">
        <v>77</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K-I-0102</t>
        </is>
      </c>
      <c r="B5540" s="12" t="inlineStr">
        <is>
          <t>K</t>
        </is>
      </c>
      <c r="C5540" s="12" t="inlineStr">
        <is>
          <t>Fuel supply (adjacent market)</t>
        </is>
      </c>
      <c r="D5540" s="12" t="inlineStr">
        <is>
          <t>Home run JB-LNG-T1-DI01 to the control / marshalling room</t>
        </is>
      </c>
      <c r="E5540" s="12" t="inlineStr"/>
      <c r="F5540" s="12" t="inlineStr">
        <is>
          <t>LNG 17: LNG e-house (13.8 kV / 480 V)</t>
        </is>
      </c>
      <c r="G5540" s="12" t="inlineStr">
        <is>
          <t>JB-LNG-T1-DI01</t>
        </is>
      </c>
      <c r="H5540" s="12" t="inlineStr">
        <is>
          <t>LNG 11: tank 1, Chart HS 50000 (51,780 gal)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210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K-I-0103</t>
        </is>
      </c>
      <c r="B5541" s="12" t="inlineStr">
        <is>
          <t>K</t>
        </is>
      </c>
      <c r="C5541" s="12" t="inlineStr">
        <is>
          <t>Fuel supply (adjacent market)</t>
        </is>
      </c>
      <c r="D5541" s="12" t="inlineStr">
        <is>
          <t>Analog instrument to JB JB-LNG-T2-AI01: 4 x 1 pr (field cables)</t>
        </is>
      </c>
      <c r="E5541" s="12" t="inlineStr">
        <is>
          <t>LNG-T2</t>
        </is>
      </c>
      <c r="F5541" s="12" t="inlineStr">
        <is>
          <t>LNG 11: tank 2, Chart HS 50000 (51,780 gal)</t>
        </is>
      </c>
      <c r="G5541" s="12" t="inlineStr">
        <is>
          <t>JB-LNG-T2-AI01</t>
        </is>
      </c>
      <c r="H5541" s="12" t="inlineStr">
        <is>
          <t>LNG 11: tank 2, Chart HS 50000 (51,780 gal)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4</v>
      </c>
      <c r="O5541" s="12" t="n">
        <v>1</v>
      </c>
      <c r="P5541" s="12" t="n"/>
      <c r="Q5541" s="12" t="n"/>
      <c r="R5541" s="12" t="n"/>
      <c r="S5541" s="12" t="inlineStr">
        <is>
          <t>Tray / conduit</t>
        </is>
      </c>
      <c r="T5541" s="16" t="n">
        <v>77</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K-I-0104</t>
        </is>
      </c>
      <c r="B5542" s="12" t="inlineStr">
        <is>
          <t>K</t>
        </is>
      </c>
      <c r="C5542" s="12" t="inlineStr">
        <is>
          <t>Fuel supply (adjacent market)</t>
        </is>
      </c>
      <c r="D5542" s="12" t="inlineStr">
        <is>
          <t>Home run JB-LNG-T2-AI01 to the control / marshalling room</t>
        </is>
      </c>
      <c r="E5542" s="12" t="inlineStr"/>
      <c r="F5542" s="12" t="inlineStr">
        <is>
          <t>LNG 17: LNG e-house (13.8 kV / 480 V)</t>
        </is>
      </c>
      <c r="G5542" s="12" t="inlineStr">
        <is>
          <t>JB-LNG-T2-AI01</t>
        </is>
      </c>
      <c r="H5542" s="12" t="inlineStr">
        <is>
          <t>LNG 11: tank 2, Chart HS 50000 (51,780 gal)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230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K-I-0105</t>
        </is>
      </c>
      <c r="B5543" s="12" t="inlineStr">
        <is>
          <t>K</t>
        </is>
      </c>
      <c r="C5543" s="12" t="inlineStr">
        <is>
          <t>Fuel supply (adjacent market)</t>
        </is>
      </c>
      <c r="D5543" s="12" t="inlineStr">
        <is>
          <t>Discrete device to JB JB-LNG-T2-DI01: 4 x 1 pr (field cables)</t>
        </is>
      </c>
      <c r="E5543" s="12" t="inlineStr">
        <is>
          <t>LNG-T2</t>
        </is>
      </c>
      <c r="F5543" s="12" t="inlineStr">
        <is>
          <t>LNG 11: tank 2, Chart HS 50000 (51,780 gal)</t>
        </is>
      </c>
      <c r="G5543" s="12" t="inlineStr">
        <is>
          <t>JB-LNG-T2-DI01</t>
        </is>
      </c>
      <c r="H5543" s="12" t="inlineStr">
        <is>
          <t>LNG 11: tank 2, Chart HS 50000 (51,780 gal)</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4</v>
      </c>
      <c r="O5543" s="12" t="n">
        <v>1</v>
      </c>
      <c r="P5543" s="12" t="n"/>
      <c r="Q5543" s="12" t="n"/>
      <c r="R5543" s="12" t="n"/>
      <c r="S5543" s="12" t="inlineStr">
        <is>
          <t>Tray / conduit</t>
        </is>
      </c>
      <c r="T5543" s="16" t="n">
        <v>77</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K-I-0106</t>
        </is>
      </c>
      <c r="B5544" s="12" t="inlineStr">
        <is>
          <t>K</t>
        </is>
      </c>
      <c r="C5544" s="12" t="inlineStr">
        <is>
          <t>Fuel supply (adjacent market)</t>
        </is>
      </c>
      <c r="D5544" s="12" t="inlineStr">
        <is>
          <t>Home run JB-LNG-T2-DI01 to the control / marshalling room</t>
        </is>
      </c>
      <c r="E5544" s="12" t="inlineStr"/>
      <c r="F5544" s="12" t="inlineStr">
        <is>
          <t>LNG 17: LNG e-house (13.8 kV / 480 V)</t>
        </is>
      </c>
      <c r="G5544" s="12" t="inlineStr">
        <is>
          <t>JB-LNG-T2-DI01</t>
        </is>
      </c>
      <c r="H5544" s="12" t="inlineStr">
        <is>
          <t>LNG 11: tank 2, Chart HS 50000 (51,780 gal)</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6" t="n">
        <v>230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K-I-0107</t>
        </is>
      </c>
      <c r="B5545" s="12" t="inlineStr">
        <is>
          <t>K</t>
        </is>
      </c>
      <c r="C5545" s="12" t="inlineStr">
        <is>
          <t>Fuel supply (adjacent market)</t>
        </is>
      </c>
      <c r="D5545" s="12" t="inlineStr">
        <is>
          <t>Analog instrument to JB JB-LNG-T3-AI01: 4 x 1 pr (field cables)</t>
        </is>
      </c>
      <c r="E5545" s="12" t="inlineStr">
        <is>
          <t>LNG-T3</t>
        </is>
      </c>
      <c r="F5545" s="12" t="inlineStr">
        <is>
          <t>LNG 11: tank 3, Chart HS 50000 (51,780 gal)</t>
        </is>
      </c>
      <c r="G5545" s="12" t="inlineStr">
        <is>
          <t>JB-LNG-T3-AI01</t>
        </is>
      </c>
      <c r="H5545" s="12" t="inlineStr">
        <is>
          <t>LNG 11: tank 3, Chart HS 50000 (51,780 gal)</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4</v>
      </c>
      <c r="O5545" s="12" t="n">
        <v>1</v>
      </c>
      <c r="P5545" s="12" t="n"/>
      <c r="Q5545" s="12" t="n"/>
      <c r="R5545" s="12" t="n"/>
      <c r="S5545" s="12" t="inlineStr">
        <is>
          <t>Tray / conduit</t>
        </is>
      </c>
      <c r="T5545" s="16" t="n">
        <v>77</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K-I-0108</t>
        </is>
      </c>
      <c r="B5546" s="12" t="inlineStr">
        <is>
          <t>K</t>
        </is>
      </c>
      <c r="C5546" s="12" t="inlineStr">
        <is>
          <t>Fuel supply (adjacent market)</t>
        </is>
      </c>
      <c r="D5546" s="12" t="inlineStr">
        <is>
          <t>Home run JB-LNG-T3-AI01 to the control / marshalling room</t>
        </is>
      </c>
      <c r="E5546" s="12" t="inlineStr"/>
      <c r="F5546" s="12" t="inlineStr">
        <is>
          <t>LNG 17: LNG e-house (13.8 kV / 480 V)</t>
        </is>
      </c>
      <c r="G5546" s="12" t="inlineStr">
        <is>
          <t>JB-LNG-T3-AI01</t>
        </is>
      </c>
      <c r="H5546" s="12" t="inlineStr">
        <is>
          <t>LNG 11: tank 3, Chart HS 50000 (51,780 gal)</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6" t="n">
        <v>250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K-I-0109</t>
        </is>
      </c>
      <c r="B5547" s="12" t="inlineStr">
        <is>
          <t>K</t>
        </is>
      </c>
      <c r="C5547" s="12" t="inlineStr">
        <is>
          <t>Fuel supply (adjacent market)</t>
        </is>
      </c>
      <c r="D5547" s="12" t="inlineStr">
        <is>
          <t>Discrete device to JB JB-LNG-T3-DI01: 4 x 1 pr (field cables)</t>
        </is>
      </c>
      <c r="E5547" s="12" t="inlineStr">
        <is>
          <t>LNG-T3</t>
        </is>
      </c>
      <c r="F5547" s="12" t="inlineStr">
        <is>
          <t>LNG 11: tank 3, Chart HS 50000 (51,780 gal)</t>
        </is>
      </c>
      <c r="G5547" s="12" t="inlineStr">
        <is>
          <t>JB-LNG-T3-DI01</t>
        </is>
      </c>
      <c r="H5547" s="12" t="inlineStr">
        <is>
          <t>LNG 11: tank 3, Chart HS 50000 (51,780 gal)</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4</v>
      </c>
      <c r="O5547" s="12" t="n">
        <v>1</v>
      </c>
      <c r="P5547" s="12" t="n"/>
      <c r="Q5547" s="12" t="n"/>
      <c r="R5547" s="12" t="n"/>
      <c r="S5547" s="12" t="inlineStr">
        <is>
          <t>Tray / conduit</t>
        </is>
      </c>
      <c r="T5547" s="16" t="n">
        <v>77</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K-I-0110</t>
        </is>
      </c>
      <c r="B5548" s="12" t="inlineStr">
        <is>
          <t>K</t>
        </is>
      </c>
      <c r="C5548" s="12" t="inlineStr">
        <is>
          <t>Fuel supply (adjacent market)</t>
        </is>
      </c>
      <c r="D5548" s="12" t="inlineStr">
        <is>
          <t>Home run JB-LNG-T3-DI01 to the control / marshalling room</t>
        </is>
      </c>
      <c r="E5548" s="12" t="inlineStr"/>
      <c r="F5548" s="12" t="inlineStr">
        <is>
          <t>LNG 17: LNG e-house (13.8 kV / 480 V)</t>
        </is>
      </c>
      <c r="G5548" s="12" t="inlineStr">
        <is>
          <t>JB-LNG-T3-DI01</t>
        </is>
      </c>
      <c r="H5548" s="12" t="inlineStr">
        <is>
          <t>LNG 11: tank 3, Chart HS 50000 (51,780 gal)</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250</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K-I-0111</t>
        </is>
      </c>
      <c r="B5549" s="12" t="inlineStr">
        <is>
          <t>K</t>
        </is>
      </c>
      <c r="C5549" s="12" t="inlineStr">
        <is>
          <t>Fuel supply (adjacent market)</t>
        </is>
      </c>
      <c r="D5549" s="12" t="inlineStr">
        <is>
          <t>Analog instrument to JB JB-LNG-T4-AI01: 4 x 1 pr (field cables)</t>
        </is>
      </c>
      <c r="E5549" s="12" t="inlineStr">
        <is>
          <t>LNG-T4</t>
        </is>
      </c>
      <c r="F5549" s="12" t="inlineStr">
        <is>
          <t>LNG 11: tank 4, Chart HS 50000 (51,780 gal)</t>
        </is>
      </c>
      <c r="G5549" s="12" t="inlineStr">
        <is>
          <t>JB-LNG-T4-AI01</t>
        </is>
      </c>
      <c r="H5549" s="12" t="inlineStr">
        <is>
          <t>LNG 11: tank 4, Chart HS 50000 (51,780 gal)</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4</v>
      </c>
      <c r="O5549" s="12" t="n">
        <v>1</v>
      </c>
      <c r="P5549" s="12" t="n"/>
      <c r="Q5549" s="12" t="n"/>
      <c r="R5549" s="12" t="n"/>
      <c r="S5549" s="12" t="inlineStr">
        <is>
          <t>Tray / conduit</t>
        </is>
      </c>
      <c r="T5549" s="16" t="n">
        <v>77</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K-I-0112</t>
        </is>
      </c>
      <c r="B5550" s="12" t="inlineStr">
        <is>
          <t>K</t>
        </is>
      </c>
      <c r="C5550" s="12" t="inlineStr">
        <is>
          <t>Fuel supply (adjacent market)</t>
        </is>
      </c>
      <c r="D5550" s="12" t="inlineStr">
        <is>
          <t>Home run JB-LNG-T4-AI01 to the control / marshalling room</t>
        </is>
      </c>
      <c r="E5550" s="12" t="inlineStr"/>
      <c r="F5550" s="12" t="inlineStr">
        <is>
          <t>LNG 17: LNG e-house (13.8 kV / 480 V)</t>
        </is>
      </c>
      <c r="G5550" s="12" t="inlineStr">
        <is>
          <t>JB-LNG-T4-AI01</t>
        </is>
      </c>
      <c r="H5550" s="12" t="inlineStr">
        <is>
          <t>LNG 11: tank 4, Chart HS 50000 (51,780 gal)</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270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K-I-0113</t>
        </is>
      </c>
      <c r="B5551" s="12" t="inlineStr">
        <is>
          <t>K</t>
        </is>
      </c>
      <c r="C5551" s="12" t="inlineStr">
        <is>
          <t>Fuel supply (adjacent market)</t>
        </is>
      </c>
      <c r="D5551" s="12" t="inlineStr">
        <is>
          <t>Discrete device to JB JB-LNG-T4-DI01: 4 x 1 pr (field cables)</t>
        </is>
      </c>
      <c r="E5551" s="12" t="inlineStr">
        <is>
          <t>LNG-T4</t>
        </is>
      </c>
      <c r="F5551" s="12" t="inlineStr">
        <is>
          <t>LNG 11: tank 4, Chart HS 50000 (51,780 gal)</t>
        </is>
      </c>
      <c r="G5551" s="12" t="inlineStr">
        <is>
          <t>JB-LNG-T4-DI01</t>
        </is>
      </c>
      <c r="H5551" s="12" t="inlineStr">
        <is>
          <t>LNG 11: tank 4, Chart HS 50000 (51,780 gal)</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4</v>
      </c>
      <c r="O5551" s="12" t="n">
        <v>1</v>
      </c>
      <c r="P5551" s="12" t="n"/>
      <c r="Q5551" s="12" t="n"/>
      <c r="R5551" s="12" t="n"/>
      <c r="S5551" s="12" t="inlineStr">
        <is>
          <t>Tray / conduit</t>
        </is>
      </c>
      <c r="T5551" s="16" t="n">
        <v>77</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K-I-0114</t>
        </is>
      </c>
      <c r="B5552" s="12" t="inlineStr">
        <is>
          <t>K</t>
        </is>
      </c>
      <c r="C5552" s="12" t="inlineStr">
        <is>
          <t>Fuel supply (adjacent market)</t>
        </is>
      </c>
      <c r="D5552" s="12" t="inlineStr">
        <is>
          <t>Home run JB-LNG-T4-DI01 to the control / marshalling room</t>
        </is>
      </c>
      <c r="E5552" s="12" t="inlineStr"/>
      <c r="F5552" s="12" t="inlineStr">
        <is>
          <t>LNG 17: LNG e-house (13.8 kV / 480 V)</t>
        </is>
      </c>
      <c r="G5552" s="12" t="inlineStr">
        <is>
          <t>JB-LNG-T4-DI01</t>
        </is>
      </c>
      <c r="H5552" s="12" t="inlineStr">
        <is>
          <t>LNG 11: tank 4, Chart HS 50000 (51,780 gal)</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6" t="n">
        <v>270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K-I-0115</t>
        </is>
      </c>
      <c r="B5553" s="12" t="inlineStr">
        <is>
          <t>K</t>
        </is>
      </c>
      <c r="C5553" s="12" t="inlineStr">
        <is>
          <t>Fuel supply (adjacent market)</t>
        </is>
      </c>
      <c r="D5553" s="12" t="inlineStr">
        <is>
          <t>Analog instrument to JB JB-LNG-T5-AI01: 4 x 1 pr (field cables)</t>
        </is>
      </c>
      <c r="E5553" s="12" t="inlineStr">
        <is>
          <t>LNG-T5</t>
        </is>
      </c>
      <c r="F5553" s="12" t="inlineStr">
        <is>
          <t>LNG 11: tank 5, Chart HS 50000 (51,780 gal)</t>
        </is>
      </c>
      <c r="G5553" s="12" t="inlineStr">
        <is>
          <t>JB-LNG-T5-AI01</t>
        </is>
      </c>
      <c r="H5553" s="12" t="inlineStr">
        <is>
          <t>LNG 11: tank 5, Chart HS 50000 (51,780 gal)</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4</v>
      </c>
      <c r="O5553" s="12" t="n">
        <v>1</v>
      </c>
      <c r="P5553" s="12" t="n"/>
      <c r="Q5553" s="12" t="n"/>
      <c r="R5553" s="12" t="n"/>
      <c r="S5553" s="12" t="inlineStr">
        <is>
          <t>Tray / conduit</t>
        </is>
      </c>
      <c r="T5553" s="16" t="n">
        <v>77</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K-I-0116</t>
        </is>
      </c>
      <c r="B5554" s="12" t="inlineStr">
        <is>
          <t>K</t>
        </is>
      </c>
      <c r="C5554" s="12" t="inlineStr">
        <is>
          <t>Fuel supply (adjacent market)</t>
        </is>
      </c>
      <c r="D5554" s="12" t="inlineStr">
        <is>
          <t>Home run JB-LNG-T5-AI01 to the control / marshalling room</t>
        </is>
      </c>
      <c r="E5554" s="12" t="inlineStr"/>
      <c r="F5554" s="12" t="inlineStr">
        <is>
          <t>LNG 17: LNG e-house (13.8 kV / 480 V)</t>
        </is>
      </c>
      <c r="G5554" s="12" t="inlineStr">
        <is>
          <t>JB-LNG-T5-AI01</t>
        </is>
      </c>
      <c r="H5554" s="12" t="inlineStr">
        <is>
          <t>LNG 11: tank 5, Chart HS 50000 (51,780 gal)</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290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K-I-0117</t>
        </is>
      </c>
      <c r="B5555" s="12" t="inlineStr">
        <is>
          <t>K</t>
        </is>
      </c>
      <c r="C5555" s="12" t="inlineStr">
        <is>
          <t>Fuel supply (adjacent market)</t>
        </is>
      </c>
      <c r="D5555" s="12" t="inlineStr">
        <is>
          <t>Discrete device to JB JB-LNG-T5-DI01: 4 x 1 pr (field cables)</t>
        </is>
      </c>
      <c r="E5555" s="12" t="inlineStr">
        <is>
          <t>LNG-T5</t>
        </is>
      </c>
      <c r="F5555" s="12" t="inlineStr">
        <is>
          <t>LNG 11: tank 5, Chart HS 50000 (51,780 gal)</t>
        </is>
      </c>
      <c r="G5555" s="12" t="inlineStr">
        <is>
          <t>JB-LNG-T5-DI01</t>
        </is>
      </c>
      <c r="H5555" s="12" t="inlineStr">
        <is>
          <t>LNG 11: tank 5, Chart HS 50000 (51,780 gal)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4</v>
      </c>
      <c r="O5555" s="12" t="n">
        <v>1</v>
      </c>
      <c r="P5555" s="12" t="n"/>
      <c r="Q5555" s="12" t="n"/>
      <c r="R5555" s="12" t="n"/>
      <c r="S5555" s="12" t="inlineStr">
        <is>
          <t>Tray / conduit</t>
        </is>
      </c>
      <c r="T5555" s="16" t="n">
        <v>77</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K-I-0118</t>
        </is>
      </c>
      <c r="B5556" s="12" t="inlineStr">
        <is>
          <t>K</t>
        </is>
      </c>
      <c r="C5556" s="12" t="inlineStr">
        <is>
          <t>Fuel supply (adjacent market)</t>
        </is>
      </c>
      <c r="D5556" s="12" t="inlineStr">
        <is>
          <t>Home run JB-LNG-T5-DI01 to the control / marshalling room</t>
        </is>
      </c>
      <c r="E5556" s="12" t="inlineStr"/>
      <c r="F5556" s="12" t="inlineStr">
        <is>
          <t>LNG 17: LNG e-house (13.8 kV / 480 V)</t>
        </is>
      </c>
      <c r="G5556" s="12" t="inlineStr">
        <is>
          <t>JB-LNG-T5-DI01</t>
        </is>
      </c>
      <c r="H5556" s="12" t="inlineStr">
        <is>
          <t>LNG 11: tank 5, Chart HS 50000 (51,780 gal)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290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K-I-0119</t>
        </is>
      </c>
      <c r="B5557" s="12" t="inlineStr">
        <is>
          <t>K</t>
        </is>
      </c>
      <c r="C5557" s="12" t="inlineStr">
        <is>
          <t>Fuel supply (adjacent market)</t>
        </is>
      </c>
      <c r="D5557" s="12" t="inlineStr">
        <is>
          <t>Analog instrument to JB JB-LNG-T6-AI01: 4 x 1 pr (field cables)</t>
        </is>
      </c>
      <c r="E5557" s="12" t="inlineStr">
        <is>
          <t>LNG-T6</t>
        </is>
      </c>
      <c r="F5557" s="12" t="inlineStr">
        <is>
          <t>LNG 11: tank 6, Chart HS 50000 (51,780 gal)</t>
        </is>
      </c>
      <c r="G5557" s="12" t="inlineStr">
        <is>
          <t>JB-LNG-T6-AI01</t>
        </is>
      </c>
      <c r="H5557" s="12" t="inlineStr">
        <is>
          <t>LNG 11: tank 6, Chart HS 50000 (51,780 gal)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4</v>
      </c>
      <c r="O5557" s="12" t="n">
        <v>1</v>
      </c>
      <c r="P5557" s="12" t="n"/>
      <c r="Q5557" s="12" t="n"/>
      <c r="R5557" s="12" t="n"/>
      <c r="S5557" s="12" t="inlineStr">
        <is>
          <t>Tray / conduit</t>
        </is>
      </c>
      <c r="T5557" s="16" t="n">
        <v>77</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K-I-0120</t>
        </is>
      </c>
      <c r="B5558" s="12" t="inlineStr">
        <is>
          <t>K</t>
        </is>
      </c>
      <c r="C5558" s="12" t="inlineStr">
        <is>
          <t>Fuel supply (adjacent market)</t>
        </is>
      </c>
      <c r="D5558" s="12" t="inlineStr">
        <is>
          <t>Home run JB-LNG-T6-AI01 to the control / marshalling room</t>
        </is>
      </c>
      <c r="E5558" s="12" t="inlineStr"/>
      <c r="F5558" s="12" t="inlineStr">
        <is>
          <t>LNG 17: LNG e-house (13.8 kV / 480 V)</t>
        </is>
      </c>
      <c r="G5558" s="12" t="inlineStr">
        <is>
          <t>JB-LNG-T6-AI01</t>
        </is>
      </c>
      <c r="H5558" s="12" t="inlineStr">
        <is>
          <t>LNG 11: tank 6, Chart HS 50000 (51,780 gal)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310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K-I-0121</t>
        </is>
      </c>
      <c r="B5559" s="12" t="inlineStr">
        <is>
          <t>K</t>
        </is>
      </c>
      <c r="C5559" s="12" t="inlineStr">
        <is>
          <t>Fuel supply (adjacent market)</t>
        </is>
      </c>
      <c r="D5559" s="12" t="inlineStr">
        <is>
          <t>Discrete device to JB JB-LNG-T6-DI01: 4 x 1 pr (field cables)</t>
        </is>
      </c>
      <c r="E5559" s="12" t="inlineStr">
        <is>
          <t>LNG-T6</t>
        </is>
      </c>
      <c r="F5559" s="12" t="inlineStr">
        <is>
          <t>LNG 11: tank 6, Chart HS 50000 (51,780 gal)</t>
        </is>
      </c>
      <c r="G5559" s="12" t="inlineStr">
        <is>
          <t>JB-LNG-T6-DI01</t>
        </is>
      </c>
      <c r="H5559" s="12" t="inlineStr">
        <is>
          <t>LNG 11: tank 6, Chart HS 50000 (51,780 gal)</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4</v>
      </c>
      <c r="O5559" s="12" t="n">
        <v>1</v>
      </c>
      <c r="P5559" s="12" t="n"/>
      <c r="Q5559" s="12" t="n"/>
      <c r="R5559" s="12" t="n"/>
      <c r="S5559" s="12" t="inlineStr">
        <is>
          <t>Tray / conduit</t>
        </is>
      </c>
      <c r="T5559" s="16" t="n">
        <v>77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K-I-0122</t>
        </is>
      </c>
      <c r="B5560" s="12" t="inlineStr">
        <is>
          <t>K</t>
        </is>
      </c>
      <c r="C5560" s="12" t="inlineStr">
        <is>
          <t>Fuel supply (adjacent market)</t>
        </is>
      </c>
      <c r="D5560" s="12" t="inlineStr">
        <is>
          <t>Home run JB-LNG-T6-DI01 to the control / marshalling room</t>
        </is>
      </c>
      <c r="E5560" s="12" t="inlineStr"/>
      <c r="F5560" s="12" t="inlineStr">
        <is>
          <t>LNG 17: LNG e-house (13.8 kV / 480 V)</t>
        </is>
      </c>
      <c r="G5560" s="12" t="inlineStr">
        <is>
          <t>JB-LNG-T6-DI01</t>
        </is>
      </c>
      <c r="H5560" s="12" t="inlineStr">
        <is>
          <t>LNG 11: tank 6, Chart HS 50000 (51,780 gal)</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6" t="n">
        <v>310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K-I-0123</t>
        </is>
      </c>
      <c r="B5561" s="12" t="inlineStr">
        <is>
          <t>K</t>
        </is>
      </c>
      <c r="C5561" s="12" t="inlineStr">
        <is>
          <t>Fuel supply (adjacent market)</t>
        </is>
      </c>
      <c r="D5561" s="12" t="inlineStr">
        <is>
          <t>Analog instrument to JB JB-LNG-T7-AI01: 4 x 1 pr (field cables)</t>
        </is>
      </c>
      <c r="E5561" s="12" t="inlineStr">
        <is>
          <t>LNG-T7</t>
        </is>
      </c>
      <c r="F5561" s="12" t="inlineStr">
        <is>
          <t>LNG 11: tank 7, Chart HS 50000 (51,780 gal)</t>
        </is>
      </c>
      <c r="G5561" s="12" t="inlineStr">
        <is>
          <t>JB-LNG-T7-AI01</t>
        </is>
      </c>
      <c r="H5561" s="12" t="inlineStr">
        <is>
          <t>LNG 11: tank 7, Chart HS 50000 (51,780 gal)</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4</v>
      </c>
      <c r="O5561" s="12" t="n">
        <v>1</v>
      </c>
      <c r="P5561" s="12" t="n"/>
      <c r="Q5561" s="12" t="n"/>
      <c r="R5561" s="12" t="n"/>
      <c r="S5561" s="12" t="inlineStr">
        <is>
          <t>Tray / conduit</t>
        </is>
      </c>
      <c r="T5561" s="16" t="n">
        <v>77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K-I-0124</t>
        </is>
      </c>
      <c r="B5562" s="12" t="inlineStr">
        <is>
          <t>K</t>
        </is>
      </c>
      <c r="C5562" s="12" t="inlineStr">
        <is>
          <t>Fuel supply (adjacent market)</t>
        </is>
      </c>
      <c r="D5562" s="12" t="inlineStr">
        <is>
          <t>Home run JB-LNG-T7-AI01 to the control / marshalling room</t>
        </is>
      </c>
      <c r="E5562" s="12" t="inlineStr"/>
      <c r="F5562" s="12" t="inlineStr">
        <is>
          <t>LNG 17: LNG e-house (13.8 kV / 480 V)</t>
        </is>
      </c>
      <c r="G5562" s="12" t="inlineStr">
        <is>
          <t>JB-LNG-T7-AI01</t>
        </is>
      </c>
      <c r="H5562" s="12" t="inlineStr">
        <is>
          <t>LNG 11: tank 7, Chart HS 50000 (51,780 gal)</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6" t="n">
        <v>330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K-I-0125</t>
        </is>
      </c>
      <c r="B5563" s="12" t="inlineStr">
        <is>
          <t>K</t>
        </is>
      </c>
      <c r="C5563" s="12" t="inlineStr">
        <is>
          <t>Fuel supply (adjacent market)</t>
        </is>
      </c>
      <c r="D5563" s="12" t="inlineStr">
        <is>
          <t>Discrete device to JB JB-LNG-T7-DI01: 4 x 1 pr (field cables)</t>
        </is>
      </c>
      <c r="E5563" s="12" t="inlineStr">
        <is>
          <t>LNG-T7</t>
        </is>
      </c>
      <c r="F5563" s="12" t="inlineStr">
        <is>
          <t>LNG 11: tank 7, Chart HS 50000 (51,780 gal)</t>
        </is>
      </c>
      <c r="G5563" s="12" t="inlineStr">
        <is>
          <t>JB-LNG-T7-DI01</t>
        </is>
      </c>
      <c r="H5563" s="12" t="inlineStr">
        <is>
          <t>LNG 11: tank 7, Chart HS 50000 (51,780 gal)</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4</v>
      </c>
      <c r="O5563" s="12" t="n">
        <v>1</v>
      </c>
      <c r="P5563" s="12" t="n"/>
      <c r="Q5563" s="12" t="n"/>
      <c r="R5563" s="12" t="n"/>
      <c r="S5563" s="12" t="inlineStr">
        <is>
          <t>Tray / conduit</t>
        </is>
      </c>
      <c r="T5563" s="16" t="n">
        <v>77</v>
      </c>
      <c r="U5563" s="16" t="n">
        <v>10</v>
      </c>
      <c r="V5563" s="16">
        <f>ROUNDUP((T5563+U5563+2*'Read Me'!$B$13)*(1+'Read Me'!$B$12),-1)</f>
        <v/>
      </c>
      <c r="W5563" s="16">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K-I-0126</t>
        </is>
      </c>
      <c r="B5564" s="12" t="inlineStr">
        <is>
          <t>K</t>
        </is>
      </c>
      <c r="C5564" s="12" t="inlineStr">
        <is>
          <t>Fuel supply (adjacent market)</t>
        </is>
      </c>
      <c r="D5564" s="12" t="inlineStr">
        <is>
          <t>Home run JB-LNG-T7-DI01 to the control / marshalling room</t>
        </is>
      </c>
      <c r="E5564" s="12" t="inlineStr"/>
      <c r="F5564" s="12" t="inlineStr">
        <is>
          <t>LNG 17: LNG e-house (13.8 kV / 480 V)</t>
        </is>
      </c>
      <c r="G5564" s="12" t="inlineStr">
        <is>
          <t>JB-LNG-T7-DI01</t>
        </is>
      </c>
      <c r="H5564" s="12" t="inlineStr">
        <is>
          <t>LNG 11: tank 7, Chart HS 50000 (51,780 gal)</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6" t="n">
        <v>330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K-I-0127</t>
        </is>
      </c>
      <c r="B5565" s="12" t="inlineStr">
        <is>
          <t>K</t>
        </is>
      </c>
      <c r="C5565" s="12" t="inlineStr">
        <is>
          <t>Fuel supply (adjacent market)</t>
        </is>
      </c>
      <c r="D5565" s="12" t="inlineStr">
        <is>
          <t>Analog instrument to JB JB-LNG-T8-AI01: 4 x 1 pr (field cables)</t>
        </is>
      </c>
      <c r="E5565" s="12" t="inlineStr">
        <is>
          <t>LNG-T8</t>
        </is>
      </c>
      <c r="F5565" s="12" t="inlineStr">
        <is>
          <t>LNG 11: tank 8, Chart HS 50000 (51,780 gal)</t>
        </is>
      </c>
      <c r="G5565" s="12" t="inlineStr">
        <is>
          <t>JB-LNG-T8-AI01</t>
        </is>
      </c>
      <c r="H5565" s="12" t="inlineStr">
        <is>
          <t>LNG 11: tank 8, Chart HS 50000 (51,780 gal)</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4</v>
      </c>
      <c r="O5565" s="12" t="n">
        <v>1</v>
      </c>
      <c r="P5565" s="12" t="n"/>
      <c r="Q5565" s="12" t="n"/>
      <c r="R5565" s="12" t="n"/>
      <c r="S5565" s="12" t="inlineStr">
        <is>
          <t>Tray / conduit</t>
        </is>
      </c>
      <c r="T5565" s="16" t="n">
        <v>77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K-I-0128</t>
        </is>
      </c>
      <c r="B5566" s="12" t="inlineStr">
        <is>
          <t>K</t>
        </is>
      </c>
      <c r="C5566" s="12" t="inlineStr">
        <is>
          <t>Fuel supply (adjacent market)</t>
        </is>
      </c>
      <c r="D5566" s="12" t="inlineStr">
        <is>
          <t>Home run JB-LNG-T8-AI01 to the control / marshalling room</t>
        </is>
      </c>
      <c r="E5566" s="12" t="inlineStr"/>
      <c r="F5566" s="12" t="inlineStr">
        <is>
          <t>LNG 17: LNG e-house (13.8 kV / 480 V)</t>
        </is>
      </c>
      <c r="G5566" s="12" t="inlineStr">
        <is>
          <t>JB-LNG-T8-AI01</t>
        </is>
      </c>
      <c r="H5566" s="12" t="inlineStr">
        <is>
          <t>LNG 11: tank 8, Chart HS 50000 (51,780 gal)</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350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K-I-0129</t>
        </is>
      </c>
      <c r="B5567" s="12" t="inlineStr">
        <is>
          <t>K</t>
        </is>
      </c>
      <c r="C5567" s="12" t="inlineStr">
        <is>
          <t>Fuel supply (adjacent market)</t>
        </is>
      </c>
      <c r="D5567" s="12" t="inlineStr">
        <is>
          <t>Discrete device to JB JB-LNG-T8-DI01: 4 x 1 pr (field cables)</t>
        </is>
      </c>
      <c r="E5567" s="12" t="inlineStr">
        <is>
          <t>LNG-T8</t>
        </is>
      </c>
      <c r="F5567" s="12" t="inlineStr">
        <is>
          <t>LNG 11: tank 8, Chart HS 50000 (51,780 gal)</t>
        </is>
      </c>
      <c r="G5567" s="12" t="inlineStr">
        <is>
          <t>JB-LNG-T8-DI01</t>
        </is>
      </c>
      <c r="H5567" s="12" t="inlineStr">
        <is>
          <t>LNG 11: tank 8, Chart HS 50000 (51,780 gal)</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4</v>
      </c>
      <c r="O5567" s="12" t="n">
        <v>1</v>
      </c>
      <c r="P5567" s="12" t="n"/>
      <c r="Q5567" s="12" t="n"/>
      <c r="R5567" s="12" t="n"/>
      <c r="S5567" s="12" t="inlineStr">
        <is>
          <t>Tray / conduit</t>
        </is>
      </c>
      <c r="T5567" s="16" t="n">
        <v>77</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K-I-0130</t>
        </is>
      </c>
      <c r="B5568" s="12" t="inlineStr">
        <is>
          <t>K</t>
        </is>
      </c>
      <c r="C5568" s="12" t="inlineStr">
        <is>
          <t>Fuel supply (adjacent market)</t>
        </is>
      </c>
      <c r="D5568" s="12" t="inlineStr">
        <is>
          <t>Home run JB-LNG-T8-DI01 to the control / marshalling room</t>
        </is>
      </c>
      <c r="E5568" s="12" t="inlineStr"/>
      <c r="F5568" s="12" t="inlineStr">
        <is>
          <t>LNG 17: LNG e-house (13.8 kV / 480 V)</t>
        </is>
      </c>
      <c r="G5568" s="12" t="inlineStr">
        <is>
          <t>JB-LNG-T8-DI01</t>
        </is>
      </c>
      <c r="H5568" s="12" t="inlineStr">
        <is>
          <t>LNG 11: tank 8, Chart HS 50000 (51,780 gal)</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350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K-I-0131</t>
        </is>
      </c>
      <c r="B5569" s="12" t="inlineStr">
        <is>
          <t>K</t>
        </is>
      </c>
      <c r="C5569" s="12" t="inlineStr">
        <is>
          <t>Fuel supply (adjacent market)</t>
        </is>
      </c>
      <c r="D5569" s="12" t="inlineStr">
        <is>
          <t>Analog instrument to JB JB-LNG 12: spill impo-AI01: 12 x 1 pr (field cables)</t>
        </is>
      </c>
      <c r="E5569" s="12" t="inlineStr"/>
      <c r="F5569" s="12" t="inlineStr">
        <is>
          <t>LNG 12: spill impoundment (NFPA 59A, to verify)</t>
        </is>
      </c>
      <c r="G5569" s="12" t="inlineStr">
        <is>
          <t>JB-LNG 12: spill impo-AI01</t>
        </is>
      </c>
      <c r="H5569" s="12" t="inlineStr">
        <is>
          <t>LNG 12: spill impoundment (NFPA 59A, to verify)</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170</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K-I-0132</t>
        </is>
      </c>
      <c r="B5570" s="12" t="inlineStr">
        <is>
          <t>K</t>
        </is>
      </c>
      <c r="C5570" s="12" t="inlineStr">
        <is>
          <t>Fuel supply (adjacent market)</t>
        </is>
      </c>
      <c r="D5570" s="12" t="inlineStr">
        <is>
          <t>Home run JB-LNG 12: spill impo-AI01 to the control / marshalling room</t>
        </is>
      </c>
      <c r="E5570" s="12" t="inlineStr"/>
      <c r="F5570" s="12" t="inlineStr">
        <is>
          <t>LNG 17: LNG e-house (13.8 kV / 480 V)</t>
        </is>
      </c>
      <c r="G5570" s="12" t="inlineStr">
        <is>
          <t>JB-LNG 12: spill impo-AI01</t>
        </is>
      </c>
      <c r="H5570" s="12" t="inlineStr">
        <is>
          <t>LNG 12: spill impoundment (NFPA 59A, to verify)</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230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K-I-0133</t>
        </is>
      </c>
      <c r="B5571" s="12" t="inlineStr">
        <is>
          <t>K</t>
        </is>
      </c>
      <c r="C5571" s="12" t="inlineStr">
        <is>
          <t>Fuel supply (adjacent market)</t>
        </is>
      </c>
      <c r="D5571" s="12" t="inlineStr">
        <is>
          <t>Discrete device to JB JB-LNG 12: spill impo-DI01: 12 x 1 pr (field cables)</t>
        </is>
      </c>
      <c r="E5571" s="12" t="inlineStr"/>
      <c r="F5571" s="12" t="inlineStr">
        <is>
          <t>LNG 12: spill impoundment (NFPA 59A, to verify)</t>
        </is>
      </c>
      <c r="G5571" s="12" t="inlineStr">
        <is>
          <t>JB-LNG 12: spill impo-DI01</t>
        </is>
      </c>
      <c r="H5571" s="12" t="inlineStr">
        <is>
          <t>LNG 12: spill impoundment (NFPA 59A, to verify)</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170</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K-I-0134</t>
        </is>
      </c>
      <c r="B5572" s="12" t="inlineStr">
        <is>
          <t>K</t>
        </is>
      </c>
      <c r="C5572" s="12" t="inlineStr">
        <is>
          <t>Fuel supply (adjacent market)</t>
        </is>
      </c>
      <c r="D5572" s="12" t="inlineStr">
        <is>
          <t>Home run JB-LNG 12: spill impo-DI01 to the control / marshalling room</t>
        </is>
      </c>
      <c r="E5572" s="12" t="inlineStr"/>
      <c r="F5572" s="12" t="inlineStr">
        <is>
          <t>LNG 17: LNG e-house (13.8 kV / 480 V)</t>
        </is>
      </c>
      <c r="G5572" s="12" t="inlineStr">
        <is>
          <t>JB-LNG 12: spill impo-DI01</t>
        </is>
      </c>
      <c r="H5572" s="12" t="inlineStr">
        <is>
          <t>LNG 12: spill impoundment (NFPA 59A, to verify)</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230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K-I-0135</t>
        </is>
      </c>
      <c r="B5573" s="12" t="inlineStr">
        <is>
          <t>K</t>
        </is>
      </c>
      <c r="C5573" s="12" t="inlineStr">
        <is>
          <t>Fuel supply (adjacent market)</t>
        </is>
      </c>
      <c r="D5573" s="12" t="inlineStr">
        <is>
          <t>Analog instrument to JB JB-LNG 13: send-out p-AI01: 12 x 1 pr (field cables)</t>
        </is>
      </c>
      <c r="E5573" s="12" t="inlineStr"/>
      <c r="F5573" s="12" t="inlineStr">
        <is>
          <t>LNG 13: send-out pumps 2 x 100%</t>
        </is>
      </c>
      <c r="G5573" s="12" t="inlineStr">
        <is>
          <t>JB-LNG 13: send-out p-AI01</t>
        </is>
      </c>
      <c r="H5573" s="12" t="inlineStr">
        <is>
          <t>LNG 13: send-out pumps 2 x 100%</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K-I-0136</t>
        </is>
      </c>
      <c r="B5574" s="12" t="inlineStr">
        <is>
          <t>K</t>
        </is>
      </c>
      <c r="C5574" s="12" t="inlineStr">
        <is>
          <t>Fuel supply (adjacent market)</t>
        </is>
      </c>
      <c r="D5574" s="12" t="inlineStr">
        <is>
          <t>Home run JB-LNG 13: send-out p-AI01 to the control / marshalling room</t>
        </is>
      </c>
      <c r="E5574" s="12" t="inlineStr"/>
      <c r="F5574" s="12" t="inlineStr">
        <is>
          <t>LNG 17: LNG e-house (13.8 kV / 480 V)</t>
        </is>
      </c>
      <c r="G5574" s="12" t="inlineStr">
        <is>
          <t>JB-LNG 13: send-out p-AI01</t>
        </is>
      </c>
      <c r="H5574" s="12" t="inlineStr">
        <is>
          <t>LNG 13: send-out pumps 2 x 100%</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K-I-0137</t>
        </is>
      </c>
      <c r="B5575" s="12" t="inlineStr">
        <is>
          <t>K</t>
        </is>
      </c>
      <c r="C5575" s="12" t="inlineStr">
        <is>
          <t>Fuel supply (adjacent market)</t>
        </is>
      </c>
      <c r="D5575" s="12" t="inlineStr">
        <is>
          <t>Discrete device to JB JB-LNG 13: send-out p-DI01: 12 x 1 pr (field cables)</t>
        </is>
      </c>
      <c r="E5575" s="12" t="inlineStr"/>
      <c r="F5575" s="12" t="inlineStr">
        <is>
          <t>LNG 13: send-out pumps 2 x 100%</t>
        </is>
      </c>
      <c r="G5575" s="12" t="inlineStr">
        <is>
          <t>JB-LNG 13: send-out p-DI01</t>
        </is>
      </c>
      <c r="H5575" s="12" t="inlineStr">
        <is>
          <t>LNG 13: send-out pumps 2 x 100%</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63</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K-I-0138</t>
        </is>
      </c>
      <c r="B5576" s="12" t="inlineStr">
        <is>
          <t>K</t>
        </is>
      </c>
      <c r="C5576" s="12" t="inlineStr">
        <is>
          <t>Fuel supply (adjacent market)</t>
        </is>
      </c>
      <c r="D5576" s="12" t="inlineStr">
        <is>
          <t>Home run JB-LNG 13: send-out p-DI01 to the control / marshalling room</t>
        </is>
      </c>
      <c r="E5576" s="12" t="inlineStr"/>
      <c r="F5576" s="12" t="inlineStr">
        <is>
          <t>LNG 17: LNG e-house (13.8 kV / 480 V)</t>
        </is>
      </c>
      <c r="G5576" s="12" t="inlineStr">
        <is>
          <t>JB-LNG 13: send-out p-DI01</t>
        </is>
      </c>
      <c r="H5576" s="12" t="inlineStr">
        <is>
          <t>LNG 13: send-out pumps 2 x 100%</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110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K-I-0139</t>
        </is>
      </c>
      <c r="B5577" s="12" t="inlineStr">
        <is>
          <t>K</t>
        </is>
      </c>
      <c r="C5577" s="12" t="inlineStr">
        <is>
          <t>Fuel supply (adjacent market)</t>
        </is>
      </c>
      <c r="D5577" s="12" t="inlineStr">
        <is>
          <t>Analog instrument to JB JB-LNG 14: vaporizers-AI01: 12 x 1 pr (field cables)</t>
        </is>
      </c>
      <c r="E5577" s="12" t="inlineStr"/>
      <c r="F5577" s="12" t="inlineStr">
        <is>
          <t>LNG 14: vaporizers + glycol heater</t>
        </is>
      </c>
      <c r="G5577" s="12" t="inlineStr">
        <is>
          <t>JB-LNG 14: vaporizers-AI01</t>
        </is>
      </c>
      <c r="H5577" s="12" t="inlineStr">
        <is>
          <t>LNG 14: vaporizers + glycol heater</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122</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K-I-0140</t>
        </is>
      </c>
      <c r="B5578" s="12" t="inlineStr">
        <is>
          <t>K</t>
        </is>
      </c>
      <c r="C5578" s="12" t="inlineStr">
        <is>
          <t>Fuel supply (adjacent market)</t>
        </is>
      </c>
      <c r="D5578" s="12" t="inlineStr">
        <is>
          <t>Home run JB-LNG 14: vaporizers-AI01 to the control / marshalling room</t>
        </is>
      </c>
      <c r="E5578" s="12" t="inlineStr"/>
      <c r="F5578" s="12" t="inlineStr">
        <is>
          <t>LNG 17: LNG e-house (13.8 kV / 480 V)</t>
        </is>
      </c>
      <c r="G5578" s="12" t="inlineStr">
        <is>
          <t>JB-LNG 14: vaporizers-AI01</t>
        </is>
      </c>
      <c r="H5578" s="12" t="inlineStr">
        <is>
          <t>LNG 14: vaporizers + glycol heater</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259</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K-I-0141</t>
        </is>
      </c>
      <c r="B5579" s="12" t="inlineStr">
        <is>
          <t>K</t>
        </is>
      </c>
      <c r="C5579" s="12" t="inlineStr">
        <is>
          <t>Fuel supply (adjacent market)</t>
        </is>
      </c>
      <c r="D5579" s="12" t="inlineStr">
        <is>
          <t>Discrete device to JB JB-LNG 14: vaporizers-DI01: 12 x 1 pr (field cables)</t>
        </is>
      </c>
      <c r="E5579" s="12" t="inlineStr"/>
      <c r="F5579" s="12" t="inlineStr">
        <is>
          <t>LNG 14: vaporizers + glycol heater</t>
        </is>
      </c>
      <c r="G5579" s="12" t="inlineStr">
        <is>
          <t>JB-LNG 14: vaporizers-DI01</t>
        </is>
      </c>
      <c r="H5579" s="12" t="inlineStr">
        <is>
          <t>LNG 14: vaporizers + glycol heater</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122</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K-I-0142</t>
        </is>
      </c>
      <c r="B5580" s="12" t="inlineStr">
        <is>
          <t>K</t>
        </is>
      </c>
      <c r="C5580" s="12" t="inlineStr">
        <is>
          <t>Fuel supply (adjacent market)</t>
        </is>
      </c>
      <c r="D5580" s="12" t="inlineStr">
        <is>
          <t>Home run JB-LNG 14: vaporizers-DI01 to the control / marshalling room</t>
        </is>
      </c>
      <c r="E5580" s="12" t="inlineStr"/>
      <c r="F5580" s="12" t="inlineStr">
        <is>
          <t>LNG 17: LNG e-house (13.8 kV / 480 V)</t>
        </is>
      </c>
      <c r="G5580" s="12" t="inlineStr">
        <is>
          <t>JB-LNG 14: vaporizers-DI01</t>
        </is>
      </c>
      <c r="H5580" s="12" t="inlineStr">
        <is>
          <t>LNG 14: vaporizers + glycol heater</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259</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K-I-0143</t>
        </is>
      </c>
      <c r="B5581" s="12" t="inlineStr">
        <is>
          <t>K</t>
        </is>
      </c>
      <c r="C5581" s="12" t="inlineStr">
        <is>
          <t>Fuel supply (adjacent market)</t>
        </is>
      </c>
      <c r="D5581" s="12" t="inlineStr">
        <is>
          <t>Analog instrument to JB JB-LNG 15: boil-off g-AI01: 12 x 1 pr (field cables)</t>
        </is>
      </c>
      <c r="E5581" s="12" t="inlineStr"/>
      <c r="F5581" s="12" t="inlineStr">
        <is>
          <t>LNG 15: boil-off gas compressor</t>
        </is>
      </c>
      <c r="G5581" s="12" t="inlineStr">
        <is>
          <t>JB-LNG 15: boil-off g-AI01</t>
        </is>
      </c>
      <c r="H5581" s="12" t="inlineStr">
        <is>
          <t>LNG 15: boil-off gas compressor</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67</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K-I-0144</t>
        </is>
      </c>
      <c r="B5582" s="12" t="inlineStr">
        <is>
          <t>K</t>
        </is>
      </c>
      <c r="C5582" s="12" t="inlineStr">
        <is>
          <t>Fuel supply (adjacent market)</t>
        </is>
      </c>
      <c r="D5582" s="12" t="inlineStr">
        <is>
          <t>Home run JB-LNG 15: boil-off g-AI01 to the control / marshalling room</t>
        </is>
      </c>
      <c r="E5582" s="12" t="inlineStr"/>
      <c r="F5582" s="12" t="inlineStr">
        <is>
          <t>LNG 17: LNG e-house (13.8 kV / 480 V)</t>
        </is>
      </c>
      <c r="G5582" s="12" t="inlineStr">
        <is>
          <t>JB-LNG 15: boil-off g-AI01</t>
        </is>
      </c>
      <c r="H5582" s="12" t="inlineStr">
        <is>
          <t>LNG 15: boil-off gas compressor</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25</v>
      </c>
      <c r="U5582" s="16" t="n">
        <v>54</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K-I-0145</t>
        </is>
      </c>
      <c r="B5583" s="12" t="inlineStr">
        <is>
          <t>K</t>
        </is>
      </c>
      <c r="C5583" s="12" t="inlineStr">
        <is>
          <t>Fuel supply (adjacent market)</t>
        </is>
      </c>
      <c r="D5583" s="12" t="inlineStr">
        <is>
          <t>Discrete device to JB JB-LNG 15: boil-off g-DI01: 12 x 1 pr (field cables)</t>
        </is>
      </c>
      <c r="E5583" s="12" t="inlineStr"/>
      <c r="F5583" s="12" t="inlineStr">
        <is>
          <t>LNG 15: boil-off gas compressor</t>
        </is>
      </c>
      <c r="G5583" s="12" t="inlineStr">
        <is>
          <t>JB-LNG 15: boil-off g-DI01</t>
        </is>
      </c>
      <c r="H5583" s="12" t="inlineStr">
        <is>
          <t>LNG 15: boil-off gas compressor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67</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K-I-0146</t>
        </is>
      </c>
      <c r="B5584" s="12" t="inlineStr">
        <is>
          <t>K</t>
        </is>
      </c>
      <c r="C5584" s="12" t="inlineStr">
        <is>
          <t>Fuel supply (adjacent market)</t>
        </is>
      </c>
      <c r="D5584" s="12" t="inlineStr">
        <is>
          <t>Home run JB-LNG 15: boil-off g-DI01 to the control / marshalling room</t>
        </is>
      </c>
      <c r="E5584" s="12" t="inlineStr"/>
      <c r="F5584" s="12" t="inlineStr">
        <is>
          <t>LNG 17: LNG e-house (13.8 kV / 480 V)</t>
        </is>
      </c>
      <c r="G5584" s="12" t="inlineStr">
        <is>
          <t>JB-LNG 15: boil-off g-DI01</t>
        </is>
      </c>
      <c r="H5584" s="12" t="inlineStr">
        <is>
          <t>LNG 15: boil-off gas compressor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25</v>
      </c>
      <c r="U5584" s="16" t="n">
        <v>54</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K-I-0147</t>
        </is>
      </c>
      <c r="B5585" s="12" t="inlineStr">
        <is>
          <t>K</t>
        </is>
      </c>
      <c r="C5585" s="12" t="inlineStr">
        <is>
          <t>Fuel supply (adjacent market)</t>
        </is>
      </c>
      <c r="D5585" s="12" t="inlineStr">
        <is>
          <t>Analog instrument to JB JB-LNG 16: send-out m-AI01: 12 x 1 pr (field cables)</t>
        </is>
      </c>
      <c r="E5585" s="12" t="inlineStr"/>
      <c r="F5585" s="12" t="inlineStr">
        <is>
          <t>LNG 16: send-out metering + pressure control</t>
        </is>
      </c>
      <c r="G5585" s="12" t="inlineStr">
        <is>
          <t>JB-LNG 16: send-out m-AI01</t>
        </is>
      </c>
      <c r="H5585" s="12" t="inlineStr">
        <is>
          <t>LNG 16: send-out metering + pressure control</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74</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K-I-0148</t>
        </is>
      </c>
      <c r="B5586" s="12" t="inlineStr">
        <is>
          <t>K</t>
        </is>
      </c>
      <c r="C5586" s="12" t="inlineStr">
        <is>
          <t>Fuel supply (adjacent market)</t>
        </is>
      </c>
      <c r="D5586" s="12" t="inlineStr">
        <is>
          <t>Home run JB-LNG 16: send-out m-AI01 to the control / marshalling room</t>
        </is>
      </c>
      <c r="E5586" s="12" t="inlineStr"/>
      <c r="F5586" s="12" t="inlineStr">
        <is>
          <t>LNG 17: LNG e-house (13.8 kV / 480 V)</t>
        </is>
      </c>
      <c r="G5586" s="12" t="inlineStr">
        <is>
          <t>JB-LNG 16: send-out m-AI01</t>
        </is>
      </c>
      <c r="H5586" s="12" t="inlineStr">
        <is>
          <t>LNG 16: send-out metering + pressure control</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20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K-I-0149</t>
        </is>
      </c>
      <c r="B5587" s="12" t="inlineStr">
        <is>
          <t>K</t>
        </is>
      </c>
      <c r="C5587" s="12" t="inlineStr">
        <is>
          <t>Fuel supply (adjacent market)</t>
        </is>
      </c>
      <c r="D5587" s="12" t="inlineStr">
        <is>
          <t>Discrete device to JB JB-LNG 16: send-out m-DI01: 12 x 1 pr (field cables)</t>
        </is>
      </c>
      <c r="E5587" s="12" t="inlineStr"/>
      <c r="F5587" s="12" t="inlineStr">
        <is>
          <t>LNG 16: send-out metering + pressure control</t>
        </is>
      </c>
      <c r="G5587" s="12" t="inlineStr">
        <is>
          <t>JB-LNG 16: send-out m-DI01</t>
        </is>
      </c>
      <c r="H5587" s="12" t="inlineStr">
        <is>
          <t>LNG 16: send-out metering + pressure control</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74</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K-I-0150</t>
        </is>
      </c>
      <c r="B5588" s="12" t="inlineStr">
        <is>
          <t>K</t>
        </is>
      </c>
      <c r="C5588" s="12" t="inlineStr">
        <is>
          <t>Fuel supply (adjacent market)</t>
        </is>
      </c>
      <c r="D5588" s="12" t="inlineStr">
        <is>
          <t>Home run JB-LNG 16: send-out m-DI01 to the control / marshalling room</t>
        </is>
      </c>
      <c r="E5588" s="12" t="inlineStr"/>
      <c r="F5588" s="12" t="inlineStr">
        <is>
          <t>LNG 17: LNG e-house (13.8 kV / 480 V)</t>
        </is>
      </c>
      <c r="G5588" s="12" t="inlineStr">
        <is>
          <t>JB-LNG 16: send-out m-DI01</t>
        </is>
      </c>
      <c r="H5588" s="12" t="inlineStr">
        <is>
          <t>LNG 16: send-out metering + pressure control</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20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K-I-0151</t>
        </is>
      </c>
      <c r="B5589" s="12" t="inlineStr">
        <is>
          <t>K</t>
        </is>
      </c>
      <c r="C5589" s="12" t="inlineStr">
        <is>
          <t>Fuel supply (adjacent market)</t>
        </is>
      </c>
      <c r="D5589" s="12" t="inlineStr">
        <is>
          <t>Analog instrument to JB JB-LNG 17: LNG e-hous-AI01: 12 x 1 pr (field cables)</t>
        </is>
      </c>
      <c r="E5589" s="12" t="inlineStr"/>
      <c r="F5589" s="12" t="inlineStr">
        <is>
          <t>LNG 17: LNG e-house (13.8 kV / 480 V)</t>
        </is>
      </c>
      <c r="G5589" s="12" t="inlineStr">
        <is>
          <t>JB-LNG 17: LNG e-hous-AI01</t>
        </is>
      </c>
      <c r="H5589" s="12" t="inlineStr">
        <is>
          <t>LNG 17: LNG e-house (13.8 kV / 480 V)</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58</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K-I-0152</t>
        </is>
      </c>
      <c r="B5590" s="12" t="inlineStr">
        <is>
          <t>K</t>
        </is>
      </c>
      <c r="C5590" s="12" t="inlineStr">
        <is>
          <t>Fuel supply (adjacent market)</t>
        </is>
      </c>
      <c r="D5590" s="12" t="inlineStr">
        <is>
          <t>Home run JB-LNG 17: LNG e-hous-AI01 to the control / marshalling room</t>
        </is>
      </c>
      <c r="E5590" s="12" t="inlineStr"/>
      <c r="F5590" s="12" t="inlineStr">
        <is>
          <t>LNG 17: LNG e-house (13.8 kV / 480 V)</t>
        </is>
      </c>
      <c r="G5590" s="12" t="inlineStr">
        <is>
          <t>JB-LNG 17: LNG e-hous-AI01</t>
        </is>
      </c>
      <c r="H5590" s="12" t="inlineStr">
        <is>
          <t>LNG 17: LNG e-house (13.8 kV / 480 V)</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Tray</t>
        </is>
      </c>
      <c r="T5590" s="16" t="n">
        <v>0</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K-I-0153</t>
        </is>
      </c>
      <c r="B5591" s="12" t="inlineStr">
        <is>
          <t>K</t>
        </is>
      </c>
      <c r="C5591" s="12" t="inlineStr">
        <is>
          <t>Fuel supply (adjacent market)</t>
        </is>
      </c>
      <c r="D5591" s="12" t="inlineStr">
        <is>
          <t>Discrete device to JB JB-LNG 17: LNG e-hous-DI01: 12 x 1 pr (field cables)</t>
        </is>
      </c>
      <c r="E5591" s="12" t="inlineStr"/>
      <c r="F5591" s="12" t="inlineStr">
        <is>
          <t>LNG 17: LNG e-house (13.8 kV / 480 V)</t>
        </is>
      </c>
      <c r="G5591" s="12" t="inlineStr">
        <is>
          <t>JB-LNG 17: LNG e-hous-DI01</t>
        </is>
      </c>
      <c r="H5591" s="12" t="inlineStr">
        <is>
          <t>LNG 17: LNG e-house (13.8 kV / 480 V)</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58</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K-I-0154</t>
        </is>
      </c>
      <c r="B5592" s="12" t="inlineStr">
        <is>
          <t>K</t>
        </is>
      </c>
      <c r="C5592" s="12" t="inlineStr">
        <is>
          <t>Fuel supply (adjacent market)</t>
        </is>
      </c>
      <c r="D5592" s="12" t="inlineStr">
        <is>
          <t>Home run JB-LNG 17: LNG e-hous-DI01 to the control / marshalling room</t>
        </is>
      </c>
      <c r="E5592" s="12" t="inlineStr"/>
      <c r="F5592" s="12" t="inlineStr">
        <is>
          <t>LNG 17: LNG e-house (13.8 kV / 480 V)</t>
        </is>
      </c>
      <c r="G5592" s="12" t="inlineStr">
        <is>
          <t>JB-LNG 17: LNG e-hous-DI01</t>
        </is>
      </c>
      <c r="H5592" s="12" t="inlineStr">
        <is>
          <t>LNG 17: LNG e-house (13.8 kV / 480 V)</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Tray</t>
        </is>
      </c>
      <c r="T5592" s="16" t="n">
        <v>0</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K-I-0155</t>
        </is>
      </c>
      <c r="B5593" s="12" t="inlineStr">
        <is>
          <t>K</t>
        </is>
      </c>
      <c r="C5593" s="12" t="inlineStr">
        <is>
          <t>Fuel supply (adjacent market)</t>
        </is>
      </c>
      <c r="D5593" s="12" t="inlineStr">
        <is>
          <t>Analog instrument to JB JB-LNG 18: vent stack-AI01: 12 x 1 pr (field cables)</t>
        </is>
      </c>
      <c r="E5593" s="12" t="inlineStr"/>
      <c r="F5593" s="12" t="inlineStr">
        <is>
          <t>LNG 18: vent stack</t>
        </is>
      </c>
      <c r="G5593" s="12" t="inlineStr">
        <is>
          <t>JB-LNG 18: vent stack-AI01</t>
        </is>
      </c>
      <c r="H5593" s="12" t="inlineStr">
        <is>
          <t>LNG 18: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55</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K-I-0156</t>
        </is>
      </c>
      <c r="B5594" s="12" t="inlineStr">
        <is>
          <t>K</t>
        </is>
      </c>
      <c r="C5594" s="12" t="inlineStr">
        <is>
          <t>Fuel supply (adjacent market)</t>
        </is>
      </c>
      <c r="D5594" s="12" t="inlineStr">
        <is>
          <t>Home run JB-LNG 18: vent stack-AI01 to the control / marshalling room</t>
        </is>
      </c>
      <c r="E5594" s="12" t="inlineStr"/>
      <c r="F5594" s="12" t="inlineStr">
        <is>
          <t>LNG 17: LNG e-house (13.8 kV / 480 V)</t>
        </is>
      </c>
      <c r="G5594" s="12" t="inlineStr">
        <is>
          <t>JB-LNG 18: vent stack-AI01</t>
        </is>
      </c>
      <c r="H5594" s="12" t="inlineStr">
        <is>
          <t>LNG 18: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25</v>
      </c>
      <c r="U5594" s="16" t="n">
        <v>117</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K-I-0157</t>
        </is>
      </c>
      <c r="B5595" s="12" t="inlineStr">
        <is>
          <t>K</t>
        </is>
      </c>
      <c r="C5595" s="12" t="inlineStr">
        <is>
          <t>Fuel supply (adjacent market)</t>
        </is>
      </c>
      <c r="D5595" s="12" t="inlineStr">
        <is>
          <t>Discrete device to JB JB-LNG 18: vent stack-DI01: 12 x 1 pr (field cables)</t>
        </is>
      </c>
      <c r="E5595" s="12" t="inlineStr"/>
      <c r="F5595" s="12" t="inlineStr">
        <is>
          <t>LNG 18: vent stack</t>
        </is>
      </c>
      <c r="G5595" s="12" t="inlineStr">
        <is>
          <t>JB-LNG 18: vent stack-DI01</t>
        </is>
      </c>
      <c r="H5595" s="12" t="inlineStr">
        <is>
          <t>LNG 18: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55</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K-I-0158</t>
        </is>
      </c>
      <c r="B5596" s="12" t="inlineStr">
        <is>
          <t>K</t>
        </is>
      </c>
      <c r="C5596" s="12" t="inlineStr">
        <is>
          <t>Fuel supply (adjacent market)</t>
        </is>
      </c>
      <c r="D5596" s="12" t="inlineStr">
        <is>
          <t>Home run JB-LNG 18: vent stack-DI01 to the control / marshalling room</t>
        </is>
      </c>
      <c r="E5596" s="12" t="inlineStr"/>
      <c r="F5596" s="12" t="inlineStr">
        <is>
          <t>LNG 17: LNG e-house (13.8 kV / 480 V)</t>
        </is>
      </c>
      <c r="G5596" s="12" t="inlineStr">
        <is>
          <t>JB-LNG 18: vent stack-DI01</t>
        </is>
      </c>
      <c r="H5596" s="12" t="inlineStr">
        <is>
          <t>LNG 18: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6" t="n">
        <v>25</v>
      </c>
      <c r="U5596" s="16" t="n">
        <v>117</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K-I-0159</t>
        </is>
      </c>
      <c r="B5597" s="12" t="inlineStr">
        <is>
          <t>K</t>
        </is>
      </c>
      <c r="C5597" s="12" t="inlineStr">
        <is>
          <t>Fuel supply (adjacent market)</t>
        </is>
      </c>
      <c r="D5597" s="12" t="inlineStr">
        <is>
          <t>Instrumentation</t>
        </is>
      </c>
      <c r="E5597" s="12" t="inlineStr"/>
      <c r="F5597" s="12" t="inlineStr">
        <is>
          <t>LNG 17: LNG e-house (13.8 kV / 480 V)</t>
        </is>
      </c>
      <c r="G5597" s="12" t="inlineStr"/>
      <c r="H5597" s="12" t="inlineStr">
        <is>
          <t>LNG impoundment sump pump</t>
        </is>
      </c>
      <c r="I5597" s="12" t="inlineStr">
        <is>
          <t>Instrumentation</t>
        </is>
      </c>
      <c r="J5597" s="12" t="inlineStr">
        <is>
          <t>Instrumentation ITC / PLTC, IS, #18 shielded pairs, blue jacket</t>
        </is>
      </c>
      <c r="K5597" s="12" t="inlineStr">
        <is>
          <t>ITC|4 pr|18</t>
        </is>
      </c>
      <c r="L5597" s="12" t="inlineStr">
        <is>
          <t>4 pr</t>
        </is>
      </c>
      <c r="M5597" s="12" t="inlineStr">
        <is>
          <t>18</t>
        </is>
      </c>
      <c r="N5597" s="12" t="n">
        <v>1</v>
      </c>
      <c r="O5597" s="12" t="n">
        <v>1</v>
      </c>
      <c r="P5597" s="12" t="n"/>
      <c r="Q5597" s="12" t="n"/>
      <c r="R5597" s="12" t="n"/>
      <c r="S5597" s="12" t="inlineStr">
        <is>
          <t>Duct bank</t>
        </is>
      </c>
      <c r="T5597" s="16" t="n">
        <v>334</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K-I-0160</t>
        </is>
      </c>
      <c r="B5598" s="12" t="inlineStr">
        <is>
          <t>K</t>
        </is>
      </c>
      <c r="C5598" s="12" t="inlineStr">
        <is>
          <t>Fuel supply (adjacent market)</t>
        </is>
      </c>
      <c r="D5598" s="12" t="inlineStr">
        <is>
          <t>Instrumentation</t>
        </is>
      </c>
      <c r="E5598" s="12" t="inlineStr"/>
      <c r="F5598" s="12" t="inlineStr">
        <is>
          <t>LNG 17: LNG e-house (13.8 kV / 480 V)</t>
        </is>
      </c>
      <c r="G5598" s="12" t="inlineStr"/>
      <c r="H5598" s="12" t="inlineStr">
        <is>
          <t>M&amp;R 1: pig receiver, lateral terminus</t>
        </is>
      </c>
      <c r="I5598" s="12" t="inlineStr">
        <is>
          <t>Instrumentation</t>
        </is>
      </c>
      <c r="J5598" s="12" t="inlineStr">
        <is>
          <t>Instrumentation ITC / PLTC, IS, #18 shielded pairs, blue jacket</t>
        </is>
      </c>
      <c r="K5598" s="12" t="inlineStr">
        <is>
          <t>ITC|4 pr|18</t>
        </is>
      </c>
      <c r="L5598" s="12" t="inlineStr">
        <is>
          <t>4 pr</t>
        </is>
      </c>
      <c r="M5598" s="12" t="inlineStr">
        <is>
          <t>18</t>
        </is>
      </c>
      <c r="N5598" s="12" t="n">
        <v>1</v>
      </c>
      <c r="O5598" s="12" t="n">
        <v>1</v>
      </c>
      <c r="P5598" s="12" t="n"/>
      <c r="Q5598" s="12" t="n"/>
      <c r="R5598" s="12" t="n"/>
      <c r="S5598" s="12" t="inlineStr">
        <is>
          <t>Duct bank</t>
        </is>
      </c>
      <c r="T5598" s="16" t="n">
        <v>773</v>
      </c>
      <c r="U5598" s="16" t="n">
        <v>37</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K-I-0161</t>
        </is>
      </c>
      <c r="B5599" s="12" t="inlineStr">
        <is>
          <t>K</t>
        </is>
      </c>
      <c r="C5599" s="12" t="inlineStr">
        <is>
          <t>Fuel supply (adjacent market)</t>
        </is>
      </c>
      <c r="D5599" s="12" t="inlineStr">
        <is>
          <t>Discrete device to JB JB-M&amp;R 2: insulating -DI01: 8 x 1 pr (field cables)</t>
        </is>
      </c>
      <c r="E5599" s="12" t="inlineStr"/>
      <c r="F5599" s="12" t="inlineStr">
        <is>
          <t>M&amp;R 2: insulating joint + ESD valve</t>
        </is>
      </c>
      <c r="G5599" s="12" t="inlineStr">
        <is>
          <t>JB-M&amp;R 2: insulating -DI01</t>
        </is>
      </c>
      <c r="H5599" s="12" t="inlineStr">
        <is>
          <t>M&amp;R 2: insulating joint + ESD valve</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8</v>
      </c>
      <c r="O5599" s="12" t="n">
        <v>1</v>
      </c>
      <c r="P5599" s="12" t="n"/>
      <c r="Q5599" s="12" t="n"/>
      <c r="R5599" s="12" t="n"/>
      <c r="S5599" s="12" t="inlineStr">
        <is>
          <t>Tray / conduit</t>
        </is>
      </c>
      <c r="T5599" s="16" t="n">
        <v>40</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K-I-0162</t>
        </is>
      </c>
      <c r="B5600" s="12" t="inlineStr">
        <is>
          <t>K</t>
        </is>
      </c>
      <c r="C5600" s="12" t="inlineStr">
        <is>
          <t>Fuel supply (adjacent market)</t>
        </is>
      </c>
      <c r="D5600" s="12" t="inlineStr">
        <is>
          <t>Home run JB-M&amp;R 2: insulating -DI01 to the control / marshalling room</t>
        </is>
      </c>
      <c r="E5600" s="12" t="inlineStr"/>
      <c r="F5600" s="12" t="inlineStr">
        <is>
          <t>LNG 17: LNG e-house (13.8 kV / 480 V)</t>
        </is>
      </c>
      <c r="G5600" s="12" t="inlineStr">
        <is>
          <t>JB-M&amp;R 2: insulating -DI01</t>
        </is>
      </c>
      <c r="H5600" s="12" t="inlineStr">
        <is>
          <t>M&amp;R 2: insulating joint + ESD valve</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758</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K-I-0163</t>
        </is>
      </c>
      <c r="B5601" s="12" t="inlineStr">
        <is>
          <t>K</t>
        </is>
      </c>
      <c r="C5601" s="12" t="inlineStr">
        <is>
          <t>Fuel supply (adjacent market)</t>
        </is>
      </c>
      <c r="D5601" s="12" t="inlineStr">
        <is>
          <t>Analog instrument to JB JB-M&amp;R 3: horizontal -AI01: 8 x 1 pr (field cables)</t>
        </is>
      </c>
      <c r="E5601" s="12" t="inlineStr"/>
      <c r="F5601" s="12" t="inlineStr">
        <is>
          <t>M&amp;R 3: horizontal filter-separator</t>
        </is>
      </c>
      <c r="G5601" s="12" t="inlineStr">
        <is>
          <t>JB-M&amp;R 3: horizontal -AI01</t>
        </is>
      </c>
      <c r="H5601" s="12" t="inlineStr">
        <is>
          <t>M&amp;R 3: horizontal filter-separator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8</v>
      </c>
      <c r="O5601" s="12" t="n">
        <v>1</v>
      </c>
      <c r="P5601" s="12" t="n"/>
      <c r="Q5601" s="12" t="n"/>
      <c r="R5601" s="12" t="n"/>
      <c r="S5601" s="12" t="inlineStr">
        <is>
          <t>Tray / conduit</t>
        </is>
      </c>
      <c r="T5601" s="16" t="n">
        <v>53</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K-I-0164</t>
        </is>
      </c>
      <c r="B5602" s="12" t="inlineStr">
        <is>
          <t>K</t>
        </is>
      </c>
      <c r="C5602" s="12" t="inlineStr">
        <is>
          <t>Fuel supply (adjacent market)</t>
        </is>
      </c>
      <c r="D5602" s="12" t="inlineStr">
        <is>
          <t>Home run JB-M&amp;R 3: horizontal -AI01 to the control / marshalling room</t>
        </is>
      </c>
      <c r="E5602" s="12" t="inlineStr"/>
      <c r="F5602" s="12" t="inlineStr">
        <is>
          <t>LNG 17: LNG e-house (13.8 kV / 480 V)</t>
        </is>
      </c>
      <c r="G5602" s="12" t="inlineStr">
        <is>
          <t>JB-M&amp;R 3: horizontal -AI01</t>
        </is>
      </c>
      <c r="H5602" s="12" t="inlineStr">
        <is>
          <t>M&amp;R 3: horizontal filter-separator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797</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K-I-0165</t>
        </is>
      </c>
      <c r="B5603" s="12" t="inlineStr">
        <is>
          <t>K</t>
        </is>
      </c>
      <c r="C5603" s="12" t="inlineStr">
        <is>
          <t>Fuel supply (adjacent market)</t>
        </is>
      </c>
      <c r="D5603" s="12" t="inlineStr">
        <is>
          <t>Discrete device to JB JB-M&amp;R 3: horizontal -DI01: 12 x 1 pr (field cables)</t>
        </is>
      </c>
      <c r="E5603" s="12" t="inlineStr"/>
      <c r="F5603" s="12" t="inlineStr">
        <is>
          <t>M&amp;R 3: horizontal filter-separator</t>
        </is>
      </c>
      <c r="G5603" s="12" t="inlineStr">
        <is>
          <t>JB-M&amp;R 3: horizontal -DI01</t>
        </is>
      </c>
      <c r="H5603" s="12" t="inlineStr">
        <is>
          <t>M&amp;R 3: horizontal filter-separator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53</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K-I-0166</t>
        </is>
      </c>
      <c r="B5604" s="12" t="inlineStr">
        <is>
          <t>K</t>
        </is>
      </c>
      <c r="C5604" s="12" t="inlineStr">
        <is>
          <t>Fuel supply (adjacent market)</t>
        </is>
      </c>
      <c r="D5604" s="12" t="inlineStr">
        <is>
          <t>Home run JB-M&amp;R 3: horizontal -DI01 to the control / marshalling room</t>
        </is>
      </c>
      <c r="E5604" s="12" t="inlineStr"/>
      <c r="F5604" s="12" t="inlineStr">
        <is>
          <t>LNG 17: LNG e-house (13.8 kV / 480 V)</t>
        </is>
      </c>
      <c r="G5604" s="12" t="inlineStr">
        <is>
          <t>JB-M&amp;R 3: horizontal -DI01</t>
        </is>
      </c>
      <c r="H5604" s="12" t="inlineStr">
        <is>
          <t>M&amp;R 3: horizontal filter-separator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797</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K-I-0167</t>
        </is>
      </c>
      <c r="B5605" s="12" t="inlineStr">
        <is>
          <t>K</t>
        </is>
      </c>
      <c r="C5605" s="12" t="inlineStr">
        <is>
          <t>Fuel supply (adjacent market)</t>
        </is>
      </c>
      <c r="D5605" s="12" t="inlineStr">
        <is>
          <t>Instrumentation</t>
        </is>
      </c>
      <c r="E5605" s="12" t="inlineStr"/>
      <c r="F5605" s="12" t="inlineStr">
        <is>
          <t>LNG 17: LNG e-house (13.8 kV / 480 V)</t>
        </is>
      </c>
      <c r="G5605" s="12" t="inlineStr"/>
      <c r="H5605" s="12" t="inlineStr">
        <is>
          <t>M&amp;R 4: line heater 1 (water bath)</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6" t="n">
        <v>593</v>
      </c>
      <c r="U5605" s="16" t="n">
        <v>32</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K-I-0168</t>
        </is>
      </c>
      <c r="B5606" s="12" t="inlineStr">
        <is>
          <t>K</t>
        </is>
      </c>
      <c r="C5606" s="12" t="inlineStr">
        <is>
          <t>Fuel supply (adjacent market)</t>
        </is>
      </c>
      <c r="D5606" s="12" t="inlineStr">
        <is>
          <t>Instrumentation</t>
        </is>
      </c>
      <c r="E5606" s="12" t="inlineStr"/>
      <c r="F5606" s="12" t="inlineStr">
        <is>
          <t>LNG 17: LNG e-house (13.8 kV / 480 V)</t>
        </is>
      </c>
      <c r="G5606" s="12" t="inlineStr"/>
      <c r="H5606" s="12" t="inlineStr">
        <is>
          <t>M&amp;R 4: line heater 1 (water bath)</t>
        </is>
      </c>
      <c r="I5606" s="12" t="inlineStr">
        <is>
          <t>Instrumentation</t>
        </is>
      </c>
      <c r="J5606" s="12" t="inlineStr">
        <is>
          <t>Instrumentation ITC / PLTC, IS, #18 shielded pairs, blue jacket</t>
        </is>
      </c>
      <c r="K5606" s="12" t="inlineStr">
        <is>
          <t>ITC|12 pr|18</t>
        </is>
      </c>
      <c r="L5606" s="12" t="inlineStr">
        <is>
          <t>12 pr</t>
        </is>
      </c>
      <c r="M5606" s="12" t="inlineStr">
        <is>
          <t>18</t>
        </is>
      </c>
      <c r="N5606" s="12" t="n">
        <v>1</v>
      </c>
      <c r="O5606" s="12" t="n">
        <v>1</v>
      </c>
      <c r="P5606" s="12" t="n"/>
      <c r="Q5606" s="12" t="n"/>
      <c r="R5606" s="12" t="n"/>
      <c r="S5606" s="12" t="inlineStr">
        <is>
          <t>Duct bank</t>
        </is>
      </c>
      <c r="T5606" s="16" t="n">
        <v>593</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K-I-0169</t>
        </is>
      </c>
      <c r="B5607" s="12" t="inlineStr">
        <is>
          <t>K</t>
        </is>
      </c>
      <c r="C5607" s="12" t="inlineStr">
        <is>
          <t>Fuel supply (adjacent market)</t>
        </is>
      </c>
      <c r="D5607" s="12" t="inlineStr">
        <is>
          <t>Instrumentation</t>
        </is>
      </c>
      <c r="E5607" s="12" t="inlineStr"/>
      <c r="F5607" s="12" t="inlineStr">
        <is>
          <t>LNG 17: LNG e-house (13.8 kV / 480 V)</t>
        </is>
      </c>
      <c r="G5607" s="12" t="inlineStr"/>
      <c r="H5607" s="12" t="inlineStr">
        <is>
          <t>M&amp;R 4: line heater 2 (water bath)</t>
        </is>
      </c>
      <c r="I5607" s="12" t="inlineStr">
        <is>
          <t>Instrumentation</t>
        </is>
      </c>
      <c r="J5607" s="12" t="inlineStr">
        <is>
          <t>Instrumentation ITC / PLTC, IS, #18 shielded pairs, blue jacket</t>
        </is>
      </c>
      <c r="K5607" s="12" t="inlineStr">
        <is>
          <t>ITC|4 pr|18</t>
        </is>
      </c>
      <c r="L5607" s="12" t="inlineStr">
        <is>
          <t>4 pr</t>
        </is>
      </c>
      <c r="M5607" s="12" t="inlineStr">
        <is>
          <t>18</t>
        </is>
      </c>
      <c r="N5607" s="12" t="n">
        <v>1</v>
      </c>
      <c r="O5607" s="12" t="n">
        <v>1</v>
      </c>
      <c r="P5607" s="12" t="n"/>
      <c r="Q5607" s="12" t="n"/>
      <c r="R5607" s="12" t="n"/>
      <c r="S5607" s="12" t="inlineStr">
        <is>
          <t>Duct bank</t>
        </is>
      </c>
      <c r="T5607" s="16" t="n">
        <v>593</v>
      </c>
      <c r="U5607" s="16" t="n">
        <v>50</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K-I-0170</t>
        </is>
      </c>
      <c r="B5608" s="12" t="inlineStr">
        <is>
          <t>K</t>
        </is>
      </c>
      <c r="C5608" s="12" t="inlineStr">
        <is>
          <t>Fuel supply (adjacent market)</t>
        </is>
      </c>
      <c r="D5608" s="12" t="inlineStr">
        <is>
          <t>Instrumentation</t>
        </is>
      </c>
      <c r="E5608" s="12" t="inlineStr"/>
      <c r="F5608" s="12" t="inlineStr">
        <is>
          <t>LNG 17: LNG e-house (13.8 kV / 480 V)</t>
        </is>
      </c>
      <c r="G5608" s="12" t="inlineStr"/>
      <c r="H5608" s="12" t="inlineStr">
        <is>
          <t>M&amp;R 4: line heater 2 (water bath)</t>
        </is>
      </c>
      <c r="I5608" s="12" t="inlineStr">
        <is>
          <t>Instrumentation</t>
        </is>
      </c>
      <c r="J5608" s="12" t="inlineStr">
        <is>
          <t>Instrumentation ITC / PLTC, IS, #18 shielded pairs, blue jacket</t>
        </is>
      </c>
      <c r="K5608" s="12" t="inlineStr">
        <is>
          <t>ITC|12 pr|18</t>
        </is>
      </c>
      <c r="L5608" s="12" t="inlineStr">
        <is>
          <t>12 pr</t>
        </is>
      </c>
      <c r="M5608" s="12" t="inlineStr">
        <is>
          <t>18</t>
        </is>
      </c>
      <c r="N5608" s="12" t="n">
        <v>1</v>
      </c>
      <c r="O5608" s="12" t="n">
        <v>1</v>
      </c>
      <c r="P5608" s="12" t="n"/>
      <c r="Q5608" s="12" t="n"/>
      <c r="R5608" s="12" t="n"/>
      <c r="S5608" s="12" t="inlineStr">
        <is>
          <t>Duct bank</t>
        </is>
      </c>
      <c r="T5608" s="16" t="n">
        <v>593</v>
      </c>
      <c r="U5608" s="16" t="n">
        <v>50</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K-I-0171</t>
        </is>
      </c>
      <c r="B5609" s="12" t="inlineStr">
        <is>
          <t>K</t>
        </is>
      </c>
      <c r="C5609" s="12" t="inlineStr">
        <is>
          <t>Fuel supply (adjacent market)</t>
        </is>
      </c>
      <c r="D5609" s="12" t="inlineStr">
        <is>
          <t>Instrumentation</t>
        </is>
      </c>
      <c r="E5609" s="12" t="inlineStr"/>
      <c r="F5609" s="12" t="inlineStr">
        <is>
          <t>LNG 17: LNG e-house (13.8 kV / 480 V)</t>
        </is>
      </c>
      <c r="G5609" s="12" t="inlineStr"/>
      <c r="H5609" s="12" t="inlineStr">
        <is>
          <t>M&amp;R 4: line heater 3 (water bath)</t>
        </is>
      </c>
      <c r="I5609" s="12" t="inlineStr">
        <is>
          <t>Instrumentation</t>
        </is>
      </c>
      <c r="J5609" s="12" t="inlineStr">
        <is>
          <t>Instrumentation ITC / PLTC, IS, #18 shielded pairs, blue jacket</t>
        </is>
      </c>
      <c r="K5609" s="12" t="inlineStr">
        <is>
          <t>ITC|4 pr|18</t>
        </is>
      </c>
      <c r="L5609" s="12" t="inlineStr">
        <is>
          <t>4 pr</t>
        </is>
      </c>
      <c r="M5609" s="12" t="inlineStr">
        <is>
          <t>18</t>
        </is>
      </c>
      <c r="N5609" s="12" t="n">
        <v>1</v>
      </c>
      <c r="O5609" s="12" t="n">
        <v>1</v>
      </c>
      <c r="P5609" s="12" t="n"/>
      <c r="Q5609" s="12" t="n"/>
      <c r="R5609" s="12" t="n"/>
      <c r="S5609" s="12" t="inlineStr">
        <is>
          <t>Duct bank</t>
        </is>
      </c>
      <c r="T5609" s="16" t="n">
        <v>593</v>
      </c>
      <c r="U5609" s="16" t="n">
        <v>68</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K-I-0172</t>
        </is>
      </c>
      <c r="B5610" s="12" t="inlineStr">
        <is>
          <t>K</t>
        </is>
      </c>
      <c r="C5610" s="12" t="inlineStr">
        <is>
          <t>Fuel supply (adjacent market)</t>
        </is>
      </c>
      <c r="D5610" s="12" t="inlineStr">
        <is>
          <t>Instrumentation</t>
        </is>
      </c>
      <c r="E5610" s="12" t="inlineStr"/>
      <c r="F5610" s="12" t="inlineStr">
        <is>
          <t>LNG 17: LNG e-house (13.8 kV / 480 V)</t>
        </is>
      </c>
      <c r="G5610" s="12" t="inlineStr"/>
      <c r="H5610" s="12" t="inlineStr">
        <is>
          <t>M&amp;R 4: line heater 3 (water bath)</t>
        </is>
      </c>
      <c r="I5610" s="12" t="inlineStr">
        <is>
          <t>Instrumentation</t>
        </is>
      </c>
      <c r="J5610" s="12" t="inlineStr">
        <is>
          <t>Instrumentation ITC / PLTC, IS, #18 shielded pairs, blue jacket</t>
        </is>
      </c>
      <c r="K5610" s="12" t="inlineStr">
        <is>
          <t>ITC|12 pr|18</t>
        </is>
      </c>
      <c r="L5610" s="12" t="inlineStr">
        <is>
          <t>12 pr</t>
        </is>
      </c>
      <c r="M5610" s="12" t="inlineStr">
        <is>
          <t>18</t>
        </is>
      </c>
      <c r="N5610" s="12" t="n">
        <v>1</v>
      </c>
      <c r="O5610" s="12" t="n">
        <v>1</v>
      </c>
      <c r="P5610" s="12" t="n"/>
      <c r="Q5610" s="12" t="n"/>
      <c r="R5610" s="12" t="n"/>
      <c r="S5610" s="12" t="inlineStr">
        <is>
          <t>Duct bank</t>
        </is>
      </c>
      <c r="T5610" s="16" t="n">
        <v>593</v>
      </c>
      <c r="U5610" s="16" t="n">
        <v>68</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K-I-0173</t>
        </is>
      </c>
      <c r="B5611" s="12" t="inlineStr">
        <is>
          <t>K</t>
        </is>
      </c>
      <c r="C5611" s="12" t="inlineStr">
        <is>
          <t>Fuel supply (adjacent market)</t>
        </is>
      </c>
      <c r="D5611" s="12" t="inlineStr">
        <is>
          <t>Analog instrument to JB JB-M&amp;R 5: ultrasonic -AI01: 20 x 1 pr (field cables)</t>
        </is>
      </c>
      <c r="E5611" s="12" t="inlineStr"/>
      <c r="F5611" s="12" t="inlineStr">
        <is>
          <t>M&amp;R 5: ultrasonic meters, 2 runs (custody transfer)</t>
        </is>
      </c>
      <c r="G5611" s="12" t="inlineStr">
        <is>
          <t>JB-M&amp;R 5: ultrasonic -AI01</t>
        </is>
      </c>
      <c r="H5611" s="12" t="inlineStr">
        <is>
          <t>M&amp;R 5: ultrasonic meters, 2 runs (custody transfer)</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20</v>
      </c>
      <c r="O5611" s="12" t="n">
        <v>1</v>
      </c>
      <c r="P5611" s="12" t="n"/>
      <c r="Q5611" s="12" t="n"/>
      <c r="R5611" s="12" t="n"/>
      <c r="S5611" s="12" t="inlineStr">
        <is>
          <t>Tray / conduit</t>
        </is>
      </c>
      <c r="T5611" s="16" t="n">
        <v>60</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K-I-0174</t>
        </is>
      </c>
      <c r="B5612" s="12" t="inlineStr">
        <is>
          <t>K</t>
        </is>
      </c>
      <c r="C5612" s="12" t="inlineStr">
        <is>
          <t>Fuel supply (adjacent market)</t>
        </is>
      </c>
      <c r="D5612" s="12" t="inlineStr">
        <is>
          <t>Home run JB-M&amp;R 5: ultrasonic -AI01 to the control / marshalling room</t>
        </is>
      </c>
      <c r="E5612" s="12" t="inlineStr"/>
      <c r="F5612" s="12" t="inlineStr">
        <is>
          <t>LNG 17: LNG e-house (13.8 kV / 480 V)</t>
        </is>
      </c>
      <c r="G5612" s="12" t="inlineStr">
        <is>
          <t>JB-M&amp;R 5: ultrasonic -AI01</t>
        </is>
      </c>
      <c r="H5612" s="12" t="inlineStr">
        <is>
          <t>M&amp;R 5: ultrasonic meters, 2 runs (custody transfer)</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651</v>
      </c>
      <c r="U5612" s="16" t="n">
        <v>57</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K-I-0175</t>
        </is>
      </c>
      <c r="B5613" s="12" t="inlineStr">
        <is>
          <t>K</t>
        </is>
      </c>
      <c r="C5613" s="12" t="inlineStr">
        <is>
          <t>Fuel supply (adjacent market)</t>
        </is>
      </c>
      <c r="D5613" s="12" t="inlineStr">
        <is>
          <t>Discrete device to JB JB-M&amp;R 5: ultrasonic -DI01: 8 x 1 pr (field cables)</t>
        </is>
      </c>
      <c r="E5613" s="12" t="inlineStr"/>
      <c r="F5613" s="12" t="inlineStr">
        <is>
          <t>M&amp;R 5: ultrasonic meters, 2 runs (custody transfer)</t>
        </is>
      </c>
      <c r="G5613" s="12" t="inlineStr">
        <is>
          <t>JB-M&amp;R 5: ultrasonic -DI01</t>
        </is>
      </c>
      <c r="H5613" s="12" t="inlineStr">
        <is>
          <t>M&amp;R 5: ultrasonic meters, 2 runs (custody transfer)</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8</v>
      </c>
      <c r="O5613" s="12" t="n">
        <v>1</v>
      </c>
      <c r="P5613" s="12" t="n"/>
      <c r="Q5613" s="12" t="n"/>
      <c r="R5613" s="12" t="n"/>
      <c r="S5613" s="12" t="inlineStr">
        <is>
          <t>Tray / conduit</t>
        </is>
      </c>
      <c r="T5613" s="16" t="n">
        <v>60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K-I-0176</t>
        </is>
      </c>
      <c r="B5614" s="12" t="inlineStr">
        <is>
          <t>K</t>
        </is>
      </c>
      <c r="C5614" s="12" t="inlineStr">
        <is>
          <t>Fuel supply (adjacent market)</t>
        </is>
      </c>
      <c r="D5614" s="12" t="inlineStr">
        <is>
          <t>Home run JB-M&amp;R 5: ultrasonic -DI01 to the control / marshalling room</t>
        </is>
      </c>
      <c r="E5614" s="12" t="inlineStr"/>
      <c r="F5614" s="12" t="inlineStr">
        <is>
          <t>LNG 17: LNG e-house (13.8 kV / 480 V)</t>
        </is>
      </c>
      <c r="G5614" s="12" t="inlineStr">
        <is>
          <t>JB-M&amp;R 5: ultrasonic -DI01</t>
        </is>
      </c>
      <c r="H5614" s="12" t="inlineStr">
        <is>
          <t>M&amp;R 5: ultrasonic meters, 2 runs (custody transfer)</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651</v>
      </c>
      <c r="U5614" s="16" t="n">
        <v>57</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K-I-0177</t>
        </is>
      </c>
      <c r="B5615" s="12" t="inlineStr">
        <is>
          <t>K</t>
        </is>
      </c>
      <c r="C5615" s="12" t="inlineStr">
        <is>
          <t>Fuel supply (adjacent market)</t>
        </is>
      </c>
      <c r="D5615" s="12" t="inlineStr">
        <is>
          <t>Analog instrument to JB JB-M&amp;R 6: regulation -AI01: 12 x 1 pr (field cables)</t>
        </is>
      </c>
      <c r="E5615" s="12" t="inlineStr"/>
      <c r="F5615" s="12" t="inlineStr">
        <is>
          <t>M&amp;R 6: regulation / flow control building</t>
        </is>
      </c>
      <c r="G5615" s="12" t="inlineStr">
        <is>
          <t>JB-M&amp;R 6: regulation -AI01</t>
        </is>
      </c>
      <c r="H5615" s="12" t="inlineStr">
        <is>
          <t>M&amp;R 6: regulation / flow control building</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61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K-I-0178</t>
        </is>
      </c>
      <c r="B5616" s="12" t="inlineStr">
        <is>
          <t>K</t>
        </is>
      </c>
      <c r="C5616" s="12" t="inlineStr">
        <is>
          <t>Fuel supply (adjacent market)</t>
        </is>
      </c>
      <c r="D5616" s="12" t="inlineStr">
        <is>
          <t>Home run JB-M&amp;R 6: regulation -AI01 to the control / marshalling room</t>
        </is>
      </c>
      <c r="E5616" s="12" t="inlineStr"/>
      <c r="F5616" s="12" t="inlineStr">
        <is>
          <t>LNG 17: LNG e-house (13.8 kV / 480 V)</t>
        </is>
      </c>
      <c r="G5616" s="12" t="inlineStr">
        <is>
          <t>JB-M&amp;R 6: regulation -AI01</t>
        </is>
      </c>
      <c r="H5616" s="12" t="inlineStr">
        <is>
          <t>M&amp;R 6: regulation / flow control building</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470</v>
      </c>
      <c r="U5616" s="16" t="n">
        <v>70</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K-I-0179</t>
        </is>
      </c>
      <c r="B5617" s="12" t="inlineStr">
        <is>
          <t>K</t>
        </is>
      </c>
      <c r="C5617" s="12" t="inlineStr">
        <is>
          <t>Fuel supply (adjacent market)</t>
        </is>
      </c>
      <c r="D5617" s="12" t="inlineStr">
        <is>
          <t>Discrete device to JB JB-M&amp;R 6: regulation -DI01: 12 x 1 pr (field cables)</t>
        </is>
      </c>
      <c r="E5617" s="12" t="inlineStr"/>
      <c r="F5617" s="12" t="inlineStr">
        <is>
          <t>M&amp;R 6: regulation / flow control building</t>
        </is>
      </c>
      <c r="G5617" s="12" t="inlineStr">
        <is>
          <t>JB-M&amp;R 6: regulation -DI01</t>
        </is>
      </c>
      <c r="H5617" s="12" t="inlineStr">
        <is>
          <t>M&amp;R 6: regulation / flow control building</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K-I-0180</t>
        </is>
      </c>
      <c r="B5618" s="12" t="inlineStr">
        <is>
          <t>K</t>
        </is>
      </c>
      <c r="C5618" s="12" t="inlineStr">
        <is>
          <t>Fuel supply (adjacent market)</t>
        </is>
      </c>
      <c r="D5618" s="12" t="inlineStr">
        <is>
          <t>Home run JB-M&amp;R 6: regulation -DI01 to the control / marshalling room</t>
        </is>
      </c>
      <c r="E5618" s="12" t="inlineStr"/>
      <c r="F5618" s="12" t="inlineStr">
        <is>
          <t>LNG 17: LNG e-house (13.8 kV / 480 V)</t>
        </is>
      </c>
      <c r="G5618" s="12" t="inlineStr">
        <is>
          <t>JB-M&amp;R 6: regulation -DI01</t>
        </is>
      </c>
      <c r="H5618" s="12" t="inlineStr">
        <is>
          <t>M&amp;R 6: regulation / flow control building</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K-I-0181</t>
        </is>
      </c>
      <c r="B5619" s="12" t="inlineStr">
        <is>
          <t>K</t>
        </is>
      </c>
      <c r="C5619" s="12" t="inlineStr">
        <is>
          <t>Fuel supply (adjacent market)</t>
        </is>
      </c>
      <c r="D5619" s="12" t="inlineStr">
        <is>
          <t>Analog instrument to JB JB-M&amp;R 7: gas quality-AI01: 20 x 1 pr (field cables)</t>
        </is>
      </c>
      <c r="E5619" s="12" t="inlineStr"/>
      <c r="F5619" s="12" t="inlineStr">
        <is>
          <t>M&amp;R 7: gas quality + measurement building</t>
        </is>
      </c>
      <c r="G5619" s="12" t="inlineStr">
        <is>
          <t>JB-M&amp;R 7: gas quality-AI01</t>
        </is>
      </c>
      <c r="H5619" s="12" t="inlineStr">
        <is>
          <t>M&amp;R 7: gas quality + measurement building</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20</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K-I-0182</t>
        </is>
      </c>
      <c r="B5620" s="12" t="inlineStr">
        <is>
          <t>K</t>
        </is>
      </c>
      <c r="C5620" s="12" t="inlineStr">
        <is>
          <t>Fuel supply (adjacent market)</t>
        </is>
      </c>
      <c r="D5620" s="12" t="inlineStr">
        <is>
          <t>Home run JB-M&amp;R 7: gas quality-AI01 to the control / marshalling room</t>
        </is>
      </c>
      <c r="E5620" s="12" t="inlineStr"/>
      <c r="F5620" s="12" t="inlineStr">
        <is>
          <t>LNG 17: LNG e-house (13.8 kV / 480 V)</t>
        </is>
      </c>
      <c r="G5620" s="12" t="inlineStr">
        <is>
          <t>JB-M&amp;R 7: gas quality-AI01</t>
        </is>
      </c>
      <c r="H5620" s="12" t="inlineStr">
        <is>
          <t>M&amp;R 7: gas quality + measurement building</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616</v>
      </c>
      <c r="U5620" s="16" t="n">
        <v>52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K-I-0183</t>
        </is>
      </c>
      <c r="B5621" s="12" t="inlineStr">
        <is>
          <t>K</t>
        </is>
      </c>
      <c r="C5621" s="12" t="inlineStr">
        <is>
          <t>Fuel supply (adjacent market)</t>
        </is>
      </c>
      <c r="D5621" s="12" t="inlineStr">
        <is>
          <t>Discrete device to JB JB-M&amp;R 7: gas quality-DI01: 8 x 1 pr (field cables)</t>
        </is>
      </c>
      <c r="E5621" s="12" t="inlineStr"/>
      <c r="F5621" s="12" t="inlineStr">
        <is>
          <t>M&amp;R 7: gas quality + measurement building</t>
        </is>
      </c>
      <c r="G5621" s="12" t="inlineStr">
        <is>
          <t>JB-M&amp;R 7: gas quality-DI01</t>
        </is>
      </c>
      <c r="H5621" s="12" t="inlineStr">
        <is>
          <t>M&amp;R 7: gas quality + measurement building</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8</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K-I-0184</t>
        </is>
      </c>
      <c r="B5622" s="12" t="inlineStr">
        <is>
          <t>K</t>
        </is>
      </c>
      <c r="C5622" s="12" t="inlineStr">
        <is>
          <t>Fuel supply (adjacent market)</t>
        </is>
      </c>
      <c r="D5622" s="12" t="inlineStr">
        <is>
          <t>Home run JB-M&amp;R 7: gas quality-DI01 to the control / marshalling room</t>
        </is>
      </c>
      <c r="E5622" s="12" t="inlineStr"/>
      <c r="F5622" s="12" t="inlineStr">
        <is>
          <t>LNG 17: LNG e-house (13.8 kV / 480 V)</t>
        </is>
      </c>
      <c r="G5622" s="12" t="inlineStr">
        <is>
          <t>JB-M&amp;R 7: gas quality-DI01</t>
        </is>
      </c>
      <c r="H5622" s="12" t="inlineStr">
        <is>
          <t>M&amp;R 7: gas quality + measurement building</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616</v>
      </c>
      <c r="U5622" s="16" t="n">
        <v>52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K-I-0185</t>
        </is>
      </c>
      <c r="B5623" s="12" t="inlineStr">
        <is>
          <t>K</t>
        </is>
      </c>
      <c r="C5623" s="12" t="inlineStr">
        <is>
          <t>Fuel supply (adjacent market)</t>
        </is>
      </c>
      <c r="D5623" s="12" t="inlineStr">
        <is>
          <t>Analog instrument to JB JB-M&amp;R 8: condensate -AI01: 4 x 1 pr (field cables)</t>
        </is>
      </c>
      <c r="E5623" s="12" t="inlineStr"/>
      <c r="F5623" s="12" t="inlineStr">
        <is>
          <t>M&amp;R 8: condensate tank</t>
        </is>
      </c>
      <c r="G5623" s="12" t="inlineStr">
        <is>
          <t>JB-M&amp;R 8: condensate -AI01</t>
        </is>
      </c>
      <c r="H5623" s="12" t="inlineStr">
        <is>
          <t>M&amp;R 8: condensate tank</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K-I-0186</t>
        </is>
      </c>
      <c r="B5624" s="12" t="inlineStr">
        <is>
          <t>K</t>
        </is>
      </c>
      <c r="C5624" s="12" t="inlineStr">
        <is>
          <t>Fuel supply (adjacent market)</t>
        </is>
      </c>
      <c r="D5624" s="12" t="inlineStr">
        <is>
          <t>Home run JB-M&amp;R 8: condensate -AI01 to the control / marshalling room</t>
        </is>
      </c>
      <c r="E5624" s="12" t="inlineStr"/>
      <c r="F5624" s="12" t="inlineStr">
        <is>
          <t>LNG 17: LNG e-house (13.8 kV / 480 V)</t>
        </is>
      </c>
      <c r="G5624" s="12" t="inlineStr">
        <is>
          <t>JB-M&amp;R 8: condensate -AI01</t>
        </is>
      </c>
      <c r="H5624" s="12" t="inlineStr">
        <is>
          <t>M&amp;R 8: condensate tank</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530</v>
      </c>
      <c r="U5624" s="16" t="n">
        <v>87</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K-I-0187</t>
        </is>
      </c>
      <c r="B5625" s="12" t="inlineStr">
        <is>
          <t>K</t>
        </is>
      </c>
      <c r="C5625" s="12" t="inlineStr">
        <is>
          <t>Fuel supply (adjacent market)</t>
        </is>
      </c>
      <c r="D5625" s="12" t="inlineStr">
        <is>
          <t>Discrete device to JB JB-M&amp;R 8: condensate -DI01: 4 x 1 pr (field cables)</t>
        </is>
      </c>
      <c r="E5625" s="12" t="inlineStr"/>
      <c r="F5625" s="12" t="inlineStr">
        <is>
          <t>M&amp;R 8: condensate tank</t>
        </is>
      </c>
      <c r="G5625" s="12" t="inlineStr">
        <is>
          <t>JB-M&amp;R 8: condensate -DI01</t>
        </is>
      </c>
      <c r="H5625" s="12" t="inlineStr">
        <is>
          <t>M&amp;R 8: condensate tank</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K-I-0188</t>
        </is>
      </c>
      <c r="B5626" s="12" t="inlineStr">
        <is>
          <t>K</t>
        </is>
      </c>
      <c r="C5626" s="12" t="inlineStr">
        <is>
          <t>Fuel supply (adjacent market)</t>
        </is>
      </c>
      <c r="D5626" s="12" t="inlineStr">
        <is>
          <t>Home run JB-M&amp;R 8: condensate -DI01 to the control / marshalling room</t>
        </is>
      </c>
      <c r="E5626" s="12" t="inlineStr"/>
      <c r="F5626" s="12" t="inlineStr">
        <is>
          <t>LNG 17: LNG e-house (13.8 kV / 480 V)</t>
        </is>
      </c>
      <c r="G5626" s="12" t="inlineStr">
        <is>
          <t>JB-M&amp;R 8: condensate -DI01</t>
        </is>
      </c>
      <c r="H5626" s="12" t="inlineStr">
        <is>
          <t>M&amp;R 8: condensate tank</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530</v>
      </c>
      <c r="U5626" s="16" t="n">
        <v>87</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K-I-0189</t>
        </is>
      </c>
      <c r="B5627" s="12" t="inlineStr">
        <is>
          <t>K</t>
        </is>
      </c>
      <c r="C5627" s="12" t="inlineStr">
        <is>
          <t>Fuel supply (adjacent market)</t>
        </is>
      </c>
      <c r="D5627" s="12" t="inlineStr">
        <is>
          <t>Instrumentation</t>
        </is>
      </c>
      <c r="E5627" s="12" t="inlineStr"/>
      <c r="F5627" s="12" t="inlineStr">
        <is>
          <t>LNG 17: LNG e-house (13.8 kV / 480 V)</t>
        </is>
      </c>
      <c r="G5627" s="12" t="inlineStr"/>
      <c r="H5627" s="12" t="inlineStr">
        <is>
          <t>M&amp;R CP test station (as drawn)</t>
        </is>
      </c>
      <c r="I5627" s="12" t="inlineStr">
        <is>
          <t>Instrumentation</t>
        </is>
      </c>
      <c r="J5627" s="12" t="inlineStr">
        <is>
          <t>Instrumentation ITC / PLTC, IS, #18 shielded pairs, blue jacket</t>
        </is>
      </c>
      <c r="K5627" s="12" t="inlineStr">
        <is>
          <t>ITC|4 pr|18</t>
        </is>
      </c>
      <c r="L5627" s="12" t="inlineStr">
        <is>
          <t>4 pr</t>
        </is>
      </c>
      <c r="M5627" s="12" t="inlineStr">
        <is>
          <t>18</t>
        </is>
      </c>
      <c r="N5627" s="12" t="n">
        <v>1</v>
      </c>
      <c r="O5627" s="12" t="n">
        <v>1</v>
      </c>
      <c r="P5627" s="12" t="n"/>
      <c r="Q5627" s="12" t="n"/>
      <c r="R5627" s="12" t="n"/>
      <c r="S5627" s="12" t="inlineStr">
        <is>
          <t>Duct bank</t>
        </is>
      </c>
      <c r="T5627" s="16" t="n">
        <v>441</v>
      </c>
      <c r="U5627" s="16" t="n">
        <v>42</v>
      </c>
      <c r="V5627" s="16">
        <f>ROUNDUP((T5627+U5627+2*'Read Me'!$B$13)*(1+'Read Me'!$B$12),-1)</f>
        <v/>
      </c>
      <c r="W5627" s="16">
        <f>V5627*N5627*O5627</f>
        <v/>
      </c>
      <c r="X5627" s="12">
        <f>IF(LEFT(I5627,2)="MV",2*N5627*IF(L5627="1/C",O5627,1),0)</f>
        <v/>
      </c>
      <c r="Y5627" s="12">
        <f>IF(OR(LEFT(K5627,4)="LVAX",LEFT(K5627,6)="MV15AX",LEFT(K5627,4)="CTAX",LEFT(K5627,2)="W|"),2*N5627*O5627,0)</f>
        <v/>
      </c>
      <c r="Z5627" s="12" t="inlineStr"/>
      <c r="AA5627" s="12">
        <f>N5627*O5627</f>
        <v/>
      </c>
    </row>
    <row r="5628">
      <c r="A5628" s="12" t="inlineStr">
        <is>
          <t>K-I-0190</t>
        </is>
      </c>
      <c r="B5628" s="12" t="inlineStr">
        <is>
          <t>K</t>
        </is>
      </c>
      <c r="C5628" s="12" t="inlineStr">
        <is>
          <t>Fuel supply (adjacent market)</t>
        </is>
      </c>
      <c r="D5628" s="12" t="inlineStr">
        <is>
          <t>Instrumentation</t>
        </is>
      </c>
      <c r="E5628" s="12" t="inlineStr"/>
      <c r="F5628" s="12" t="inlineStr">
        <is>
          <t>H2 20: 13.8 kV e-house</t>
        </is>
      </c>
      <c r="G5628" s="12" t="inlineStr"/>
      <c r="H5628" s="12" t="inlineStr">
        <is>
          <t>PEM electrolyzer 1 (HyLYZER-1000)</t>
        </is>
      </c>
      <c r="I5628" s="12" t="inlineStr">
        <is>
          <t>Instrumentation</t>
        </is>
      </c>
      <c r="J5628" s="12" t="inlineStr">
        <is>
          <t>Instrumentation ITC / PLTC, IS, #18 shielded pairs, blue jacket</t>
        </is>
      </c>
      <c r="K5628" s="12" t="inlineStr">
        <is>
          <t>ITC|4 pr|18</t>
        </is>
      </c>
      <c r="L5628" s="12" t="inlineStr">
        <is>
          <t>4 pr</t>
        </is>
      </c>
      <c r="M5628" s="12" t="inlineStr">
        <is>
          <t>18</t>
        </is>
      </c>
      <c r="N5628" s="12" t="n">
        <v>1</v>
      </c>
      <c r="O5628" s="12" t="n">
        <v>1</v>
      </c>
      <c r="P5628" s="12" t="n"/>
      <c r="Q5628" s="12" t="n"/>
      <c r="R5628" s="12" t="n"/>
      <c r="S5628" s="12" t="inlineStr">
        <is>
          <t>Duct bank</t>
        </is>
      </c>
      <c r="T5628" s="16" t="n">
        <v>358</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K-I-0191</t>
        </is>
      </c>
      <c r="B5629" s="12" t="inlineStr">
        <is>
          <t>K</t>
        </is>
      </c>
      <c r="C5629" s="12" t="inlineStr">
        <is>
          <t>Fuel supply (adjacent market)</t>
        </is>
      </c>
      <c r="D5629" s="12" t="inlineStr">
        <is>
          <t>Instrumentation</t>
        </is>
      </c>
      <c r="E5629" s="12" t="inlineStr"/>
      <c r="F5629" s="12" t="inlineStr">
        <is>
          <t>H2 20: 13.8 kV e-house</t>
        </is>
      </c>
      <c r="G5629" s="12" t="inlineStr"/>
      <c r="H5629" s="12" t="inlineStr">
        <is>
          <t>PEM electrolyzer 2 (HyLYZER-1000)</t>
        </is>
      </c>
      <c r="I5629" s="12" t="inlineStr">
        <is>
          <t>Instrumentation</t>
        </is>
      </c>
      <c r="J5629" s="12" t="inlineStr">
        <is>
          <t>Instrumentation ITC / PLTC, IS, #18 shielded pairs, blue jacket</t>
        </is>
      </c>
      <c r="K5629" s="12" t="inlineStr">
        <is>
          <t>ITC|4 pr|18</t>
        </is>
      </c>
      <c r="L5629" s="12" t="inlineStr">
        <is>
          <t>4 pr</t>
        </is>
      </c>
      <c r="M5629" s="12" t="inlineStr">
        <is>
          <t>18</t>
        </is>
      </c>
      <c r="N5629" s="12" t="n">
        <v>1</v>
      </c>
      <c r="O5629" s="12" t="n">
        <v>1</v>
      </c>
      <c r="P5629" s="12" t="n"/>
      <c r="Q5629" s="12" t="n"/>
      <c r="R5629" s="12" t="n"/>
      <c r="S5629" s="12" t="inlineStr">
        <is>
          <t>Duct bank</t>
        </is>
      </c>
      <c r="T5629" s="16" t="n">
        <v>358</v>
      </c>
      <c r="U5629" s="16" t="n">
        <v>48</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K-I-0192</t>
        </is>
      </c>
      <c r="B5630" s="12" t="inlineStr">
        <is>
          <t>K</t>
        </is>
      </c>
      <c r="C5630" s="12" t="inlineStr">
        <is>
          <t>Fuel supply (adjacent market)</t>
        </is>
      </c>
      <c r="D5630" s="12" t="inlineStr">
        <is>
          <t>Instrumentation</t>
        </is>
      </c>
      <c r="E5630" s="12" t="inlineStr"/>
      <c r="F5630" s="12" t="inlineStr">
        <is>
          <t>H2 20: 13.8 kV e-house</t>
        </is>
      </c>
      <c r="G5630" s="12" t="inlineStr"/>
      <c r="H5630" s="12" t="inlineStr">
        <is>
          <t>PEM electrolyzer 3 (HyLYZER-1000)</t>
        </is>
      </c>
      <c r="I5630" s="12" t="inlineStr">
        <is>
          <t>Instrumentation</t>
        </is>
      </c>
      <c r="J5630" s="12" t="inlineStr">
        <is>
          <t>Instrumentation ITC / PLTC, IS, #18 shielded pairs, blue jacket</t>
        </is>
      </c>
      <c r="K5630" s="12" t="inlineStr">
        <is>
          <t>ITC|4 pr|18</t>
        </is>
      </c>
      <c r="L5630" s="12" t="inlineStr">
        <is>
          <t>4 pr</t>
        </is>
      </c>
      <c r="M5630" s="12" t="inlineStr">
        <is>
          <t>18</t>
        </is>
      </c>
      <c r="N5630" s="12" t="n">
        <v>1</v>
      </c>
      <c r="O5630" s="12" t="n">
        <v>1</v>
      </c>
      <c r="P5630" s="12" t="n"/>
      <c r="Q5630" s="12" t="n"/>
      <c r="R5630" s="12" t="n"/>
      <c r="S5630" s="12" t="inlineStr">
        <is>
          <t>Duct bank</t>
        </is>
      </c>
      <c r="T5630" s="16" t="n">
        <v>348</v>
      </c>
      <c r="U5630" s="16" t="n">
        <v>49</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K-I-0193</t>
        </is>
      </c>
      <c r="B5631" s="12" t="inlineStr">
        <is>
          <t>K</t>
        </is>
      </c>
      <c r="C5631" s="12" t="inlineStr">
        <is>
          <t>Fuel supply (adjacent market)</t>
        </is>
      </c>
      <c r="D5631" s="12" t="inlineStr">
        <is>
          <t>Instrumentation</t>
        </is>
      </c>
      <c r="E5631" s="12" t="inlineStr"/>
      <c r="F5631" s="12" t="inlineStr">
        <is>
          <t>H2 20: 13.8 kV e-house</t>
        </is>
      </c>
      <c r="G5631" s="12" t="inlineStr"/>
      <c r="H5631" s="12" t="inlineStr">
        <is>
          <t>PEM electrolyzer 4 (HyLYZER-1000)</t>
        </is>
      </c>
      <c r="I5631" s="12" t="inlineStr">
        <is>
          <t>Instrumentation</t>
        </is>
      </c>
      <c r="J5631" s="12" t="inlineStr">
        <is>
          <t>Instrumentation ITC / PLTC, IS, #18 shielded pairs, blue jacket</t>
        </is>
      </c>
      <c r="K5631" s="12" t="inlineStr">
        <is>
          <t>ITC|4 pr|18</t>
        </is>
      </c>
      <c r="L5631" s="12" t="inlineStr">
        <is>
          <t>4 pr</t>
        </is>
      </c>
      <c r="M5631" s="12" t="inlineStr">
        <is>
          <t>18</t>
        </is>
      </c>
      <c r="N5631" s="12" t="n">
        <v>1</v>
      </c>
      <c r="O5631" s="12" t="n">
        <v>1</v>
      </c>
      <c r="P5631" s="12" t="n"/>
      <c r="Q5631" s="12" t="n"/>
      <c r="R5631" s="12" t="n"/>
      <c r="S5631" s="12" t="inlineStr">
        <is>
          <t>Duct bank</t>
        </is>
      </c>
      <c r="T5631" s="16" t="n">
        <v>328</v>
      </c>
      <c r="U5631" s="16" t="n">
        <v>49</v>
      </c>
      <c r="V5631" s="16">
        <f>ROUNDUP((T5631+U5631+2*'Read Me'!$B$13)*(1+'Read Me'!$B$12),-1)</f>
        <v/>
      </c>
      <c r="W5631" s="16">
        <f>V5631*N5631*O5631</f>
        <v/>
      </c>
      <c r="X5631" s="12">
        <f>IF(LEFT(I5631,2)="MV",2*N5631*IF(L5631="1/C",O5631,1),0)</f>
        <v/>
      </c>
      <c r="Y5631" s="12">
        <f>IF(OR(LEFT(K5631,4)="LVAX",LEFT(K5631,6)="MV15AX",LEFT(K5631,4)="CTAX",LEFT(K5631,2)="W|"),2*N5631*O5631,0)</f>
        <v/>
      </c>
      <c r="Z5631" s="12" t="inlineStr"/>
      <c r="AA5631" s="12">
        <f>N5631*O5631</f>
        <v/>
      </c>
    </row>
    <row r="5632">
      <c r="A5632" s="12" t="inlineStr">
        <is>
          <t>K-I-0194</t>
        </is>
      </c>
      <c r="B5632" s="12" t="inlineStr">
        <is>
          <t>K</t>
        </is>
      </c>
      <c r="C5632" s="12" t="inlineStr">
        <is>
          <t>Fuel supply (adjacent market)</t>
        </is>
      </c>
      <c r="D5632" s="12" t="inlineStr">
        <is>
          <t>Instrumentation</t>
        </is>
      </c>
      <c r="E5632" s="12" t="inlineStr"/>
      <c r="F5632" s="12" t="inlineStr">
        <is>
          <t>H2 20: 13.8 kV e-house</t>
        </is>
      </c>
      <c r="G5632" s="12" t="inlineStr"/>
      <c r="H5632" s="12" t="inlineStr">
        <is>
          <t>PEM electrolyzer 5 (HyLYZER-1000)</t>
        </is>
      </c>
      <c r="I5632" s="12" t="inlineStr">
        <is>
          <t>Instrumentation</t>
        </is>
      </c>
      <c r="J5632" s="12" t="inlineStr">
        <is>
          <t>Instrumentation ITC / PLTC, IS, #18 shielded pairs, blue jacket</t>
        </is>
      </c>
      <c r="K5632" s="12" t="inlineStr">
        <is>
          <t>ITC|4 pr|18</t>
        </is>
      </c>
      <c r="L5632" s="12" t="inlineStr">
        <is>
          <t>4 pr</t>
        </is>
      </c>
      <c r="M5632" s="12" t="inlineStr">
        <is>
          <t>18</t>
        </is>
      </c>
      <c r="N5632" s="12" t="n">
        <v>1</v>
      </c>
      <c r="O5632" s="12" t="n">
        <v>1</v>
      </c>
      <c r="P5632" s="12" t="n"/>
      <c r="Q5632" s="12" t="n"/>
      <c r="R5632" s="12" t="n"/>
      <c r="S5632" s="12" t="inlineStr">
        <is>
          <t>Duct bank</t>
        </is>
      </c>
      <c r="T5632" s="16" t="n">
        <v>328</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K-P-0001</t>
        </is>
      </c>
      <c r="B5633" s="12" t="inlineStr">
        <is>
          <t>K</t>
        </is>
      </c>
      <c r="C5633" s="12" t="inlineStr">
        <is>
          <t>Fuel supply (adjacent market)</t>
        </is>
      </c>
      <c r="D5633" s="12" t="inlineStr">
        <is>
          <t>Motor 1 of 1, 15 kW</t>
        </is>
      </c>
      <c r="E5633" s="12" t="inlineStr"/>
      <c r="F5633" s="12" t="inlineStr">
        <is>
          <t>H2 20: 13.8 kV e-house</t>
        </is>
      </c>
      <c r="G5633" s="12" t="inlineStr">
        <is>
          <t>T-H2</t>
        </is>
      </c>
      <c r="H5633" s="12" t="inlineStr">
        <is>
          <t>H2 19: T-H2 230/13.8 kV (about 40 MVA)</t>
        </is>
      </c>
      <c r="I5633" s="12" t="inlineStr">
        <is>
          <t>LV 600 V</t>
        </is>
      </c>
      <c r="J5633" s="12" t="inlineStr">
        <is>
          <t>ARMOR-X MC-HL 600 V 3/C Cu XHHW-2 + ground, CWA, black PVC (Class I Div 2)</t>
        </is>
      </c>
      <c r="K5633" s="12" t="inlineStr">
        <is>
          <t>LVAX|3/C+G|10</t>
        </is>
      </c>
      <c r="L5633" s="12" t="inlineStr">
        <is>
          <t>3/C+G</t>
        </is>
      </c>
      <c r="M5633" s="12" t="inlineStr">
        <is>
          <t>10</t>
        </is>
      </c>
      <c r="N5633" s="12" t="n">
        <v>1</v>
      </c>
      <c r="O5633" s="12" t="n">
        <v>1</v>
      </c>
      <c r="P5633" s="12" t="n">
        <v>480</v>
      </c>
      <c r="Q5633" s="12" t="n">
        <v>15</v>
      </c>
      <c r="R5633" s="12" t="n">
        <v>21.2</v>
      </c>
      <c r="S5633" s="12" t="inlineStr">
        <is>
          <t>Duct bank</t>
        </is>
      </c>
      <c r="T5633" s="16" t="n">
        <v>35</v>
      </c>
      <c r="U5633" s="16" t="n">
        <v>32</v>
      </c>
      <c r="V5633" s="16">
        <f>ROUNDUP((T5633+U5633+2*'Read Me'!$B$13)*(1+'Read Me'!$B$12),-1)</f>
        <v/>
      </c>
      <c r="W5633" s="16">
        <f>V5633*N5633*O5633</f>
        <v/>
      </c>
      <c r="X5633" s="12">
        <f>IF(LEFT(I5633,2)="MV",2*N5633*IF(L5633="1/C",O5633,1),0)</f>
        <v/>
      </c>
      <c r="Y5633" s="12">
        <f>IF(OR(LEFT(K5633,4)="LVAX",LEFT(K5633,6)="MV15AX",LEFT(K5633,4)="CTAX",LEFT(K5633,2)="W|"),2*N5633*O5633,0)</f>
        <v/>
      </c>
      <c r="Z5633" s="12" t="inlineStr">
        <is>
          <t>VD 0.7 %</t>
        </is>
      </c>
      <c r="AA5633" s="12">
        <f>N5633*O5633</f>
        <v/>
      </c>
    </row>
    <row r="5634">
      <c r="A5634" s="12" t="inlineStr">
        <is>
          <t>K-P-0002</t>
        </is>
      </c>
      <c r="B5634" s="12" t="inlineStr">
        <is>
          <t>K</t>
        </is>
      </c>
      <c r="C5634" s="12" t="inlineStr">
        <is>
          <t>Fuel supply (adjacent market)</t>
        </is>
      </c>
      <c r="D5634" s="12" t="inlineStr">
        <is>
          <t>Motor 1 of 1, 15 kW</t>
        </is>
      </c>
      <c r="E5634" s="12" t="inlineStr"/>
      <c r="F5634" s="12" t="inlineStr">
        <is>
          <t>H2 20: 13.8 kV e-house</t>
        </is>
      </c>
      <c r="G5634" s="12" t="inlineStr"/>
      <c r="H5634" s="12" t="inlineStr">
        <is>
          <t>H2 20: 13.8 kV e-house</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15</v>
      </c>
      <c r="R5634" s="12" t="n">
        <v>21.2</v>
      </c>
      <c r="S5634" s="12" t="inlineStr">
        <is>
          <t>Tray</t>
        </is>
      </c>
      <c r="T5634" s="16" t="n">
        <v>0</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is>
          <t>VD 0.3 %</t>
        </is>
      </c>
      <c r="AA5634" s="12">
        <f>N5634*O5634</f>
        <v/>
      </c>
    </row>
    <row r="5635">
      <c r="A5635" s="12" t="inlineStr">
        <is>
          <t>K-P-0003</t>
        </is>
      </c>
      <c r="B5635" s="12" t="inlineStr">
        <is>
          <t>K</t>
        </is>
      </c>
      <c r="C5635" s="12" t="inlineStr">
        <is>
          <t>Fuel supply (adjacent market)</t>
        </is>
      </c>
      <c r="D5635" s="12" t="inlineStr">
        <is>
          <t>Motor 1 of 1, 15 kW</t>
        </is>
      </c>
      <c r="E5635" s="12" t="inlineStr"/>
      <c r="F5635" s="12" t="inlineStr">
        <is>
          <t>H2 20: 13.8 kV e-house</t>
        </is>
      </c>
      <c r="G5635" s="12" t="inlineStr"/>
      <c r="H5635" s="12" t="inlineStr">
        <is>
          <t>H2 21: rectifier transformer 1 (7 MVA)</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15</v>
      </c>
      <c r="R5635" s="12" t="n">
        <v>21.2</v>
      </c>
      <c r="S5635" s="12" t="inlineStr">
        <is>
          <t>Duct bank</t>
        </is>
      </c>
      <c r="T5635" s="16" t="n">
        <v>356</v>
      </c>
      <c r="U5635" s="16" t="n">
        <v>48</v>
      </c>
      <c r="V5635" s="16">
        <f>ROUNDUP((T5635+U5635+2*'Read Me'!$B$13)*(1+'Read Me'!$B$12),-1)</f>
        <v/>
      </c>
      <c r="W5635" s="16">
        <f>V5635*N5635*O5635</f>
        <v/>
      </c>
      <c r="X5635" s="12">
        <f>IF(LEFT(I5635,2)="MV",2*N5635*IF(L5635="1/C",O5635,1),0)</f>
        <v/>
      </c>
      <c r="Y5635" s="12">
        <f>IF(OR(LEFT(K5635,4)="LVAX",LEFT(K5635,6)="MV15AX",LEFT(K5635,4)="CTAX",LEFT(K5635,2)="W|"),2*N5635*O5635,0)</f>
        <v/>
      </c>
      <c r="Z5635" s="12" t="inlineStr">
        <is>
          <t>VD 2.6 %</t>
        </is>
      </c>
      <c r="AA5635" s="12">
        <f>N5635*O5635</f>
        <v/>
      </c>
    </row>
    <row r="5636">
      <c r="A5636" s="12" t="inlineStr">
        <is>
          <t>K-P-0004</t>
        </is>
      </c>
      <c r="B5636" s="12" t="inlineStr">
        <is>
          <t>K</t>
        </is>
      </c>
      <c r="C5636" s="12" t="inlineStr">
        <is>
          <t>Fuel supply (adjacent market)</t>
        </is>
      </c>
      <c r="D5636" s="12" t="inlineStr">
        <is>
          <t>Motor 1 of 1, 15 kW</t>
        </is>
      </c>
      <c r="E5636" s="12" t="inlineStr"/>
      <c r="F5636" s="12" t="inlineStr">
        <is>
          <t>H2 20: 13.8 kV e-house</t>
        </is>
      </c>
      <c r="G5636" s="12" t="inlineStr"/>
      <c r="H5636" s="12" t="inlineStr">
        <is>
          <t>H2 21: rectifier transformer 2 (7 MVA)</t>
        </is>
      </c>
      <c r="I5636" s="12" t="inlineStr">
        <is>
          <t>LV 600 V</t>
        </is>
      </c>
      <c r="J5636" s="12" t="inlineStr">
        <is>
          <t>ARMOR-X MC-HL 600 V 3/C Cu XHHW-2 + ground, CWA, black PVC (Class I Div 2)</t>
        </is>
      </c>
      <c r="K5636" s="12" t="inlineStr">
        <is>
          <t>LVAX|3/C+G|8</t>
        </is>
      </c>
      <c r="L5636" s="12" t="inlineStr">
        <is>
          <t>3/C+G</t>
        </is>
      </c>
      <c r="M5636" s="12" t="inlineStr">
        <is>
          <t>8</t>
        </is>
      </c>
      <c r="N5636" s="12" t="n">
        <v>1</v>
      </c>
      <c r="O5636" s="12" t="n">
        <v>1</v>
      </c>
      <c r="P5636" s="12" t="n">
        <v>480</v>
      </c>
      <c r="Q5636" s="12" t="n">
        <v>15</v>
      </c>
      <c r="R5636" s="12" t="n">
        <v>21.2</v>
      </c>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is>
          <t>VD 2.5 %</t>
        </is>
      </c>
      <c r="AA5636" s="12">
        <f>N5636*O5636</f>
        <v/>
      </c>
    </row>
    <row r="5637">
      <c r="A5637" s="12" t="inlineStr">
        <is>
          <t>K-P-0005</t>
        </is>
      </c>
      <c r="B5637" s="12" t="inlineStr">
        <is>
          <t>K</t>
        </is>
      </c>
      <c r="C5637" s="12" t="inlineStr">
        <is>
          <t>Fuel supply (adjacent market)</t>
        </is>
      </c>
      <c r="D5637" s="12" t="inlineStr">
        <is>
          <t>Motor 1 of 1, 15 kW</t>
        </is>
      </c>
      <c r="E5637" s="12" t="inlineStr"/>
      <c r="F5637" s="12" t="inlineStr">
        <is>
          <t>H2 20: 13.8 kV e-house</t>
        </is>
      </c>
      <c r="G5637" s="12" t="inlineStr"/>
      <c r="H5637" s="12" t="inlineStr">
        <is>
          <t>H2 21: rectifier transformer 3 (7 MVA)</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15</v>
      </c>
      <c r="R5637" s="12" t="n">
        <v>21.2</v>
      </c>
      <c r="S5637" s="12" t="inlineStr">
        <is>
          <t>Duct bank</t>
        </is>
      </c>
      <c r="T5637" s="16" t="n">
        <v>334</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is>
          <t>VD 2.4 %</t>
        </is>
      </c>
      <c r="AA5637" s="12">
        <f>N5637*O5637</f>
        <v/>
      </c>
    </row>
    <row r="5638">
      <c r="A5638" s="12" t="inlineStr">
        <is>
          <t>K-P-0006</t>
        </is>
      </c>
      <c r="B5638" s="12" t="inlineStr">
        <is>
          <t>K</t>
        </is>
      </c>
      <c r="C5638" s="12" t="inlineStr">
        <is>
          <t>Fuel supply (adjacent market)</t>
        </is>
      </c>
      <c r="D5638" s="12" t="inlineStr">
        <is>
          <t>Motor 1 of 1, 15 kW</t>
        </is>
      </c>
      <c r="E5638" s="12" t="inlineStr"/>
      <c r="F5638" s="12" t="inlineStr">
        <is>
          <t>H2 20: 13.8 kV e-house</t>
        </is>
      </c>
      <c r="G5638" s="12" t="inlineStr"/>
      <c r="H5638" s="12" t="inlineStr">
        <is>
          <t>H2 21: rectifier transformer 4 (7 MVA)</t>
        </is>
      </c>
      <c r="I5638" s="12" t="inlineStr">
        <is>
          <t>LV 600 V</t>
        </is>
      </c>
      <c r="J5638" s="12" t="inlineStr">
        <is>
          <t>ARMOR-X MC-HL 600 V 3/C Cu XHHW-2 + ground, CWA, black PVC (Class I Div 2)</t>
        </is>
      </c>
      <c r="K5638" s="12" t="inlineStr">
        <is>
          <t>LVAX|3/C+G|8</t>
        </is>
      </c>
      <c r="L5638" s="12" t="inlineStr">
        <is>
          <t>3/C+G</t>
        </is>
      </c>
      <c r="M5638" s="12" t="inlineStr">
        <is>
          <t>8</t>
        </is>
      </c>
      <c r="N5638" s="12" t="n">
        <v>1</v>
      </c>
      <c r="O5638" s="12" t="n">
        <v>1</v>
      </c>
      <c r="P5638" s="12" t="n">
        <v>480</v>
      </c>
      <c r="Q5638" s="12" t="n">
        <v>15</v>
      </c>
      <c r="R5638" s="12" t="n">
        <v>21.2</v>
      </c>
      <c r="S5638" s="12" t="inlineStr">
        <is>
          <t>Duct bank</t>
        </is>
      </c>
      <c r="T5638" s="16" t="n">
        <v>312</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2.2 %</t>
        </is>
      </c>
      <c r="AA5638" s="12">
        <f>N5638*O5638</f>
        <v/>
      </c>
    </row>
    <row r="5639">
      <c r="A5639" s="12" t="inlineStr">
        <is>
          <t>K-P-0007</t>
        </is>
      </c>
      <c r="B5639" s="12" t="inlineStr">
        <is>
          <t>K</t>
        </is>
      </c>
      <c r="C5639" s="12" t="inlineStr">
        <is>
          <t>Fuel supply (adjacent market)</t>
        </is>
      </c>
      <c r="D5639" s="12" t="inlineStr">
        <is>
          <t>Motor 1 of 1, 15 kW</t>
        </is>
      </c>
      <c r="E5639" s="12" t="inlineStr"/>
      <c r="F5639" s="12" t="inlineStr">
        <is>
          <t>H2 20: 13.8 kV e-house</t>
        </is>
      </c>
      <c r="G5639" s="12" t="inlineStr"/>
      <c r="H5639" s="12" t="inlineStr">
        <is>
          <t>H2 21: rectifier transformer 5 (7 MVA)</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Duct bank</t>
        </is>
      </c>
      <c r="T5639" s="16" t="n">
        <v>254</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is>
          <t>VD 2.9 %</t>
        </is>
      </c>
      <c r="AA5639" s="12">
        <f>N5639*O5639</f>
        <v/>
      </c>
    </row>
    <row r="5640">
      <c r="A5640" s="12" t="inlineStr">
        <is>
          <t>K-P-0008</t>
        </is>
      </c>
      <c r="B5640" s="12" t="inlineStr">
        <is>
          <t>K</t>
        </is>
      </c>
      <c r="C5640" s="12" t="inlineStr">
        <is>
          <t>Fuel supply (adjacent market)</t>
        </is>
      </c>
      <c r="D5640" s="12" t="inlineStr">
        <is>
          <t>Motor 1 of 1, 15 kW</t>
        </is>
      </c>
      <c r="E5640" s="12" t="inlineStr"/>
      <c r="F5640" s="12" t="inlineStr">
        <is>
          <t>H2 20: 13.8 kV e-house</t>
        </is>
      </c>
      <c r="G5640" s="12" t="inlineStr">
        <is>
          <t>H2-EL</t>
        </is>
      </c>
      <c r="H5640" s="12" t="inlineStr">
        <is>
          <t>H2 22: electrolyzer building (5 x HyLYZER-1000 + 5 rectifiers)</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346</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2.4 %</t>
        </is>
      </c>
      <c r="AA5640" s="12">
        <f>N5640*O5640</f>
        <v/>
      </c>
    </row>
    <row r="5641">
      <c r="A5641" s="12" t="inlineStr">
        <is>
          <t>K-P-0009</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23: dry coolers</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Duct bank</t>
        </is>
      </c>
      <c r="T5641" s="16" t="n">
        <v>100</v>
      </c>
      <c r="U5641" s="16" t="n">
        <v>32</v>
      </c>
      <c r="V5641" s="16">
        <f>ROUNDUP((T5641+U5641+2*'Read Me'!$B$13)*(1+'Read Me'!$B$12),-1)</f>
        <v/>
      </c>
      <c r="W5641" s="16">
        <f>V5641*N5641*O5641</f>
        <v/>
      </c>
      <c r="X5641" s="12">
        <f>IF(LEFT(I5641,2)="MV",2*N5641*IF(L5641="1/C",O5641,1),0)</f>
        <v/>
      </c>
      <c r="Y5641" s="12">
        <f>IF(OR(LEFT(K5641,4)="LVAX",LEFT(K5641,6)="MV15AX",LEFT(K5641,4)="CTAX",LEFT(K5641,2)="W|"),2*N5641*O5641,0)</f>
        <v/>
      </c>
      <c r="Z5641" s="12" t="inlineStr">
        <is>
          <t>VD 1.3 %</t>
        </is>
      </c>
      <c r="AA5641" s="12">
        <f>N5641*O5641</f>
        <v/>
      </c>
    </row>
    <row r="5642">
      <c r="A5642" s="12" t="inlineStr">
        <is>
          <t>K-P-0010</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24: water purification (RO / EDI)</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Duct bank</t>
        </is>
      </c>
      <c r="T5642" s="16" t="n">
        <v>146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is>
          <t>VD 1.8 %</t>
        </is>
      </c>
      <c r="AA5642" s="12">
        <f>N5642*O5642</f>
        <v/>
      </c>
    </row>
    <row r="5643">
      <c r="A5643" s="12" t="inlineStr">
        <is>
          <t>K-P-0011</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25: H2 dryer / purification</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Duct bank</t>
        </is>
      </c>
      <c r="T5643" s="16" t="n">
        <v>0</v>
      </c>
      <c r="U5643" s="16" t="n">
        <v>49</v>
      </c>
      <c r="V5643" s="16">
        <f>ROUNDUP((T5643+U5643+2*'Read Me'!$B$13)*(1+'Read Me'!$B$12),-1)</f>
        <v/>
      </c>
      <c r="W5643" s="16">
        <f>V5643*N5643*O5643</f>
        <v/>
      </c>
      <c r="X5643" s="12">
        <f>IF(LEFT(I5643,2)="MV",2*N5643*IF(L5643="1/C",O5643,1),0)</f>
        <v/>
      </c>
      <c r="Y5643" s="12">
        <f>IF(OR(LEFT(K5643,4)="LVAX",LEFT(K5643,6)="MV15AX",LEFT(K5643,4)="CTAX",LEFT(K5643,2)="W|"),2*N5643*O5643,0)</f>
        <v/>
      </c>
      <c r="Z5643" s="12" t="inlineStr">
        <is>
          <t>VD 0.5 %</t>
        </is>
      </c>
      <c r="AA5643" s="12">
        <f>N5643*O5643</f>
        <v/>
      </c>
    </row>
    <row r="5644">
      <c r="A5644" s="12" t="inlineStr">
        <is>
          <t>K-P-0012</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26: H2 compressor 1 (40 ft ISO)</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Duct bank</t>
        </is>
      </c>
      <c r="T5644" s="16" t="n">
        <v>50</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is>
          <t>VD 0.8 %</t>
        </is>
      </c>
      <c r="AA5644" s="12">
        <f>N5644*O5644</f>
        <v/>
      </c>
    </row>
    <row r="5645">
      <c r="A5645" s="12" t="inlineStr">
        <is>
          <t>K-P-0013</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26: H2 compressor 2 (40 ft ISO)</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Duct bank</t>
        </is>
      </c>
      <c r="T5645" s="16" t="n">
        <v>50</v>
      </c>
      <c r="U5645" s="16" t="n">
        <v>47</v>
      </c>
      <c r="V5645" s="16">
        <f>ROUNDUP((T5645+U5645+2*'Read Me'!$B$13)*(1+'Read Me'!$B$12),-1)</f>
        <v/>
      </c>
      <c r="W5645" s="16">
        <f>V5645*N5645*O5645</f>
        <v/>
      </c>
      <c r="X5645" s="12">
        <f>IF(LEFT(I5645,2)="MV",2*N5645*IF(L5645="1/C",O5645,1),0)</f>
        <v/>
      </c>
      <c r="Y5645" s="12">
        <f>IF(OR(LEFT(K5645,4)="LVAX",LEFT(K5645,6)="MV15AX",LEFT(K5645,4)="CTAX",LEFT(K5645,2)="W|"),2*N5645*O5645,0)</f>
        <v/>
      </c>
      <c r="Z5645" s="12" t="inlineStr">
        <is>
          <t>VD 1.0 %</t>
        </is>
      </c>
      <c r="AA5645" s="12">
        <f>N5645*O5645</f>
        <v/>
      </c>
    </row>
    <row r="5646">
      <c r="A5646" s="12" t="inlineStr">
        <is>
          <t>K-P-0014</t>
        </is>
      </c>
      <c r="B5646" s="12" t="inlineStr">
        <is>
          <t>K</t>
        </is>
      </c>
      <c r="C5646" s="12" t="inlineStr">
        <is>
          <t>Fuel supply (adjacent market)</t>
        </is>
      </c>
      <c r="D5646" s="12" t="inlineStr">
        <is>
          <t>Motor 1 of 1, 15 kW</t>
        </is>
      </c>
      <c r="E5646" s="12" t="inlineStr"/>
      <c r="F5646" s="12" t="inlineStr">
        <is>
          <t>H2 20: 13.8 kV e-house</t>
        </is>
      </c>
      <c r="G5646" s="12" t="inlineStr"/>
      <c r="H5646" s="12" t="inlineStr">
        <is>
          <t>H2 27: storage tube bank (~40 ft tubes)</t>
        </is>
      </c>
      <c r="I5646" s="12" t="inlineStr">
        <is>
          <t>LV 600 V</t>
        </is>
      </c>
      <c r="J5646" s="12" t="inlineStr">
        <is>
          <t>ARMOR-X MC-HL 600 V 3/C Cu XHHW-2 + ground, CWA, black PVC (Class I Div 2)</t>
        </is>
      </c>
      <c r="K5646" s="12" t="inlineStr">
        <is>
          <t>LVAX|3/C+G|10</t>
        </is>
      </c>
      <c r="L5646" s="12" t="inlineStr">
        <is>
          <t>3/C+G</t>
        </is>
      </c>
      <c r="M5646" s="12" t="inlineStr">
        <is>
          <t>10</t>
        </is>
      </c>
      <c r="N5646" s="12" t="n">
        <v>1</v>
      </c>
      <c r="O5646" s="12" t="n">
        <v>1</v>
      </c>
      <c r="P5646" s="12" t="n">
        <v>480</v>
      </c>
      <c r="Q5646" s="12" t="n">
        <v>15</v>
      </c>
      <c r="R5646" s="12" t="n">
        <v>21.2</v>
      </c>
      <c r="S5646" s="12" t="inlineStr">
        <is>
          <t>Duct bank</t>
        </is>
      </c>
      <c r="T5646" s="16" t="n">
        <v>50</v>
      </c>
      <c r="U5646" s="16" t="n">
        <v>97</v>
      </c>
      <c r="V5646" s="16">
        <f>ROUNDUP((T5646+U5646+2*'Read Me'!$B$13)*(1+'Read Me'!$B$12),-1)</f>
        <v/>
      </c>
      <c r="W5646" s="16">
        <f>V5646*N5646*O5646</f>
        <v/>
      </c>
      <c r="X5646" s="12">
        <f>IF(LEFT(I5646,2)="MV",2*N5646*IF(L5646="1/C",O5646,1),0)</f>
        <v/>
      </c>
      <c r="Y5646" s="12">
        <f>IF(OR(LEFT(K5646,4)="LVAX",LEFT(K5646,6)="MV15AX",LEFT(K5646,4)="CTAX",LEFT(K5646,2)="W|"),2*N5646*O5646,0)</f>
        <v/>
      </c>
      <c r="Z5646" s="12" t="inlineStr">
        <is>
          <t>VD 1.5 %</t>
        </is>
      </c>
      <c r="AA5646" s="12">
        <f>N5646*O5646</f>
        <v/>
      </c>
    </row>
    <row r="5647">
      <c r="A5647" s="12" t="inlineStr">
        <is>
          <t>K-P-0015</t>
        </is>
      </c>
      <c r="B5647" s="12" t="inlineStr">
        <is>
          <t>K</t>
        </is>
      </c>
      <c r="C5647" s="12" t="inlineStr">
        <is>
          <t>Fuel supply (adjacent market)</t>
        </is>
      </c>
      <c r="D5647" s="12" t="inlineStr">
        <is>
          <t>Motor 1 of 1, 15 kW</t>
        </is>
      </c>
      <c r="E5647" s="12" t="inlineStr"/>
      <c r="F5647" s="12" t="inlineStr">
        <is>
          <t>H2 20: 13.8 kV e-house</t>
        </is>
      </c>
      <c r="G5647" s="12" t="inlineStr"/>
      <c r="H5647" s="12" t="inlineStr">
        <is>
          <t>H2 27: storage tube bank (~40 ft tubes)</t>
        </is>
      </c>
      <c r="I5647" s="12" t="inlineStr">
        <is>
          <t>LV 600 V</t>
        </is>
      </c>
      <c r="J5647" s="12" t="inlineStr">
        <is>
          <t>ARMOR-X MC-HL 600 V 3/C Cu XHHW-2 + ground, CWA, black PVC (Class I Div 2)</t>
        </is>
      </c>
      <c r="K5647" s="12" t="inlineStr">
        <is>
          <t>LVAX|3/C+G|10</t>
        </is>
      </c>
      <c r="L5647" s="12" t="inlineStr">
        <is>
          <t>3/C+G</t>
        </is>
      </c>
      <c r="M5647" s="12" t="inlineStr">
        <is>
          <t>10</t>
        </is>
      </c>
      <c r="N5647" s="12" t="n">
        <v>1</v>
      </c>
      <c r="O5647" s="12" t="n">
        <v>1</v>
      </c>
      <c r="P5647" s="12" t="n">
        <v>480</v>
      </c>
      <c r="Q5647" s="12" t="n">
        <v>15</v>
      </c>
      <c r="R5647" s="12" t="n">
        <v>21.2</v>
      </c>
      <c r="S5647" s="12" t="inlineStr">
        <is>
          <t>Duct bank</t>
        </is>
      </c>
      <c r="T5647" s="16" t="n">
        <v>50</v>
      </c>
      <c r="U5647" s="16" t="n">
        <v>117</v>
      </c>
      <c r="V5647" s="16">
        <f>ROUNDUP((T5647+U5647+2*'Read Me'!$B$13)*(1+'Read Me'!$B$12),-1)</f>
        <v/>
      </c>
      <c r="W5647" s="16">
        <f>V5647*N5647*O5647</f>
        <v/>
      </c>
      <c r="X5647" s="12">
        <f>IF(LEFT(I5647,2)="MV",2*N5647*IF(L5647="1/C",O5647,1),0)</f>
        <v/>
      </c>
      <c r="Y5647" s="12">
        <f>IF(OR(LEFT(K5647,4)="LVAX",LEFT(K5647,6)="MV15AX",LEFT(K5647,4)="CTAX",LEFT(K5647,2)="W|"),2*N5647*O5647,0)</f>
        <v/>
      </c>
      <c r="Z5647" s="12" t="inlineStr">
        <is>
          <t>VD 1.7 %</t>
        </is>
      </c>
      <c r="AA5647" s="12">
        <f>N5647*O5647</f>
        <v/>
      </c>
    </row>
    <row r="5648">
      <c r="A5648" s="12" t="inlineStr">
        <is>
          <t>K-P-0016</t>
        </is>
      </c>
      <c r="B5648" s="12" t="inlineStr">
        <is>
          <t>K</t>
        </is>
      </c>
      <c r="C5648" s="12" t="inlineStr">
        <is>
          <t>Fuel supply (adjacent market)</t>
        </is>
      </c>
      <c r="D5648" s="12" t="inlineStr">
        <is>
          <t>Motor 1 of 1, 15 kW</t>
        </is>
      </c>
      <c r="E5648" s="12" t="inlineStr"/>
      <c r="F5648" s="12" t="inlineStr">
        <is>
          <t>H2 20: 13.8 kV e-house</t>
        </is>
      </c>
      <c r="G5648" s="12" t="inlineStr"/>
      <c r="H5648" s="12" t="inlineStr">
        <is>
          <t>H2 27: storage tube bank (~40 ft tubes)</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Duct bank</t>
        </is>
      </c>
      <c r="T5648" s="16" t="n">
        <v>50</v>
      </c>
      <c r="U5648" s="16" t="n">
        <v>97</v>
      </c>
      <c r="V5648" s="16">
        <f>ROUNDUP((T5648+U5648+2*'Read Me'!$B$13)*(1+'Read Me'!$B$12),-1)</f>
        <v/>
      </c>
      <c r="W5648" s="16">
        <f>V5648*N5648*O5648</f>
        <v/>
      </c>
      <c r="X5648" s="12">
        <f>IF(LEFT(I5648,2)="MV",2*N5648*IF(L5648="1/C",O5648,1),0)</f>
        <v/>
      </c>
      <c r="Y5648" s="12">
        <f>IF(OR(LEFT(K5648,4)="LVAX",LEFT(K5648,6)="MV15AX",LEFT(K5648,4)="CTAX",LEFT(K5648,2)="W|"),2*N5648*O5648,0)</f>
        <v/>
      </c>
      <c r="Z5648" s="12" t="inlineStr">
        <is>
          <t>VD 1.5 %</t>
        </is>
      </c>
      <c r="AA5648" s="12">
        <f>N5648*O5648</f>
        <v/>
      </c>
    </row>
    <row r="5649">
      <c r="A5649" s="12" t="inlineStr">
        <is>
          <t>K-P-0017</t>
        </is>
      </c>
      <c r="B5649" s="12" t="inlineStr">
        <is>
          <t>K</t>
        </is>
      </c>
      <c r="C5649" s="12" t="inlineStr">
        <is>
          <t>Fuel supply (adjacent market)</t>
        </is>
      </c>
      <c r="D5649" s="12" t="inlineStr">
        <is>
          <t>Motor 1 of 1, 15 kW</t>
        </is>
      </c>
      <c r="E5649" s="12" t="inlineStr"/>
      <c r="F5649" s="12" t="inlineStr">
        <is>
          <t>H2 20: 13.8 kV e-house</t>
        </is>
      </c>
      <c r="G5649" s="12" t="inlineStr"/>
      <c r="H5649" s="12" t="inlineStr">
        <is>
          <t>H2 27: storage tube bank (~40 ft tubes)</t>
        </is>
      </c>
      <c r="I5649" s="12" t="inlineStr">
        <is>
          <t>LV 600 V</t>
        </is>
      </c>
      <c r="J5649" s="12" t="inlineStr">
        <is>
          <t>ARMOR-X MC-HL 600 V 3/C Cu XHHW-2 + ground, CWA, black PVC (Class I Div 2)</t>
        </is>
      </c>
      <c r="K5649" s="12" t="inlineStr">
        <is>
          <t>LVAX|3/C+G|10</t>
        </is>
      </c>
      <c r="L5649" s="12" t="inlineStr">
        <is>
          <t>3/C+G</t>
        </is>
      </c>
      <c r="M5649" s="12" t="inlineStr">
        <is>
          <t>10</t>
        </is>
      </c>
      <c r="N5649" s="12" t="n">
        <v>1</v>
      </c>
      <c r="O5649" s="12" t="n">
        <v>1</v>
      </c>
      <c r="P5649" s="12" t="n">
        <v>480</v>
      </c>
      <c r="Q5649" s="12" t="n">
        <v>15</v>
      </c>
      <c r="R5649" s="12" t="n">
        <v>21.2</v>
      </c>
      <c r="S5649" s="12" t="inlineStr">
        <is>
          <t>Duct bank</t>
        </is>
      </c>
      <c r="T5649" s="16" t="n">
        <v>50</v>
      </c>
      <c r="U5649" s="16" t="n">
        <v>117</v>
      </c>
      <c r="V5649" s="16">
        <f>ROUNDUP((T5649+U5649+2*'Read Me'!$B$13)*(1+'Read Me'!$B$12),-1)</f>
        <v/>
      </c>
      <c r="W5649" s="16">
        <f>V5649*N5649*O5649</f>
        <v/>
      </c>
      <c r="X5649" s="12">
        <f>IF(LEFT(I5649,2)="MV",2*N5649*IF(L5649="1/C",O5649,1),0)</f>
        <v/>
      </c>
      <c r="Y5649" s="12">
        <f>IF(OR(LEFT(K5649,4)="LVAX",LEFT(K5649,6)="MV15AX",LEFT(K5649,4)="CTAX",LEFT(K5649,2)="W|"),2*N5649*O5649,0)</f>
        <v/>
      </c>
      <c r="Z5649" s="12" t="inlineStr">
        <is>
          <t>VD 1.7 %</t>
        </is>
      </c>
      <c r="AA5649" s="12">
        <f>N5649*O5649</f>
        <v/>
      </c>
    </row>
    <row r="5650">
      <c r="A5650" s="12" t="inlineStr">
        <is>
          <t>K-P-0018</t>
        </is>
      </c>
      <c r="B5650" s="12" t="inlineStr">
        <is>
          <t>K</t>
        </is>
      </c>
      <c r="C5650" s="12" t="inlineStr">
        <is>
          <t>Fuel supply (adjacent market)</t>
        </is>
      </c>
      <c r="D5650" s="12" t="inlineStr">
        <is>
          <t>Motor 1 of 1, 15 kW</t>
        </is>
      </c>
      <c r="E5650" s="12" t="inlineStr"/>
      <c r="F5650" s="12" t="inlineStr">
        <is>
          <t>H2 20: 13.8 kV e-house</t>
        </is>
      </c>
      <c r="G5650" s="12" t="inlineStr"/>
      <c r="H5650" s="12" t="inlineStr">
        <is>
          <t>H2 28: N2 purge supply</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Duct bank</t>
        </is>
      </c>
      <c r="T5650" s="16" t="n">
        <v>53</v>
      </c>
      <c r="U5650" s="16" t="n">
        <v>36</v>
      </c>
      <c r="V5650" s="16">
        <f>ROUNDUP((T5650+U5650+2*'Read Me'!$B$13)*(1+'Read Me'!$B$12),-1)</f>
        <v/>
      </c>
      <c r="W5650" s="16">
        <f>V5650*N5650*O5650</f>
        <v/>
      </c>
      <c r="X5650" s="12">
        <f>IF(LEFT(I5650,2)="MV",2*N5650*IF(L5650="1/C",O5650,1),0)</f>
        <v/>
      </c>
      <c r="Y5650" s="12">
        <f>IF(OR(LEFT(K5650,4)="LVAX",LEFT(K5650,6)="MV15AX",LEFT(K5650,4)="CTAX",LEFT(K5650,2)="W|"),2*N5650*O5650,0)</f>
        <v/>
      </c>
      <c r="Z5650" s="12" t="inlineStr">
        <is>
          <t>VD 0.9 %</t>
        </is>
      </c>
      <c r="AA5650" s="12">
        <f>N5650*O5650</f>
        <v/>
      </c>
    </row>
    <row r="5651">
      <c r="A5651" s="12" t="inlineStr">
        <is>
          <t>K-P-0019</t>
        </is>
      </c>
      <c r="B5651" s="12" t="inlineStr">
        <is>
          <t>K</t>
        </is>
      </c>
      <c r="C5651" s="12" t="inlineStr">
        <is>
          <t>Fuel supply (adjacent market)</t>
        </is>
      </c>
      <c r="D5651" s="12" t="inlineStr">
        <is>
          <t>Motor 1 of 1, 15 kW</t>
        </is>
      </c>
      <c r="E5651" s="12" t="inlineStr"/>
      <c r="F5651" s="12" t="inlineStr">
        <is>
          <t>H2 20: 13.8 kV e-house</t>
        </is>
      </c>
      <c r="G5651" s="12" t="inlineStr"/>
      <c r="H5651" s="12" t="inlineStr">
        <is>
          <t>H2 29: vent stack</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Duct bank</t>
        </is>
      </c>
      <c r="T5651" s="16" t="n">
        <v>55</v>
      </c>
      <c r="U5651" s="16" t="n">
        <v>205</v>
      </c>
      <c r="V5651" s="16">
        <f>ROUNDUP((T5651+U5651+2*'Read Me'!$B$13)*(1+'Read Me'!$B$12),-1)</f>
        <v/>
      </c>
      <c r="W5651" s="16">
        <f>V5651*N5651*O5651</f>
        <v/>
      </c>
      <c r="X5651" s="12">
        <f>IF(LEFT(I5651,2)="MV",2*N5651*IF(L5651="1/C",O5651,1),0)</f>
        <v/>
      </c>
      <c r="Y5651" s="12">
        <f>IF(OR(LEFT(K5651,4)="LVAX",LEFT(K5651,6)="MV15AX",LEFT(K5651,4)="CTAX",LEFT(K5651,2)="W|"),2*N5651*O5651,0)</f>
        <v/>
      </c>
      <c r="Z5651" s="12" t="inlineStr">
        <is>
          <t>VD 2.7 %</t>
        </is>
      </c>
      <c r="AA5651" s="12">
        <f>N5651*O5651</f>
        <v/>
      </c>
    </row>
    <row r="5652">
      <c r="A5652" s="12" t="inlineStr">
        <is>
          <t>K-P-0020</t>
        </is>
      </c>
      <c r="B5652" s="12" t="inlineStr">
        <is>
          <t>K</t>
        </is>
      </c>
      <c r="C5652" s="12" t="inlineStr">
        <is>
          <t>Fuel supply (adjacent market)</t>
        </is>
      </c>
      <c r="D5652" s="12" t="inlineStr">
        <is>
          <t>Motor 1 of 1, 15 kW</t>
        </is>
      </c>
      <c r="E5652" s="12" t="inlineStr"/>
      <c r="F5652" s="12" t="inlineStr">
        <is>
          <t>LNG 17: LNG e-house (13.8 kV / 480 V)</t>
        </is>
      </c>
      <c r="G5652" s="12" t="inlineStr"/>
      <c r="H5652" s="12" t="inlineStr">
        <is>
          <t>H2 30: H2 / gas blending station (plant gas yard)</t>
        </is>
      </c>
      <c r="I5652" s="12" t="inlineStr">
        <is>
          <t>LV 600 V</t>
        </is>
      </c>
      <c r="J5652" s="12" t="inlineStr">
        <is>
          <t>ARMOR-X MC-HL 600 V 3/C Cu XHHW-2 + ground, CWA, black PVC (Class I Div 2)</t>
        </is>
      </c>
      <c r="K5652" s="12" t="inlineStr">
        <is>
          <t>LVAX|3/C+G|4</t>
        </is>
      </c>
      <c r="L5652" s="12" t="inlineStr">
        <is>
          <t>3/C+G</t>
        </is>
      </c>
      <c r="M5652" s="12" t="inlineStr">
        <is>
          <t>4</t>
        </is>
      </c>
      <c r="N5652" s="12" t="n">
        <v>1</v>
      </c>
      <c r="O5652" s="12" t="n">
        <v>1</v>
      </c>
      <c r="P5652" s="12" t="n">
        <v>480</v>
      </c>
      <c r="Q5652" s="12" t="n">
        <v>15</v>
      </c>
      <c r="R5652" s="12" t="n">
        <v>21.2</v>
      </c>
      <c r="S5652" s="12" t="inlineStr">
        <is>
          <t>Duct bank</t>
        </is>
      </c>
      <c r="T5652" s="16" t="n">
        <v>994</v>
      </c>
      <c r="U5652" s="16" t="n">
        <v>114</v>
      </c>
      <c r="V5652" s="16">
        <f>ROUNDUP((T5652+U5652+2*'Read Me'!$B$13)*(1+'Read Me'!$B$12),-1)</f>
        <v/>
      </c>
      <c r="W5652" s="16">
        <f>V5652*N5652*O5652</f>
        <v/>
      </c>
      <c r="X5652" s="12">
        <f>IF(LEFT(I5652,2)="MV",2*N5652*IF(L5652="1/C",O5652,1),0)</f>
        <v/>
      </c>
      <c r="Y5652" s="12">
        <f>IF(OR(LEFT(K5652,4)="LVAX",LEFT(K5652,6)="MV15AX",LEFT(K5652,4)="CTAX",LEFT(K5652,2)="W|"),2*N5652*O5652,0)</f>
        <v/>
      </c>
      <c r="Z5652" s="12" t="inlineStr">
        <is>
          <t>VD 2.9 %</t>
        </is>
      </c>
      <c r="AA5652" s="12">
        <f>N5652*O5652</f>
        <v/>
      </c>
    </row>
    <row r="5653">
      <c r="A5653" s="12" t="inlineStr">
        <is>
          <t>K-P-0021</t>
        </is>
      </c>
      <c r="B5653" s="12" t="inlineStr">
        <is>
          <t>K</t>
        </is>
      </c>
      <c r="C5653" s="12" t="inlineStr">
        <is>
          <t>Fuel supply (adjacent market)</t>
        </is>
      </c>
      <c r="D5653" s="12" t="inlineStr">
        <is>
          <t>Motor 1 of 2, 250 kW</t>
        </is>
      </c>
      <c r="E5653" s="12" t="inlineStr"/>
      <c r="F5653" s="12" t="inlineStr">
        <is>
          <t>H2 20: 13.8 kV e-house</t>
        </is>
      </c>
      <c r="G5653" s="12" t="inlineStr"/>
      <c r="H5653" s="12" t="inlineStr">
        <is>
          <t>H2 pipe track and cable trench, hall -&gt; dryer / compressors (N2, instr</t>
        </is>
      </c>
      <c r="I5653" s="12" t="inlineStr">
        <is>
          <t>LV 600 V</t>
        </is>
      </c>
      <c r="J5653" s="12" t="inlineStr">
        <is>
          <t>ARMOR-X MC-HL 600 V 3/C Cu XHHW-2 + ground, CWA, black PVC (Class I Div 2)</t>
        </is>
      </c>
      <c r="K5653" s="12" t="inlineStr">
        <is>
          <t>LVAX|3/C+G|4/0</t>
        </is>
      </c>
      <c r="L5653" s="12" t="inlineStr">
        <is>
          <t>3/C+G</t>
        </is>
      </c>
      <c r="M5653" s="12" t="inlineStr">
        <is>
          <t>4/0</t>
        </is>
      </c>
      <c r="N5653" s="12" t="n">
        <v>2</v>
      </c>
      <c r="O5653" s="12" t="n">
        <v>1</v>
      </c>
      <c r="P5653" s="12" t="n">
        <v>480</v>
      </c>
      <c r="Q5653" s="12" t="n">
        <v>250</v>
      </c>
      <c r="R5653" s="12" t="n">
        <v>353.8</v>
      </c>
      <c r="S5653" s="12" t="inlineStr">
        <is>
          <t>Duct bank</t>
        </is>
      </c>
      <c r="T5653" s="16" t="n">
        <v>53</v>
      </c>
      <c r="U5653" s="16" t="n">
        <v>62</v>
      </c>
      <c r="V5653" s="16">
        <f>ROUNDUP((T5653+U5653+2*'Read Me'!$B$13)*(1+'Read Me'!$B$12),-1)</f>
        <v/>
      </c>
      <c r="W5653" s="16">
        <f>V5653*N5653*O5653</f>
        <v/>
      </c>
      <c r="X5653" s="12">
        <f>IF(LEFT(I5653,2)="MV",2*N5653*IF(L5653="1/C",O5653,1),0)</f>
        <v/>
      </c>
      <c r="Y5653" s="12">
        <f>IF(OR(LEFT(K5653,4)="LVAX",LEFT(K5653,6)="MV15AX",LEFT(K5653,4)="CTAX",LEFT(K5653,2)="W|"),2*N5653*O5653,0)</f>
        <v/>
      </c>
      <c r="Z5653" s="12" t="inlineStr">
        <is>
          <t>VD 0.5 %</t>
        </is>
      </c>
      <c r="AA5653" s="12">
        <f>N5653*O5653</f>
        <v/>
      </c>
    </row>
    <row r="5654">
      <c r="A5654" s="12" t="inlineStr">
        <is>
          <t>K-P-0022</t>
        </is>
      </c>
      <c r="B5654" s="12" t="inlineStr">
        <is>
          <t>K</t>
        </is>
      </c>
      <c r="C5654" s="12" t="inlineStr">
        <is>
          <t>Fuel supply (adjacent market)</t>
        </is>
      </c>
      <c r="D5654" s="12" t="inlineStr">
        <is>
          <t>Motor 2 of 2, 250 kW</t>
        </is>
      </c>
      <c r="E5654" s="12" t="inlineStr"/>
      <c r="F5654" s="12" t="inlineStr">
        <is>
          <t>H2 20: 13.8 kV e-house</t>
        </is>
      </c>
      <c r="G5654" s="12" t="inlineStr"/>
      <c r="H5654" s="12" t="inlineStr">
        <is>
          <t>H2 pipe track and cable trench, hall -&gt; dryer / compressors (N2, instr</t>
        </is>
      </c>
      <c r="I5654" s="12" t="inlineStr">
        <is>
          <t>LV 600 V</t>
        </is>
      </c>
      <c r="J5654" s="12" t="inlineStr">
        <is>
          <t>ARMOR-X MC-HL 600 V 3/C Cu XHHW-2 + ground, CWA, black PVC (Class I Div 2)</t>
        </is>
      </c>
      <c r="K5654" s="12" t="inlineStr">
        <is>
          <t>LVAX|3/C+G|4/0</t>
        </is>
      </c>
      <c r="L5654" s="12" t="inlineStr">
        <is>
          <t>3/C+G</t>
        </is>
      </c>
      <c r="M5654" s="12" t="inlineStr">
        <is>
          <t>4/0</t>
        </is>
      </c>
      <c r="N5654" s="12" t="n">
        <v>2</v>
      </c>
      <c r="O5654" s="12" t="n">
        <v>1</v>
      </c>
      <c r="P5654" s="12" t="n">
        <v>480</v>
      </c>
      <c r="Q5654" s="12" t="n">
        <v>250</v>
      </c>
      <c r="R5654" s="12" t="n">
        <v>353.8</v>
      </c>
      <c r="S5654" s="12" t="inlineStr">
        <is>
          <t>Duct bank</t>
        </is>
      </c>
      <c r="T5654" s="16" t="n">
        <v>53</v>
      </c>
      <c r="U5654" s="16" t="n">
        <v>62</v>
      </c>
      <c r="V5654" s="16">
        <f>ROUNDUP((T5654+U5654+2*'Read Me'!$B$13)*(1+'Read Me'!$B$12),-1)</f>
        <v/>
      </c>
      <c r="W5654" s="16">
        <f>V5654*N5654*O5654</f>
        <v/>
      </c>
      <c r="X5654" s="12">
        <f>IF(LEFT(I5654,2)="MV",2*N5654*IF(L5654="1/C",O5654,1),0)</f>
        <v/>
      </c>
      <c r="Y5654" s="12">
        <f>IF(OR(LEFT(K5654,4)="LVAX",LEFT(K5654,6)="MV15AX",LEFT(K5654,4)="CTAX",LEFT(K5654,2)="W|"),2*N5654*O5654,0)</f>
        <v/>
      </c>
      <c r="Z5654" s="12" t="inlineStr">
        <is>
          <t>VD 0.5 %</t>
        </is>
      </c>
      <c r="AA5654" s="12">
        <f>N5654*O5654</f>
        <v/>
      </c>
    </row>
    <row r="5655">
      <c r="A5655" s="12" t="inlineStr">
        <is>
          <t>K-P-0023</t>
        </is>
      </c>
      <c r="B5655" s="12" t="inlineStr">
        <is>
          <t>K</t>
        </is>
      </c>
      <c r="C5655" s="12" t="inlineStr">
        <is>
          <t>Fuel supply (adjacent market)</t>
        </is>
      </c>
      <c r="D5655" s="12" t="inlineStr">
        <is>
          <t>LV power feeder</t>
        </is>
      </c>
      <c r="E5655" s="12" t="inlineStr"/>
      <c r="F5655" s="12" t="inlineStr">
        <is>
          <t>H2 20: 13.8 kV e-house</t>
        </is>
      </c>
      <c r="G5655" s="12" t="inlineStr">
        <is>
          <t>H2-ST</t>
        </is>
      </c>
      <c r="H5655" s="12" t="inlineStr">
        <is>
          <t>H2 storage tube banks x4</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15</v>
      </c>
      <c r="R5655" s="12" t="n">
        <v>21.2</v>
      </c>
      <c r="S5655" s="12" t="inlineStr">
        <is>
          <t>Duct bank</t>
        </is>
      </c>
      <c r="T5655" s="16" t="n">
        <v>50</v>
      </c>
      <c r="U5655" s="16" t="n">
        <v>92</v>
      </c>
      <c r="V5655" s="16">
        <f>ROUNDUP((T5655+U5655+2*'Read Me'!$B$13)*(1+'Read Me'!$B$12),-1)</f>
        <v/>
      </c>
      <c r="W5655" s="16">
        <f>V5655*N5655*O5655</f>
        <v/>
      </c>
      <c r="X5655" s="12">
        <f>IF(LEFT(I5655,2)="MV",2*N5655*IF(L5655="1/C",O5655,1),0)</f>
        <v/>
      </c>
      <c r="Y5655" s="12">
        <f>IF(OR(LEFT(K5655,4)="LVAX",LEFT(K5655,6)="MV15AX",LEFT(K5655,4)="CTAX",LEFT(K5655,2)="W|"),2*N5655*O5655,0)</f>
        <v/>
      </c>
      <c r="Z5655" s="12" t="inlineStr">
        <is>
          <t>VD 1.4 %</t>
        </is>
      </c>
      <c r="AA5655" s="12">
        <f>N5655*O5655</f>
        <v/>
      </c>
    </row>
    <row r="5656">
      <c r="A5656" s="12" t="inlineStr">
        <is>
          <t>K-P-0024</t>
        </is>
      </c>
      <c r="B5656" s="12" t="inlineStr">
        <is>
          <t>K</t>
        </is>
      </c>
      <c r="C5656" s="12" t="inlineStr">
        <is>
          <t>Fuel supply (adjacent market)</t>
        </is>
      </c>
      <c r="D5656" s="12" t="inlineStr">
        <is>
          <t>LV power feeder</t>
        </is>
      </c>
      <c r="E5656" s="12" t="inlineStr"/>
      <c r="F5656" s="12" t="inlineStr">
        <is>
          <t>H2 20: 13.8 kV e-house</t>
        </is>
      </c>
      <c r="G5656" s="12" t="inlineStr">
        <is>
          <t>H2R</t>
        </is>
      </c>
      <c r="H5656" s="12" t="inlineStr">
        <is>
          <t>H2R: hydrogen pipeline receiving station (pig receiver, filters, meter</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15</v>
      </c>
      <c r="R5656" s="12" t="n">
        <v>21.2</v>
      </c>
      <c r="S5656" s="12" t="inlineStr">
        <is>
          <t>Duct bank</t>
        </is>
      </c>
      <c r="T5656" s="16" t="n">
        <v>40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is>
          <t>VD 0.7 %</t>
        </is>
      </c>
      <c r="AA5656" s="12">
        <f>N5656*O5656</f>
        <v/>
      </c>
    </row>
    <row r="5657">
      <c r="A5657" s="12" t="inlineStr">
        <is>
          <t>K-P-0025</t>
        </is>
      </c>
      <c r="B5657" s="12" t="inlineStr">
        <is>
          <t>K</t>
        </is>
      </c>
      <c r="C5657" s="12" t="inlineStr">
        <is>
          <t>Fuel supply (adjacent market)</t>
        </is>
      </c>
      <c r="D5657" s="12" t="inlineStr">
        <is>
          <t>Motor 1 of 1, 15 kW</t>
        </is>
      </c>
      <c r="E5657" s="12" t="inlineStr"/>
      <c r="F5657" s="12" t="inlineStr">
        <is>
          <t>LNG 17: LNG e-house (13.8 kV / 480 V)</t>
        </is>
      </c>
      <c r="G5657" s="12" t="inlineStr"/>
      <c r="H5657" s="12" t="inlineStr">
        <is>
          <t>LNG 10: truck unloading bay 1</t>
        </is>
      </c>
      <c r="I5657" s="12" t="inlineStr">
        <is>
          <t>LV 600 V</t>
        </is>
      </c>
      <c r="J5657" s="12" t="inlineStr">
        <is>
          <t>ARMOR-X MC-HL 600 V 3/C Cu XHHW-2 + ground, CWA, black PVC (Class I Div 2)</t>
        </is>
      </c>
      <c r="K5657" s="12" t="inlineStr">
        <is>
          <t>LVAX|3/C+G|8</t>
        </is>
      </c>
      <c r="L5657" s="12" t="inlineStr">
        <is>
          <t>3/C+G</t>
        </is>
      </c>
      <c r="M5657" s="12" t="inlineStr">
        <is>
          <t>8</t>
        </is>
      </c>
      <c r="N5657" s="12" t="n">
        <v>1</v>
      </c>
      <c r="O5657" s="12" t="n">
        <v>1</v>
      </c>
      <c r="P5657" s="12" t="n">
        <v>480</v>
      </c>
      <c r="Q5657" s="12" t="n">
        <v>15</v>
      </c>
      <c r="R5657" s="12" t="n">
        <v>21.2</v>
      </c>
      <c r="S5657" s="12" t="inlineStr">
        <is>
          <t>Duct bank</t>
        </is>
      </c>
      <c r="T5657" s="16" t="n">
        <v>237</v>
      </c>
      <c r="U5657" s="16" t="n">
        <v>61</v>
      </c>
      <c r="V5657" s="16">
        <f>ROUNDUP((T5657+U5657+2*'Read Me'!$B$13)*(1+'Read Me'!$B$12),-1)</f>
        <v/>
      </c>
      <c r="W5657" s="16">
        <f>V5657*N5657*O5657</f>
        <v/>
      </c>
      <c r="X5657" s="12">
        <f>IF(LEFT(I5657,2)="MV",2*N5657*IF(L5657="1/C",O5657,1),0)</f>
        <v/>
      </c>
      <c r="Y5657" s="12">
        <f>IF(OR(LEFT(K5657,4)="LVAX",LEFT(K5657,6)="MV15AX",LEFT(K5657,4)="CTAX",LEFT(K5657,2)="W|"),2*N5657*O5657,0)</f>
        <v/>
      </c>
      <c r="Z5657" s="12" t="inlineStr">
        <is>
          <t>VD 1.9 %</t>
        </is>
      </c>
      <c r="AA5657" s="12">
        <f>N5657*O5657</f>
        <v/>
      </c>
    </row>
    <row r="5658">
      <c r="A5658" s="12" t="inlineStr">
        <is>
          <t>K-P-0026</t>
        </is>
      </c>
      <c r="B5658" s="12" t="inlineStr">
        <is>
          <t>K</t>
        </is>
      </c>
      <c r="C5658" s="12" t="inlineStr">
        <is>
          <t>Fuel supply (adjacent market)</t>
        </is>
      </c>
      <c r="D5658" s="12" t="inlineStr">
        <is>
          <t>Motor 1 of 1, 15 kW</t>
        </is>
      </c>
      <c r="E5658" s="12" t="inlineStr"/>
      <c r="F5658" s="12" t="inlineStr">
        <is>
          <t>LNG 17: LNG e-house (13.8 kV / 480 V)</t>
        </is>
      </c>
      <c r="G5658" s="12" t="inlineStr"/>
      <c r="H5658" s="12" t="inlineStr">
        <is>
          <t>LNG 10: truck unloading bay 2</t>
        </is>
      </c>
      <c r="I5658" s="12" t="inlineStr">
        <is>
          <t>LV 600 V</t>
        </is>
      </c>
      <c r="J5658" s="12" t="inlineStr">
        <is>
          <t>ARMOR-X MC-HL 600 V 3/C Cu XHHW-2 + ground, CWA, black PVC (Class I Div 2)</t>
        </is>
      </c>
      <c r="K5658" s="12" t="inlineStr">
        <is>
          <t>LVAX|3/C+G|10</t>
        </is>
      </c>
      <c r="L5658" s="12" t="inlineStr">
        <is>
          <t>3/C+G</t>
        </is>
      </c>
      <c r="M5658" s="12" t="inlineStr">
        <is>
          <t>10</t>
        </is>
      </c>
      <c r="N5658" s="12" t="n">
        <v>1</v>
      </c>
      <c r="O5658" s="12" t="n">
        <v>1</v>
      </c>
      <c r="P5658" s="12" t="n">
        <v>480</v>
      </c>
      <c r="Q5658" s="12" t="n">
        <v>15</v>
      </c>
      <c r="R5658" s="12" t="n">
        <v>21.2</v>
      </c>
      <c r="S5658" s="12" t="inlineStr">
        <is>
          <t>Duct bank</t>
        </is>
      </c>
      <c r="T5658" s="16" t="n">
        <v>147</v>
      </c>
      <c r="U5658" s="16" t="n">
        <v>66</v>
      </c>
      <c r="V5658" s="16">
        <f>ROUNDUP((T5658+U5658+2*'Read Me'!$B$13)*(1+'Read Me'!$B$12),-1)</f>
        <v/>
      </c>
      <c r="W5658" s="16">
        <f>V5658*N5658*O5658</f>
        <v/>
      </c>
      <c r="X5658" s="12">
        <f>IF(LEFT(I5658,2)="MV",2*N5658*IF(L5658="1/C",O5658,1),0)</f>
        <v/>
      </c>
      <c r="Y5658" s="12">
        <f>IF(OR(LEFT(K5658,4)="LVAX",LEFT(K5658,6)="MV15AX",LEFT(K5658,4)="CTAX",LEFT(K5658,2)="W|"),2*N5658*O5658,0)</f>
        <v/>
      </c>
      <c r="Z5658" s="12" t="inlineStr">
        <is>
          <t>VD 2.2 %</t>
        </is>
      </c>
      <c r="AA5658" s="12">
        <f>N5658*O5658</f>
        <v/>
      </c>
    </row>
    <row r="5659">
      <c r="A5659" s="12" t="inlineStr">
        <is>
          <t>K-P-0027</t>
        </is>
      </c>
      <c r="B5659" s="12" t="inlineStr">
        <is>
          <t>K</t>
        </is>
      </c>
      <c r="C5659" s="12" t="inlineStr">
        <is>
          <t>Fuel supply (adjacent market)</t>
        </is>
      </c>
      <c r="D5659" s="12" t="inlineStr">
        <is>
          <t>Motor 1 of 1, 15 kW</t>
        </is>
      </c>
      <c r="E5659" s="12" t="inlineStr"/>
      <c r="F5659" s="12" t="inlineStr">
        <is>
          <t>LNG 17: LNG e-house (13.8 kV / 480 V)</t>
        </is>
      </c>
      <c r="G5659" s="12" t="inlineStr"/>
      <c r="H5659" s="12" t="inlineStr">
        <is>
          <t>LNG 10: unloading skid</t>
        </is>
      </c>
      <c r="I5659" s="12" t="inlineStr">
        <is>
          <t>LV 600 V</t>
        </is>
      </c>
      <c r="J5659" s="12" t="inlineStr">
        <is>
          <t>ARMOR-X MC-HL 600 V 3/C Cu XHHW-2 + ground, CWA, black PVC (Class I Div 2)</t>
        </is>
      </c>
      <c r="K5659" s="12" t="inlineStr">
        <is>
          <t>LVAX|3/C+G|10</t>
        </is>
      </c>
      <c r="L5659" s="12" t="inlineStr">
        <is>
          <t>3/C+G</t>
        </is>
      </c>
      <c r="M5659" s="12" t="inlineStr">
        <is>
          <t>10</t>
        </is>
      </c>
      <c r="N5659" s="12" t="n">
        <v>1</v>
      </c>
      <c r="O5659" s="12" t="n">
        <v>1</v>
      </c>
      <c r="P5659" s="12" t="n">
        <v>480</v>
      </c>
      <c r="Q5659" s="12" t="n">
        <v>15</v>
      </c>
      <c r="R5659" s="12" t="n">
        <v>21.2</v>
      </c>
      <c r="S5659" s="12" t="inlineStr">
        <is>
          <t>Duct bank</t>
        </is>
      </c>
      <c r="T5659" s="16" t="n">
        <v>237</v>
      </c>
      <c r="U5659" s="16" t="n">
        <v>32</v>
      </c>
      <c r="V5659" s="16">
        <f>ROUNDUP((T5659+U5659+2*'Read Me'!$B$13)*(1+'Read Me'!$B$12),-1)</f>
        <v/>
      </c>
      <c r="W5659" s="16">
        <f>V5659*N5659*O5659</f>
        <v/>
      </c>
      <c r="X5659" s="12">
        <f>IF(LEFT(I5659,2)="MV",2*N5659*IF(L5659="1/C",O5659,1),0)</f>
        <v/>
      </c>
      <c r="Y5659" s="12">
        <f>IF(OR(LEFT(K5659,4)="LVAX",LEFT(K5659,6)="MV15AX",LEFT(K5659,4)="CTAX",LEFT(K5659,2)="W|"),2*N5659*O5659,0)</f>
        <v/>
      </c>
      <c r="Z5659" s="12" t="inlineStr">
        <is>
          <t>VD 2.7 %</t>
        </is>
      </c>
      <c r="AA5659" s="12">
        <f>N5659*O5659</f>
        <v/>
      </c>
    </row>
    <row r="5660">
      <c r="A5660" s="12" t="inlineStr">
        <is>
          <t>K-P-0028</t>
        </is>
      </c>
      <c r="B5660" s="12" t="inlineStr">
        <is>
          <t>K</t>
        </is>
      </c>
      <c r="C5660" s="12" t="inlineStr">
        <is>
          <t>Fuel supply (adjacent market)</t>
        </is>
      </c>
      <c r="D5660" s="12" t="inlineStr">
        <is>
          <t>LV power feeder</t>
        </is>
      </c>
      <c r="E5660" s="12" t="inlineStr"/>
      <c r="F5660" s="12" t="inlineStr">
        <is>
          <t>LNG 17: LNG e-house (13.8 kV / 480 V)</t>
        </is>
      </c>
      <c r="G5660" s="12" t="inlineStr">
        <is>
          <t>LNG-T1</t>
        </is>
      </c>
      <c r="H5660" s="12" t="inlineStr">
        <is>
          <t>LNG 11: tank 1, Chart HS 50000 (51,780 gal)</t>
        </is>
      </c>
      <c r="I5660" s="12" t="inlineStr">
        <is>
          <t>LV 600 V</t>
        </is>
      </c>
      <c r="J5660" s="12" t="inlineStr">
        <is>
          <t>ARMOR-X MC-HL 600 V 3/C Cu XHHW-2 + ground, CWA, black PVC (Class I Div 2)</t>
        </is>
      </c>
      <c r="K5660" s="12" t="inlineStr">
        <is>
          <t>LVAX|3/C+G|10</t>
        </is>
      </c>
      <c r="L5660" s="12" t="inlineStr">
        <is>
          <t>3/C+G</t>
        </is>
      </c>
      <c r="M5660" s="12" t="inlineStr">
        <is>
          <t>10</t>
        </is>
      </c>
      <c r="N5660" s="12" t="n">
        <v>1</v>
      </c>
      <c r="O5660" s="12" t="n">
        <v>1</v>
      </c>
      <c r="P5660" s="12" t="n">
        <v>480</v>
      </c>
      <c r="Q5660" s="12" t="n">
        <v>10</v>
      </c>
      <c r="R5660" s="12" t="n">
        <v>14.2</v>
      </c>
      <c r="S5660" s="12" t="inlineStr">
        <is>
          <t>Duct bank</t>
        </is>
      </c>
      <c r="T5660" s="16" t="n">
        <v>210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is>
          <t>VD 1.6 %</t>
        </is>
      </c>
      <c r="AA5660" s="12">
        <f>N5660*O5660</f>
        <v/>
      </c>
    </row>
    <row r="5661">
      <c r="A5661" s="12" t="inlineStr">
        <is>
          <t>K-P-0029</t>
        </is>
      </c>
      <c r="B5661" s="12" t="inlineStr">
        <is>
          <t>K</t>
        </is>
      </c>
      <c r="C5661" s="12" t="inlineStr">
        <is>
          <t>Fuel supply (adjacent market)</t>
        </is>
      </c>
      <c r="D5661" s="12" t="inlineStr">
        <is>
          <t>LV power feeder</t>
        </is>
      </c>
      <c r="E5661" s="12" t="inlineStr"/>
      <c r="F5661" s="12" t="inlineStr">
        <is>
          <t>LNG 17: LNG e-house (13.8 kV / 480 V)</t>
        </is>
      </c>
      <c r="G5661" s="12" t="inlineStr">
        <is>
          <t>LNG-T2</t>
        </is>
      </c>
      <c r="H5661" s="12" t="inlineStr">
        <is>
          <t>LNG 11: tank 2, Chart HS 50000 (51,780 gal)</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10</v>
      </c>
      <c r="R5661" s="12" t="n">
        <v>14.2</v>
      </c>
      <c r="S5661" s="12" t="inlineStr">
        <is>
          <t>Duct bank</t>
        </is>
      </c>
      <c r="T5661" s="16" t="n">
        <v>230</v>
      </c>
      <c r="U5661" s="16" t="n">
        <v>32</v>
      </c>
      <c r="V5661" s="16">
        <f>ROUNDUP((T5661+U5661+2*'Read Me'!$B$13)*(1+'Read Me'!$B$12),-1)</f>
        <v/>
      </c>
      <c r="W5661" s="16">
        <f>V5661*N5661*O5661</f>
        <v/>
      </c>
      <c r="X5661" s="12">
        <f>IF(LEFT(I5661,2)="MV",2*N5661*IF(L5661="1/C",O5661,1),0)</f>
        <v/>
      </c>
      <c r="Y5661" s="12">
        <f>IF(OR(LEFT(K5661,4)="LVAX",LEFT(K5661,6)="MV15AX",LEFT(K5661,4)="CTAX",LEFT(K5661,2)="W|"),2*N5661*O5661,0)</f>
        <v/>
      </c>
      <c r="Z5661" s="12" t="inlineStr">
        <is>
          <t>VD 1.8 %</t>
        </is>
      </c>
      <c r="AA5661" s="12">
        <f>N5661*O5661</f>
        <v/>
      </c>
    </row>
    <row r="5662">
      <c r="A5662" s="12" t="inlineStr">
        <is>
          <t>K-P-0030</t>
        </is>
      </c>
      <c r="B5662" s="12" t="inlineStr">
        <is>
          <t>K</t>
        </is>
      </c>
      <c r="C5662" s="12" t="inlineStr">
        <is>
          <t>Fuel supply (adjacent market)</t>
        </is>
      </c>
      <c r="D5662" s="12" t="inlineStr">
        <is>
          <t>LV power feeder</t>
        </is>
      </c>
      <c r="E5662" s="12" t="inlineStr"/>
      <c r="F5662" s="12" t="inlineStr">
        <is>
          <t>LNG 17: LNG e-house (13.8 kV / 480 V)</t>
        </is>
      </c>
      <c r="G5662" s="12" t="inlineStr">
        <is>
          <t>LNG-T3</t>
        </is>
      </c>
      <c r="H5662" s="12" t="inlineStr">
        <is>
          <t>LNG 11: tank 3, Chart HS 50000 (51,780 gal)</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10</v>
      </c>
      <c r="R5662" s="12" t="n">
        <v>14.2</v>
      </c>
      <c r="S5662" s="12" t="inlineStr">
        <is>
          <t>Duct bank</t>
        </is>
      </c>
      <c r="T5662" s="16" t="n">
        <v>250</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is>
          <t>VD 1.9 %</t>
        </is>
      </c>
      <c r="AA5662" s="12">
        <f>N5662*O5662</f>
        <v/>
      </c>
    </row>
    <row r="5663">
      <c r="A5663" s="12" t="inlineStr">
        <is>
          <t>K-P-0031</t>
        </is>
      </c>
      <c r="B5663" s="12" t="inlineStr">
        <is>
          <t>K</t>
        </is>
      </c>
      <c r="C5663" s="12" t="inlineStr">
        <is>
          <t>Fuel supply (adjacent market)</t>
        </is>
      </c>
      <c r="D5663" s="12" t="inlineStr">
        <is>
          <t>LV power feeder</t>
        </is>
      </c>
      <c r="E5663" s="12" t="inlineStr"/>
      <c r="F5663" s="12" t="inlineStr">
        <is>
          <t>LNG 17: LNG e-house (13.8 kV / 480 V)</t>
        </is>
      </c>
      <c r="G5663" s="12" t="inlineStr">
        <is>
          <t>LNG-T4</t>
        </is>
      </c>
      <c r="H5663" s="12" t="inlineStr">
        <is>
          <t>LNG 11: tank 4, Chart HS 50000 (51,780 gal)</t>
        </is>
      </c>
      <c r="I5663" s="12" t="inlineStr">
        <is>
          <t>LV 600 V</t>
        </is>
      </c>
      <c r="J5663" s="12" t="inlineStr">
        <is>
          <t>ARMOR-X MC-HL 600 V 3/C Cu XHHW-2 + ground, CWA, black PVC (Class I Div 2)</t>
        </is>
      </c>
      <c r="K5663" s="12" t="inlineStr">
        <is>
          <t>LVAX|3/C+G|10</t>
        </is>
      </c>
      <c r="L5663" s="12" t="inlineStr">
        <is>
          <t>3/C+G</t>
        </is>
      </c>
      <c r="M5663" s="12" t="inlineStr">
        <is>
          <t>10</t>
        </is>
      </c>
      <c r="N5663" s="12" t="n">
        <v>1</v>
      </c>
      <c r="O5663" s="12" t="n">
        <v>1</v>
      </c>
      <c r="P5663" s="12" t="n">
        <v>480</v>
      </c>
      <c r="Q5663" s="12" t="n">
        <v>10</v>
      </c>
      <c r="R5663" s="12" t="n">
        <v>14.2</v>
      </c>
      <c r="S5663" s="12" t="inlineStr">
        <is>
          <t>Duct bank</t>
        </is>
      </c>
      <c r="T5663" s="16" t="n">
        <v>270</v>
      </c>
      <c r="U5663" s="16" t="n">
        <v>32</v>
      </c>
      <c r="V5663" s="16">
        <f>ROUNDUP((T5663+U5663+2*'Read Me'!$B$13)*(1+'Read Me'!$B$12),-1)</f>
        <v/>
      </c>
      <c r="W5663" s="16">
        <f>V5663*N5663*O5663</f>
        <v/>
      </c>
      <c r="X5663" s="12">
        <f>IF(LEFT(I5663,2)="MV",2*N5663*IF(L5663="1/C",O5663,1),0)</f>
        <v/>
      </c>
      <c r="Y5663" s="12">
        <f>IF(OR(LEFT(K5663,4)="LVAX",LEFT(K5663,6)="MV15AX",LEFT(K5663,4)="CTAX",LEFT(K5663,2)="W|"),2*N5663*O5663,0)</f>
        <v/>
      </c>
      <c r="Z5663" s="12" t="inlineStr">
        <is>
          <t>VD 2.1 %</t>
        </is>
      </c>
      <c r="AA5663" s="12">
        <f>N5663*O5663</f>
        <v/>
      </c>
    </row>
    <row r="5664">
      <c r="A5664" s="12" t="inlineStr">
        <is>
          <t>K-P-0032</t>
        </is>
      </c>
      <c r="B5664" s="12" t="inlineStr">
        <is>
          <t>K</t>
        </is>
      </c>
      <c r="C5664" s="12" t="inlineStr">
        <is>
          <t>Fuel supply (adjacent market)</t>
        </is>
      </c>
      <c r="D5664" s="12" t="inlineStr">
        <is>
          <t>LV power feeder</t>
        </is>
      </c>
      <c r="E5664" s="12" t="inlineStr"/>
      <c r="F5664" s="12" t="inlineStr">
        <is>
          <t>LNG 17: LNG e-house (13.8 kV / 480 V)</t>
        </is>
      </c>
      <c r="G5664" s="12" t="inlineStr">
        <is>
          <t>LNG-T5</t>
        </is>
      </c>
      <c r="H5664" s="12" t="inlineStr">
        <is>
          <t>LNG 11: tank 5, Chart HS 50000 (51,780 gal)</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10</v>
      </c>
      <c r="R5664" s="12" t="n">
        <v>14.2</v>
      </c>
      <c r="S5664" s="12" t="inlineStr">
        <is>
          <t>Duct bank</t>
        </is>
      </c>
      <c r="T5664" s="16" t="n">
        <v>290</v>
      </c>
      <c r="U5664" s="16" t="n">
        <v>32</v>
      </c>
      <c r="V5664" s="16">
        <f>ROUNDUP((T5664+U5664+2*'Read Me'!$B$13)*(1+'Read Me'!$B$12),-1)</f>
        <v/>
      </c>
      <c r="W5664" s="16">
        <f>V5664*N5664*O5664</f>
        <v/>
      </c>
      <c r="X5664" s="12">
        <f>IF(LEFT(I5664,2)="MV",2*N5664*IF(L5664="1/C",O5664,1),0)</f>
        <v/>
      </c>
      <c r="Y5664" s="12">
        <f>IF(OR(LEFT(K5664,4)="LVAX",LEFT(K5664,6)="MV15AX",LEFT(K5664,4)="CTAX",LEFT(K5664,2)="W|"),2*N5664*O5664,0)</f>
        <v/>
      </c>
      <c r="Z5664" s="12" t="inlineStr">
        <is>
          <t>VD 2.2 %</t>
        </is>
      </c>
      <c r="AA5664" s="12">
        <f>N5664*O5664</f>
        <v/>
      </c>
    </row>
    <row r="5665">
      <c r="A5665" s="12" t="inlineStr">
        <is>
          <t>K-P-0033</t>
        </is>
      </c>
      <c r="B5665" s="12" t="inlineStr">
        <is>
          <t>K</t>
        </is>
      </c>
      <c r="C5665" s="12" t="inlineStr">
        <is>
          <t>Fuel supply (adjacent market)</t>
        </is>
      </c>
      <c r="D5665" s="12" t="inlineStr">
        <is>
          <t>LV power feeder</t>
        </is>
      </c>
      <c r="E5665" s="12" t="inlineStr"/>
      <c r="F5665" s="12" t="inlineStr">
        <is>
          <t>LNG 17: LNG e-house (13.8 kV / 480 V)</t>
        </is>
      </c>
      <c r="G5665" s="12" t="inlineStr">
        <is>
          <t>LNG-T6</t>
        </is>
      </c>
      <c r="H5665" s="12" t="inlineStr">
        <is>
          <t>LNG 11: tank 6, Chart HS 50000 (51,780 gal)</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10</v>
      </c>
      <c r="R5665" s="12" t="n">
        <v>14.2</v>
      </c>
      <c r="S5665" s="12" t="inlineStr">
        <is>
          <t>Duct bank</t>
        </is>
      </c>
      <c r="T5665" s="16" t="n">
        <v>310</v>
      </c>
      <c r="U5665" s="16" t="n">
        <v>32</v>
      </c>
      <c r="V5665" s="16">
        <f>ROUNDUP((T5665+U5665+2*'Read Me'!$B$13)*(1+'Read Me'!$B$12),-1)</f>
        <v/>
      </c>
      <c r="W5665" s="16">
        <f>V5665*N5665*O5665</f>
        <v/>
      </c>
      <c r="X5665" s="12">
        <f>IF(LEFT(I5665,2)="MV",2*N5665*IF(L5665="1/C",O5665,1),0)</f>
        <v/>
      </c>
      <c r="Y5665" s="12">
        <f>IF(OR(LEFT(K5665,4)="LVAX",LEFT(K5665,6)="MV15AX",LEFT(K5665,4)="CTAX",LEFT(K5665,2)="W|"),2*N5665*O5665,0)</f>
        <v/>
      </c>
      <c r="Z5665" s="12" t="inlineStr">
        <is>
          <t>VD 2.3 %</t>
        </is>
      </c>
      <c r="AA5665" s="12">
        <f>N5665*O5665</f>
        <v/>
      </c>
    </row>
    <row r="5666">
      <c r="A5666" s="12" t="inlineStr">
        <is>
          <t>K-P-0034</t>
        </is>
      </c>
      <c r="B5666" s="12" t="inlineStr">
        <is>
          <t>K</t>
        </is>
      </c>
      <c r="C5666" s="12" t="inlineStr">
        <is>
          <t>Fuel supply (adjacent market)</t>
        </is>
      </c>
      <c r="D5666" s="12" t="inlineStr">
        <is>
          <t>LV power feeder</t>
        </is>
      </c>
      <c r="E5666" s="12" t="inlineStr"/>
      <c r="F5666" s="12" t="inlineStr">
        <is>
          <t>LNG 17: LNG e-house (13.8 kV / 480 V)</t>
        </is>
      </c>
      <c r="G5666" s="12" t="inlineStr">
        <is>
          <t>LNG-T7</t>
        </is>
      </c>
      <c r="H5666" s="12" t="inlineStr">
        <is>
          <t>LNG 11: tank 7, Chart HS 50000 (51,780 gal)</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10</v>
      </c>
      <c r="R5666" s="12" t="n">
        <v>14.2</v>
      </c>
      <c r="S5666" s="12" t="inlineStr">
        <is>
          <t>Duct bank</t>
        </is>
      </c>
      <c r="T5666" s="16" t="n">
        <v>330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is>
          <t>VD 2.5 %</t>
        </is>
      </c>
      <c r="AA5666" s="12">
        <f>N5666*O5666</f>
        <v/>
      </c>
    </row>
    <row r="5667">
      <c r="A5667" s="12" t="inlineStr">
        <is>
          <t>K-P-0035</t>
        </is>
      </c>
      <c r="B5667" s="12" t="inlineStr">
        <is>
          <t>K</t>
        </is>
      </c>
      <c r="C5667" s="12" t="inlineStr">
        <is>
          <t>Fuel supply (adjacent market)</t>
        </is>
      </c>
      <c r="D5667" s="12" t="inlineStr">
        <is>
          <t>LV power feeder</t>
        </is>
      </c>
      <c r="E5667" s="12" t="inlineStr"/>
      <c r="F5667" s="12" t="inlineStr">
        <is>
          <t>LNG 17: LNG e-house (13.8 kV / 480 V)</t>
        </is>
      </c>
      <c r="G5667" s="12" t="inlineStr">
        <is>
          <t>LNG-T8</t>
        </is>
      </c>
      <c r="H5667" s="12" t="inlineStr">
        <is>
          <t>LNG 11: tank 8, Chart HS 50000 (51,780 gal)</t>
        </is>
      </c>
      <c r="I5667" s="12" t="inlineStr">
        <is>
          <t>LV 600 V</t>
        </is>
      </c>
      <c r="J5667" s="12" t="inlineStr">
        <is>
          <t>ARMOR-X MC-HL 600 V 3/C Cu XHHW-2 + ground, CWA, black PVC (Class I Div 2)</t>
        </is>
      </c>
      <c r="K5667" s="12" t="inlineStr">
        <is>
          <t>LVAX|3/C+G|10</t>
        </is>
      </c>
      <c r="L5667" s="12" t="inlineStr">
        <is>
          <t>3/C+G</t>
        </is>
      </c>
      <c r="M5667" s="12" t="inlineStr">
        <is>
          <t>10</t>
        </is>
      </c>
      <c r="N5667" s="12" t="n">
        <v>1</v>
      </c>
      <c r="O5667" s="12" t="n">
        <v>1</v>
      </c>
      <c r="P5667" s="12" t="n">
        <v>480</v>
      </c>
      <c r="Q5667" s="12" t="n">
        <v>10</v>
      </c>
      <c r="R5667" s="12" t="n">
        <v>14.2</v>
      </c>
      <c r="S5667" s="12" t="inlineStr">
        <is>
          <t>Duct bank</t>
        </is>
      </c>
      <c r="T5667" s="16" t="n">
        <v>350</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is>
          <t>VD 2.6 %</t>
        </is>
      </c>
      <c r="AA5667" s="12">
        <f>N5667*O5667</f>
        <v/>
      </c>
    </row>
    <row r="5668">
      <c r="A5668" s="12" t="inlineStr">
        <is>
          <t>K-P-0036</t>
        </is>
      </c>
      <c r="B5668" s="12" t="inlineStr">
        <is>
          <t>K</t>
        </is>
      </c>
      <c r="C5668" s="12" t="inlineStr">
        <is>
          <t>Fuel supply (adjacent market)</t>
        </is>
      </c>
      <c r="D5668" s="12" t="inlineStr">
        <is>
          <t>Motor 1 of 1, 15 kW</t>
        </is>
      </c>
      <c r="E5668" s="12" t="inlineStr"/>
      <c r="F5668" s="12" t="inlineStr">
        <is>
          <t>LNG 17: LNG e-house (13.8 kV / 480 V)</t>
        </is>
      </c>
      <c r="G5668" s="12" t="inlineStr"/>
      <c r="H5668" s="12" t="inlineStr">
        <is>
          <t>LNG 12: spill impoundment (NFPA 59A, to verify)</t>
        </is>
      </c>
      <c r="I5668" s="12" t="inlineStr">
        <is>
          <t>LV 600 V</t>
        </is>
      </c>
      <c r="J5668" s="12" t="inlineStr">
        <is>
          <t>ARMOR-X MC-HL 600 V 3/C Cu XHHW-2 + ground, CWA, black PVC (Class I Div 2)</t>
        </is>
      </c>
      <c r="K5668" s="12" t="inlineStr">
        <is>
          <t>LVAX|3/C+G|10</t>
        </is>
      </c>
      <c r="L5668" s="12" t="inlineStr">
        <is>
          <t>3/C+G</t>
        </is>
      </c>
      <c r="M5668" s="12" t="inlineStr">
        <is>
          <t>10</t>
        </is>
      </c>
      <c r="N5668" s="12" t="n">
        <v>1</v>
      </c>
      <c r="O5668" s="12" t="n">
        <v>1</v>
      </c>
      <c r="P5668" s="12" t="n">
        <v>480</v>
      </c>
      <c r="Q5668" s="12" t="n">
        <v>15</v>
      </c>
      <c r="R5668" s="12" t="n">
        <v>21.2</v>
      </c>
      <c r="S5668" s="12" t="inlineStr">
        <is>
          <t>Duct bank</t>
        </is>
      </c>
      <c r="T5668" s="16" t="n">
        <v>230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is>
          <t>VD 2.7 %</t>
        </is>
      </c>
      <c r="AA5668" s="12">
        <f>N5668*O5668</f>
        <v/>
      </c>
    </row>
    <row r="5669">
      <c r="A5669" s="12" t="inlineStr">
        <is>
          <t>K-P-0037</t>
        </is>
      </c>
      <c r="B5669" s="12" t="inlineStr">
        <is>
          <t>K</t>
        </is>
      </c>
      <c r="C5669" s="12" t="inlineStr">
        <is>
          <t>Fuel supply (adjacent market)</t>
        </is>
      </c>
      <c r="D5669" s="12" t="inlineStr">
        <is>
          <t>Motor 1 of 1, 15 kW</t>
        </is>
      </c>
      <c r="E5669" s="12" t="inlineStr"/>
      <c r="F5669" s="12" t="inlineStr">
        <is>
          <t>LNG 17: LNG e-house (13.8 kV / 480 V)</t>
        </is>
      </c>
      <c r="G5669" s="12" t="inlineStr"/>
      <c r="H5669" s="12" t="inlineStr">
        <is>
          <t>LNG 13: send-out pumps 2 x 100%</t>
        </is>
      </c>
      <c r="I5669" s="12" t="inlineStr">
        <is>
          <t>LV 600 V</t>
        </is>
      </c>
      <c r="J5669" s="12" t="inlineStr">
        <is>
          <t>ARMOR-X MC-HL 600 V 3/C Cu XHHW-2 + ground, CWA, black PVC (Class I Div 2)</t>
        </is>
      </c>
      <c r="K5669" s="12" t="inlineStr">
        <is>
          <t>LVAX|3/C+G|10</t>
        </is>
      </c>
      <c r="L5669" s="12" t="inlineStr">
        <is>
          <t>3/C+G</t>
        </is>
      </c>
      <c r="M5669" s="12" t="inlineStr">
        <is>
          <t>10</t>
        </is>
      </c>
      <c r="N5669" s="12" t="n">
        <v>1</v>
      </c>
      <c r="O5669" s="12" t="n">
        <v>1</v>
      </c>
      <c r="P5669" s="12" t="n">
        <v>480</v>
      </c>
      <c r="Q5669" s="12" t="n">
        <v>15</v>
      </c>
      <c r="R5669" s="12" t="n">
        <v>21.2</v>
      </c>
      <c r="S5669" s="12" t="inlineStr">
        <is>
          <t>Duct bank</t>
        </is>
      </c>
      <c r="T5669" s="16" t="n">
        <v>110</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is>
          <t>VD 1.4 %</t>
        </is>
      </c>
      <c r="AA5669" s="12">
        <f>N5669*O5669</f>
        <v/>
      </c>
    </row>
    <row r="5670">
      <c r="A5670" s="12" t="inlineStr">
        <is>
          <t>K-P-0038</t>
        </is>
      </c>
      <c r="B5670" s="12" t="inlineStr">
        <is>
          <t>K</t>
        </is>
      </c>
      <c r="C5670" s="12" t="inlineStr">
        <is>
          <t>Fuel supply (adjacent market)</t>
        </is>
      </c>
      <c r="D5670" s="12" t="inlineStr">
        <is>
          <t>Motor 1 of 1, 15 kW</t>
        </is>
      </c>
      <c r="E5670" s="12" t="inlineStr"/>
      <c r="F5670" s="12" t="inlineStr">
        <is>
          <t>LNG 17: LNG e-house (13.8 kV / 480 V)</t>
        </is>
      </c>
      <c r="G5670" s="12" t="inlineStr"/>
      <c r="H5670" s="12" t="inlineStr">
        <is>
          <t>LNG 14: vaporizers + glycol heater</t>
        </is>
      </c>
      <c r="I5670" s="12" t="inlineStr">
        <is>
          <t>LV 600 V</t>
        </is>
      </c>
      <c r="J5670" s="12" t="inlineStr">
        <is>
          <t>ARMOR-X MC-HL 600 V 3/C Cu XHHW-2 + ground, CWA, black PVC (Class I Div 2)</t>
        </is>
      </c>
      <c r="K5670" s="12" t="inlineStr">
        <is>
          <t>LVAX|3/C+G|10</t>
        </is>
      </c>
      <c r="L5670" s="12" t="inlineStr">
        <is>
          <t>3/C+G</t>
        </is>
      </c>
      <c r="M5670" s="12" t="inlineStr">
        <is>
          <t>10</t>
        </is>
      </c>
      <c r="N5670" s="12" t="n">
        <v>1</v>
      </c>
      <c r="O5670" s="12" t="n">
        <v>1</v>
      </c>
      <c r="P5670" s="12" t="n">
        <v>480</v>
      </c>
      <c r="Q5670" s="12" t="n">
        <v>15</v>
      </c>
      <c r="R5670" s="12" t="n">
        <v>21.2</v>
      </c>
      <c r="S5670" s="12" t="inlineStr">
        <is>
          <t>Duct bank</t>
        </is>
      </c>
      <c r="T5670" s="16" t="n">
        <v>259</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is>
          <t>VD 3.0 %</t>
        </is>
      </c>
      <c r="AA5670" s="12">
        <f>N5670*O5670</f>
        <v/>
      </c>
    </row>
    <row r="5671">
      <c r="A5671" s="12" t="inlineStr">
        <is>
          <t>K-P-0039</t>
        </is>
      </c>
      <c r="B5671" s="12" t="inlineStr">
        <is>
          <t>K</t>
        </is>
      </c>
      <c r="C5671" s="12" t="inlineStr">
        <is>
          <t>Fuel supply (adjacent market)</t>
        </is>
      </c>
      <c r="D5671" s="12" t="inlineStr">
        <is>
          <t>Motor 1 of 1, 15 kW</t>
        </is>
      </c>
      <c r="E5671" s="12" t="inlineStr"/>
      <c r="F5671" s="12" t="inlineStr">
        <is>
          <t>LNG 17: LNG e-house (13.8 kV / 480 V)</t>
        </is>
      </c>
      <c r="G5671" s="12" t="inlineStr"/>
      <c r="H5671" s="12" t="inlineStr">
        <is>
          <t>LNG 15: boil-off gas compressor</t>
        </is>
      </c>
      <c r="I5671" s="12" t="inlineStr">
        <is>
          <t>LV 600 V</t>
        </is>
      </c>
      <c r="J5671" s="12" t="inlineStr">
        <is>
          <t>ARMOR-X MC-HL 600 V 3/C Cu XHHW-2 + ground, CWA, black PVC (Class I Div 2)</t>
        </is>
      </c>
      <c r="K5671" s="12" t="inlineStr">
        <is>
          <t>LVAX|3/C+G|10</t>
        </is>
      </c>
      <c r="L5671" s="12" t="inlineStr">
        <is>
          <t>3/C+G</t>
        </is>
      </c>
      <c r="M5671" s="12" t="inlineStr">
        <is>
          <t>10</t>
        </is>
      </c>
      <c r="N5671" s="12" t="n">
        <v>1</v>
      </c>
      <c r="O5671" s="12" t="n">
        <v>1</v>
      </c>
      <c r="P5671" s="12" t="n">
        <v>480</v>
      </c>
      <c r="Q5671" s="12" t="n">
        <v>15</v>
      </c>
      <c r="R5671" s="12" t="n">
        <v>21.2</v>
      </c>
      <c r="S5671" s="12" t="inlineStr">
        <is>
          <t>Duct bank</t>
        </is>
      </c>
      <c r="T5671" s="16" t="n">
        <v>25</v>
      </c>
      <c r="U5671" s="16" t="n">
        <v>54</v>
      </c>
      <c r="V5671" s="16">
        <f>ROUNDUP((T5671+U5671+2*'Read Me'!$B$13)*(1+'Read Me'!$B$12),-1)</f>
        <v/>
      </c>
      <c r="W5671" s="16">
        <f>V5671*N5671*O5671</f>
        <v/>
      </c>
      <c r="X5671" s="12">
        <f>IF(LEFT(I5671,2)="MV",2*N5671*IF(L5671="1/C",O5671,1),0)</f>
        <v/>
      </c>
      <c r="Y5671" s="12">
        <f>IF(OR(LEFT(K5671,4)="LVAX",LEFT(K5671,6)="MV15AX",LEFT(K5671,4)="CTAX",LEFT(K5671,2)="W|"),2*N5671*O5671,0)</f>
        <v/>
      </c>
      <c r="Z5671" s="12" t="inlineStr">
        <is>
          <t>VD 0.8 %</t>
        </is>
      </c>
      <c r="AA5671" s="12">
        <f>N5671*O5671</f>
        <v/>
      </c>
    </row>
    <row r="5672">
      <c r="A5672" s="12" t="inlineStr">
        <is>
          <t>K-P-0040</t>
        </is>
      </c>
      <c r="B5672" s="12" t="inlineStr">
        <is>
          <t>K</t>
        </is>
      </c>
      <c r="C5672" s="12" t="inlineStr">
        <is>
          <t>Fuel supply (adjacent market)</t>
        </is>
      </c>
      <c r="D5672" s="12" t="inlineStr">
        <is>
          <t>Motor 1 of 1, 15 kW</t>
        </is>
      </c>
      <c r="E5672" s="12" t="inlineStr"/>
      <c r="F5672" s="12" t="inlineStr">
        <is>
          <t>LNG 17: LNG e-house (13.8 kV / 480 V)</t>
        </is>
      </c>
      <c r="G5672" s="12" t="inlineStr"/>
      <c r="H5672" s="12" t="inlineStr">
        <is>
          <t>LNG 16: send-out metering + pressure control</t>
        </is>
      </c>
      <c r="I5672" s="12" t="inlineStr">
        <is>
          <t>LV 600 V</t>
        </is>
      </c>
      <c r="J5672" s="12" t="inlineStr">
        <is>
          <t>ARMOR-X MC-HL 600 V 3/C Cu XHHW-2 + ground, CWA, black PVC (Class I Div 2)</t>
        </is>
      </c>
      <c r="K5672" s="12" t="inlineStr">
        <is>
          <t>LVAX|3/C+G|10</t>
        </is>
      </c>
      <c r="L5672" s="12" t="inlineStr">
        <is>
          <t>3/C+G</t>
        </is>
      </c>
      <c r="M5672" s="12" t="inlineStr">
        <is>
          <t>10</t>
        </is>
      </c>
      <c r="N5672" s="12" t="n">
        <v>1</v>
      </c>
      <c r="O5672" s="12" t="n">
        <v>1</v>
      </c>
      <c r="P5672" s="12" t="n">
        <v>480</v>
      </c>
      <c r="Q5672" s="12" t="n">
        <v>15</v>
      </c>
      <c r="R5672" s="12" t="n">
        <v>21.2</v>
      </c>
      <c r="S5672" s="12" t="inlineStr">
        <is>
          <t>Duct bank</t>
        </is>
      </c>
      <c r="T5672" s="16" t="n">
        <v>20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is>
          <t>VD 0.5 %</t>
        </is>
      </c>
      <c r="AA5672" s="12">
        <f>N5672*O5672</f>
        <v/>
      </c>
    </row>
    <row r="5673">
      <c r="A5673" s="12" t="inlineStr">
        <is>
          <t>K-P-0041</t>
        </is>
      </c>
      <c r="B5673" s="12" t="inlineStr">
        <is>
          <t>K</t>
        </is>
      </c>
      <c r="C5673" s="12" t="inlineStr">
        <is>
          <t>Fuel supply (adjacent market)</t>
        </is>
      </c>
      <c r="D5673" s="12" t="inlineStr">
        <is>
          <t>Motor 1 of 1, 15 kW</t>
        </is>
      </c>
      <c r="E5673" s="12" t="inlineStr"/>
      <c r="F5673" s="12" t="inlineStr">
        <is>
          <t>LNG 17: LNG e-house (13.8 kV / 480 V)</t>
        </is>
      </c>
      <c r="G5673" s="12" t="inlineStr"/>
      <c r="H5673" s="12" t="inlineStr">
        <is>
          <t>LNG 17: LNG e-house (13.8 kV / 480 V)</t>
        </is>
      </c>
      <c r="I5673" s="12" t="inlineStr">
        <is>
          <t>LV 600 V</t>
        </is>
      </c>
      <c r="J5673" s="12" t="inlineStr">
        <is>
          <t>ARMOR-X MC-HL 600 V 3/C Cu XHHW-2 + ground, CWA, black PVC (Class I Div 2)</t>
        </is>
      </c>
      <c r="K5673" s="12" t="inlineStr">
        <is>
          <t>LVAX|3/C+G|10</t>
        </is>
      </c>
      <c r="L5673" s="12" t="inlineStr">
        <is>
          <t>3/C+G</t>
        </is>
      </c>
      <c r="M5673" s="12" t="inlineStr">
        <is>
          <t>10</t>
        </is>
      </c>
      <c r="N5673" s="12" t="n">
        <v>1</v>
      </c>
      <c r="O5673" s="12" t="n">
        <v>1</v>
      </c>
      <c r="P5673" s="12" t="n">
        <v>480</v>
      </c>
      <c r="Q5673" s="12" t="n">
        <v>15</v>
      </c>
      <c r="R5673" s="12" t="n">
        <v>21.2</v>
      </c>
      <c r="S5673" s="12" t="inlineStr">
        <is>
          <t>Tray</t>
        </is>
      </c>
      <c r="T5673" s="16" t="n">
        <v>0</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is>
          <t>VD 0.3 %</t>
        </is>
      </c>
      <c r="AA5673" s="12">
        <f>N5673*O5673</f>
        <v/>
      </c>
    </row>
    <row r="5674">
      <c r="A5674" s="12" t="inlineStr">
        <is>
          <t>K-P-0042</t>
        </is>
      </c>
      <c r="B5674" s="12" t="inlineStr">
        <is>
          <t>K</t>
        </is>
      </c>
      <c r="C5674" s="12" t="inlineStr">
        <is>
          <t>Fuel supply (adjacent market)</t>
        </is>
      </c>
      <c r="D5674" s="12" t="inlineStr">
        <is>
          <t>Motor 1 of 1, 15 kW</t>
        </is>
      </c>
      <c r="E5674" s="12" t="inlineStr"/>
      <c r="F5674" s="12" t="inlineStr">
        <is>
          <t>LNG 17: LNG e-house (13.8 kV / 480 V)</t>
        </is>
      </c>
      <c r="G5674" s="12" t="inlineStr"/>
      <c r="H5674" s="12" t="inlineStr">
        <is>
          <t>LNG 18: vent stack</t>
        </is>
      </c>
      <c r="I5674" s="12" t="inlineStr">
        <is>
          <t>LV 600 V</t>
        </is>
      </c>
      <c r="J5674" s="12" t="inlineStr">
        <is>
          <t>ARMOR-X MC-HL 600 V 3/C Cu XHHW-2 + ground, CWA, black PVC (Class I Div 2)</t>
        </is>
      </c>
      <c r="K5674" s="12" t="inlineStr">
        <is>
          <t>LVAX|3/C+G|10</t>
        </is>
      </c>
      <c r="L5674" s="12" t="inlineStr">
        <is>
          <t>3/C+G</t>
        </is>
      </c>
      <c r="M5674" s="12" t="inlineStr">
        <is>
          <t>10</t>
        </is>
      </c>
      <c r="N5674" s="12" t="n">
        <v>1</v>
      </c>
      <c r="O5674" s="12" t="n">
        <v>1</v>
      </c>
      <c r="P5674" s="12" t="n">
        <v>480</v>
      </c>
      <c r="Q5674" s="12" t="n">
        <v>15</v>
      </c>
      <c r="R5674" s="12" t="n">
        <v>21.2</v>
      </c>
      <c r="S5674" s="12" t="inlineStr">
        <is>
          <t>Duct bank</t>
        </is>
      </c>
      <c r="T5674" s="16" t="n">
        <v>25</v>
      </c>
      <c r="U5674" s="16" t="n">
        <v>117</v>
      </c>
      <c r="V5674" s="16">
        <f>ROUNDUP((T5674+U5674+2*'Read Me'!$B$13)*(1+'Read Me'!$B$12),-1)</f>
        <v/>
      </c>
      <c r="W5674" s="16">
        <f>V5674*N5674*O5674</f>
        <v/>
      </c>
      <c r="X5674" s="12">
        <f>IF(LEFT(I5674,2)="MV",2*N5674*IF(L5674="1/C",O5674,1),0)</f>
        <v/>
      </c>
      <c r="Y5674" s="12">
        <f>IF(OR(LEFT(K5674,4)="LVAX",LEFT(K5674,6)="MV15AX",LEFT(K5674,4)="CTAX",LEFT(K5674,2)="W|"),2*N5674*O5674,0)</f>
        <v/>
      </c>
      <c r="Z5674" s="12" t="inlineStr">
        <is>
          <t>VD 1.4 %</t>
        </is>
      </c>
      <c r="AA5674" s="12">
        <f>N5674*O5674</f>
        <v/>
      </c>
    </row>
    <row r="5675">
      <c r="A5675" s="12" t="inlineStr">
        <is>
          <t>K-P-0043</t>
        </is>
      </c>
      <c r="B5675" s="12" t="inlineStr">
        <is>
          <t>K</t>
        </is>
      </c>
      <c r="C5675" s="12" t="inlineStr">
        <is>
          <t>Fuel supply (adjacent market)</t>
        </is>
      </c>
      <c r="D5675" s="12" t="inlineStr">
        <is>
          <t>LV power feeder</t>
        </is>
      </c>
      <c r="E5675" s="12" t="inlineStr"/>
      <c r="F5675" s="12" t="inlineStr">
        <is>
          <t>LNG 17: LNG e-house (13.8 kV / 480 V)</t>
        </is>
      </c>
      <c r="G5675" s="12" t="inlineStr"/>
      <c r="H5675" s="12" t="inlineStr">
        <is>
          <t>LNG impoundment sump pump</t>
        </is>
      </c>
      <c r="I5675" s="12" t="inlineStr">
        <is>
          <t>LV 600 V</t>
        </is>
      </c>
      <c r="J5675" s="12" t="inlineStr">
        <is>
          <t>ARMOR-X MC-HL 600 V 3/C Cu XHHW-2 + ground, CWA, black PVC (Class I Div 2)</t>
        </is>
      </c>
      <c r="K5675" s="12" t="inlineStr">
        <is>
          <t>LVAX|3/C+G|8</t>
        </is>
      </c>
      <c r="L5675" s="12" t="inlineStr">
        <is>
          <t>3/C+G</t>
        </is>
      </c>
      <c r="M5675" s="12" t="inlineStr">
        <is>
          <t>8</t>
        </is>
      </c>
      <c r="N5675" s="12" t="n">
        <v>1</v>
      </c>
      <c r="O5675" s="12" t="n">
        <v>1</v>
      </c>
      <c r="P5675" s="12" t="n">
        <v>480</v>
      </c>
      <c r="Q5675" s="12" t="n">
        <v>15</v>
      </c>
      <c r="R5675" s="12" t="n">
        <v>21.2</v>
      </c>
      <c r="S5675" s="12" t="inlineStr">
        <is>
          <t>Duct bank</t>
        </is>
      </c>
      <c r="T5675" s="16" t="n">
        <v>334</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is>
          <t>VD 2.4 %</t>
        </is>
      </c>
      <c r="AA5675" s="12">
        <f>N5675*O5675</f>
        <v/>
      </c>
    </row>
    <row r="5676">
      <c r="A5676" s="12" t="inlineStr">
        <is>
          <t>K-P-0044</t>
        </is>
      </c>
      <c r="B5676" s="12" t="inlineStr">
        <is>
          <t>K</t>
        </is>
      </c>
      <c r="C5676" s="12" t="inlineStr">
        <is>
          <t>Fuel supply (adjacent market)</t>
        </is>
      </c>
      <c r="D5676" s="12" t="inlineStr">
        <is>
          <t>LV power feeder</t>
        </is>
      </c>
      <c r="E5676" s="12" t="inlineStr"/>
      <c r="F5676" s="12" t="inlineStr">
        <is>
          <t>LNG 17: LNG e-house (13.8 kV / 480 V)</t>
        </is>
      </c>
      <c r="G5676" s="12" t="inlineStr"/>
      <c r="H5676" s="12" t="inlineStr">
        <is>
          <t>M&amp;R 2: insulating joint + ESD valve</t>
        </is>
      </c>
      <c r="I5676" s="12" t="inlineStr">
        <is>
          <t>LV 600 V</t>
        </is>
      </c>
      <c r="J5676" s="12" t="inlineStr">
        <is>
          <t>ARMOR-X MC-HL 600 V 3/C Cu XHHW-2 + ground, CWA, black PVC (Class I Div 2)</t>
        </is>
      </c>
      <c r="K5676" s="12" t="inlineStr">
        <is>
          <t>LVAX|3/C+G|6</t>
        </is>
      </c>
      <c r="L5676" s="12" t="inlineStr">
        <is>
          <t>3/C+G</t>
        </is>
      </c>
      <c r="M5676" s="12" t="inlineStr">
        <is>
          <t>6</t>
        </is>
      </c>
      <c r="N5676" s="12" t="n">
        <v>1</v>
      </c>
      <c r="O5676" s="12" t="n">
        <v>1</v>
      </c>
      <c r="P5676" s="12" t="n">
        <v>480</v>
      </c>
      <c r="Q5676" s="12" t="n">
        <v>10</v>
      </c>
      <c r="R5676" s="12" t="n">
        <v>14.2</v>
      </c>
      <c r="S5676" s="12" t="inlineStr">
        <is>
          <t>Duct bank</t>
        </is>
      </c>
      <c r="T5676" s="16" t="n">
        <v>758</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is>
          <t>VD 2.2 %</t>
        </is>
      </c>
      <c r="AA5676" s="12">
        <f>N5676*O5676</f>
        <v/>
      </c>
    </row>
    <row r="5677">
      <c r="A5677" s="12" t="inlineStr">
        <is>
          <t>K-P-0045</t>
        </is>
      </c>
      <c r="B5677" s="12" t="inlineStr">
        <is>
          <t>K</t>
        </is>
      </c>
      <c r="C5677" s="12" t="inlineStr">
        <is>
          <t>Fuel supply (adjacent market)</t>
        </is>
      </c>
      <c r="D5677" s="12" t="inlineStr">
        <is>
          <t>LV power feeder</t>
        </is>
      </c>
      <c r="E5677" s="12" t="inlineStr"/>
      <c r="F5677" s="12" t="inlineStr">
        <is>
          <t>LNG 17: LNG e-house (13.8 kV / 480 V)</t>
        </is>
      </c>
      <c r="G5677" s="12" t="inlineStr"/>
      <c r="H5677" s="12" t="inlineStr">
        <is>
          <t>M&amp;R 3: horizontal filter-separator</t>
        </is>
      </c>
      <c r="I5677" s="12" t="inlineStr">
        <is>
          <t>LV 600 V</t>
        </is>
      </c>
      <c r="J5677" s="12" t="inlineStr">
        <is>
          <t>ARMOR-X MC-HL 600 V 3/C Cu XHHW-2 + ground, CWA, black PVC (Class I Div 2)</t>
        </is>
      </c>
      <c r="K5677" s="12" t="inlineStr">
        <is>
          <t>LVAX|3/C+G|4</t>
        </is>
      </c>
      <c r="L5677" s="12" t="inlineStr">
        <is>
          <t>3/C+G</t>
        </is>
      </c>
      <c r="M5677" s="12" t="inlineStr">
        <is>
          <t>4</t>
        </is>
      </c>
      <c r="N5677" s="12" t="n">
        <v>1</v>
      </c>
      <c r="O5677" s="12" t="n">
        <v>1</v>
      </c>
      <c r="P5677" s="12" t="n">
        <v>480</v>
      </c>
      <c r="Q5677" s="12" t="n">
        <v>15</v>
      </c>
      <c r="R5677" s="12" t="n">
        <v>21.2</v>
      </c>
      <c r="S5677" s="12" t="inlineStr">
        <is>
          <t>Duct bank</t>
        </is>
      </c>
      <c r="T5677" s="16" t="n">
        <v>797</v>
      </c>
      <c r="U5677" s="16" t="n">
        <v>32</v>
      </c>
      <c r="V5677" s="16">
        <f>ROUNDUP((T5677+U5677+2*'Read Me'!$B$13)*(1+'Read Me'!$B$12),-1)</f>
        <v/>
      </c>
      <c r="W5677" s="16">
        <f>V5677*N5677*O5677</f>
        <v/>
      </c>
      <c r="X5677" s="12">
        <f>IF(LEFT(I5677,2)="MV",2*N5677*IF(L5677="1/C",O5677,1),0)</f>
        <v/>
      </c>
      <c r="Y5677" s="12">
        <f>IF(OR(LEFT(K5677,4)="LVAX",LEFT(K5677,6)="MV15AX",LEFT(K5677,4)="CTAX",LEFT(K5677,2)="W|"),2*N5677*O5677,0)</f>
        <v/>
      </c>
      <c r="Z5677" s="12" t="inlineStr">
        <is>
          <t>VD 2.2 %</t>
        </is>
      </c>
      <c r="AA5677" s="12">
        <f>N5677*O5677</f>
        <v/>
      </c>
    </row>
    <row r="5678">
      <c r="A5678" s="12" t="inlineStr">
        <is>
          <t>K-P-0046</t>
        </is>
      </c>
      <c r="B5678" s="12" t="inlineStr">
        <is>
          <t>K</t>
        </is>
      </c>
      <c r="C5678" s="12" t="inlineStr">
        <is>
          <t>Fuel supply (adjacent market)</t>
        </is>
      </c>
      <c r="D5678" s="12" t="inlineStr">
        <is>
          <t>LV power feeder</t>
        </is>
      </c>
      <c r="E5678" s="12" t="inlineStr"/>
      <c r="F5678" s="12" t="inlineStr">
        <is>
          <t>LNG 17: LNG e-house (13.8 kV / 480 V)</t>
        </is>
      </c>
      <c r="G5678" s="12" t="inlineStr"/>
      <c r="H5678" s="12" t="inlineStr">
        <is>
          <t>M&amp;R 4: line heater 1 (water bath)</t>
        </is>
      </c>
      <c r="I5678" s="12" t="inlineStr">
        <is>
          <t>LV 600 V</t>
        </is>
      </c>
      <c r="J5678" s="12" t="inlineStr">
        <is>
          <t>ARMOR-X MC-HL 600 V 3/C Cu XHHW-2 + ground, CWA, black PVC (Class I Div 2)</t>
        </is>
      </c>
      <c r="K5678" s="12" t="inlineStr">
        <is>
          <t>LVAX|3/C+G|6</t>
        </is>
      </c>
      <c r="L5678" s="12" t="inlineStr">
        <is>
          <t>3/C+G</t>
        </is>
      </c>
      <c r="M5678" s="12" t="inlineStr">
        <is>
          <t>6</t>
        </is>
      </c>
      <c r="N5678" s="12" t="n">
        <v>1</v>
      </c>
      <c r="O5678" s="12" t="n">
        <v>1</v>
      </c>
      <c r="P5678" s="12" t="n">
        <v>480</v>
      </c>
      <c r="Q5678" s="12" t="n">
        <v>15</v>
      </c>
      <c r="R5678" s="12" t="n">
        <v>21.2</v>
      </c>
      <c r="S5678" s="12" t="inlineStr">
        <is>
          <t>Duct bank</t>
        </is>
      </c>
      <c r="T5678" s="16" t="n">
        <v>593</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is>
          <t>VD 2.6 %</t>
        </is>
      </c>
      <c r="AA5678" s="12">
        <f>N5678*O5678</f>
        <v/>
      </c>
    </row>
    <row r="5679">
      <c r="A5679" s="12" t="inlineStr">
        <is>
          <t>K-P-0047</t>
        </is>
      </c>
      <c r="B5679" s="12" t="inlineStr">
        <is>
          <t>K</t>
        </is>
      </c>
      <c r="C5679" s="12" t="inlineStr">
        <is>
          <t>Fuel supply (adjacent market)</t>
        </is>
      </c>
      <c r="D5679" s="12" t="inlineStr">
        <is>
          <t>LV power feeder</t>
        </is>
      </c>
      <c r="E5679" s="12" t="inlineStr"/>
      <c r="F5679" s="12" t="inlineStr">
        <is>
          <t>LNG 17: LNG e-house (13.8 kV / 480 V)</t>
        </is>
      </c>
      <c r="G5679" s="12" t="inlineStr"/>
      <c r="H5679" s="12" t="inlineStr">
        <is>
          <t>M&amp;R 4: line heater 2 (water bath)</t>
        </is>
      </c>
      <c r="I5679" s="12" t="inlineStr">
        <is>
          <t>LV 600 V</t>
        </is>
      </c>
      <c r="J5679" s="12" t="inlineStr">
        <is>
          <t>ARMOR-X MC-HL 600 V 3/C Cu XHHW-2 + ground, CWA, black PVC (Class I Div 2)</t>
        </is>
      </c>
      <c r="K5679" s="12" t="inlineStr">
        <is>
          <t>LVAX|3/C+G|6</t>
        </is>
      </c>
      <c r="L5679" s="12" t="inlineStr">
        <is>
          <t>3/C+G</t>
        </is>
      </c>
      <c r="M5679" s="12" t="inlineStr">
        <is>
          <t>6</t>
        </is>
      </c>
      <c r="N5679" s="12" t="n">
        <v>1</v>
      </c>
      <c r="O5679" s="12" t="n">
        <v>1</v>
      </c>
      <c r="P5679" s="12" t="n">
        <v>480</v>
      </c>
      <c r="Q5679" s="12" t="n">
        <v>15</v>
      </c>
      <c r="R5679" s="12" t="n">
        <v>21.2</v>
      </c>
      <c r="S5679" s="12" t="inlineStr">
        <is>
          <t>Duct bank</t>
        </is>
      </c>
      <c r="T5679" s="16" t="n">
        <v>593</v>
      </c>
      <c r="U5679" s="16" t="n">
        <v>50</v>
      </c>
      <c r="V5679" s="16">
        <f>ROUNDUP((T5679+U5679+2*'Read Me'!$B$13)*(1+'Read Me'!$B$12),-1)</f>
        <v/>
      </c>
      <c r="W5679" s="16">
        <f>V5679*N5679*O5679</f>
        <v/>
      </c>
      <c r="X5679" s="12">
        <f>IF(LEFT(I5679,2)="MV",2*N5679*IF(L5679="1/C",O5679,1),0)</f>
        <v/>
      </c>
      <c r="Y5679" s="12">
        <f>IF(OR(LEFT(K5679,4)="LVAX",LEFT(K5679,6)="MV15AX",LEFT(K5679,4)="CTAX",LEFT(K5679,2)="W|"),2*N5679*O5679,0)</f>
        <v/>
      </c>
      <c r="Z5679" s="12" t="inlineStr">
        <is>
          <t>VD 2.7 %</t>
        </is>
      </c>
      <c r="AA5679" s="12">
        <f>N5679*O5679</f>
        <v/>
      </c>
    </row>
    <row r="5680">
      <c r="A5680" s="12" t="inlineStr">
        <is>
          <t>K-P-0048</t>
        </is>
      </c>
      <c r="B5680" s="12" t="inlineStr">
        <is>
          <t>K</t>
        </is>
      </c>
      <c r="C5680" s="12" t="inlineStr">
        <is>
          <t>Fuel supply (adjacent market)</t>
        </is>
      </c>
      <c r="D5680" s="12" t="inlineStr">
        <is>
          <t>LV power feeder</t>
        </is>
      </c>
      <c r="E5680" s="12" t="inlineStr"/>
      <c r="F5680" s="12" t="inlineStr">
        <is>
          <t>LNG 17: LNG e-house (13.8 kV / 480 V)</t>
        </is>
      </c>
      <c r="G5680" s="12" t="inlineStr"/>
      <c r="H5680" s="12" t="inlineStr">
        <is>
          <t>M&amp;R 4: line heater 3 (water bath)</t>
        </is>
      </c>
      <c r="I5680" s="12" t="inlineStr">
        <is>
          <t>LV 600 V</t>
        </is>
      </c>
      <c r="J5680" s="12" t="inlineStr">
        <is>
          <t>ARMOR-X MC-HL 600 V 3/C Cu XHHW-2 + ground, CWA, black PVC (Class I Div 2)</t>
        </is>
      </c>
      <c r="K5680" s="12" t="inlineStr">
        <is>
          <t>LVAX|3/C+G|6</t>
        </is>
      </c>
      <c r="L5680" s="12" t="inlineStr">
        <is>
          <t>3/C+G</t>
        </is>
      </c>
      <c r="M5680" s="12" t="inlineStr">
        <is>
          <t>6</t>
        </is>
      </c>
      <c r="N5680" s="12" t="n">
        <v>1</v>
      </c>
      <c r="O5680" s="12" t="n">
        <v>1</v>
      </c>
      <c r="P5680" s="12" t="n">
        <v>480</v>
      </c>
      <c r="Q5680" s="12" t="n">
        <v>15</v>
      </c>
      <c r="R5680" s="12" t="n">
        <v>21.2</v>
      </c>
      <c r="S5680" s="12" t="inlineStr">
        <is>
          <t>Duct bank</t>
        </is>
      </c>
      <c r="T5680" s="16" t="n">
        <v>593</v>
      </c>
      <c r="U5680" s="16" t="n">
        <v>68</v>
      </c>
      <c r="V5680" s="16">
        <f>ROUNDUP((T5680+U5680+2*'Read Me'!$B$13)*(1+'Read Me'!$B$12),-1)</f>
        <v/>
      </c>
      <c r="W5680" s="16">
        <f>V5680*N5680*O5680</f>
        <v/>
      </c>
      <c r="X5680" s="12">
        <f>IF(LEFT(I5680,2)="MV",2*N5680*IF(L5680="1/C",O5680,1),0)</f>
        <v/>
      </c>
      <c r="Y5680" s="12">
        <f>IF(OR(LEFT(K5680,4)="LVAX",LEFT(K5680,6)="MV15AX",LEFT(K5680,4)="CTAX",LEFT(K5680,2)="W|"),2*N5680*O5680,0)</f>
        <v/>
      </c>
      <c r="Z5680" s="12" t="inlineStr">
        <is>
          <t>VD 2.7 %</t>
        </is>
      </c>
      <c r="AA5680" s="12">
        <f>N5680*O5680</f>
        <v/>
      </c>
    </row>
    <row r="5681">
      <c r="A5681" s="12" t="inlineStr">
        <is>
          <t>K-P-0049</t>
        </is>
      </c>
      <c r="B5681" s="12" t="inlineStr">
        <is>
          <t>K</t>
        </is>
      </c>
      <c r="C5681" s="12" t="inlineStr">
        <is>
          <t>Fuel supply (adjacent market)</t>
        </is>
      </c>
      <c r="D5681" s="12" t="inlineStr">
        <is>
          <t>LV panel / distribution feeder</t>
        </is>
      </c>
      <c r="E5681" s="12" t="inlineStr"/>
      <c r="F5681" s="12" t="inlineStr">
        <is>
          <t>LNG 17: LNG e-house (13.8 kV / 480 V)</t>
        </is>
      </c>
      <c r="G5681" s="12" t="inlineStr"/>
      <c r="H5681" s="12" t="inlineStr">
        <is>
          <t>M&amp;R 6: regulation / flow control building</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10</v>
      </c>
      <c r="R5681" s="12" t="n">
        <v>14.2</v>
      </c>
      <c r="S5681" s="12" t="inlineStr">
        <is>
          <t>Duct bank</t>
        </is>
      </c>
      <c r="T5681" s="16" t="n">
        <v>470</v>
      </c>
      <c r="U5681" s="16" t="n">
        <v>70</v>
      </c>
      <c r="V5681" s="16">
        <f>ROUNDUP((T5681+U5681+2*'Read Me'!$B$13)*(1+'Read Me'!$B$12),-1)</f>
        <v/>
      </c>
      <c r="W5681" s="16">
        <f>V5681*N5681*O5681</f>
        <v/>
      </c>
      <c r="X5681" s="12">
        <f>IF(LEFT(I5681,2)="MV",2*N5681*IF(L5681="1/C",O5681,1),0)</f>
        <v/>
      </c>
      <c r="Y5681" s="12">
        <f>IF(OR(LEFT(K5681,4)="LVAX",LEFT(K5681,6)="MV15AX",LEFT(K5681,4)="CTAX",LEFT(K5681,2)="W|"),2*N5681*O5681,0)</f>
        <v/>
      </c>
      <c r="Z5681" s="12" t="inlineStr">
        <is>
          <t>VD 2.3 %</t>
        </is>
      </c>
      <c r="AA5681" s="12">
        <f>N5681*O5681</f>
        <v/>
      </c>
    </row>
    <row r="5682">
      <c r="A5682" s="12" t="inlineStr">
        <is>
          <t>K-P-0050</t>
        </is>
      </c>
      <c r="B5682" s="12" t="inlineStr">
        <is>
          <t>K</t>
        </is>
      </c>
      <c r="C5682" s="12" t="inlineStr">
        <is>
          <t>Fuel supply (adjacent market)</t>
        </is>
      </c>
      <c r="D5682" s="12" t="inlineStr">
        <is>
          <t>LV panel / distribution feeder</t>
        </is>
      </c>
      <c r="E5682" s="12" t="inlineStr"/>
      <c r="F5682" s="12" t="inlineStr">
        <is>
          <t>LNG 17: LNG e-house (13.8 kV / 480 V)</t>
        </is>
      </c>
      <c r="G5682" s="12" t="inlineStr"/>
      <c r="H5682" s="12" t="inlineStr">
        <is>
          <t>M&amp;R 7: gas quality + measurement building</t>
        </is>
      </c>
      <c r="I5682" s="12" t="inlineStr">
        <is>
          <t>LV 600 V</t>
        </is>
      </c>
      <c r="J5682" s="12" t="inlineStr">
        <is>
          <t>ARMOR-X MC-HL 600 V 3/C Cu XHHW-2 + ground, CWA, black PVC (Class I Div 2)</t>
        </is>
      </c>
      <c r="K5682" s="12" t="inlineStr">
        <is>
          <t>LVAX|3/C+G|2</t>
        </is>
      </c>
      <c r="L5682" s="12" t="inlineStr">
        <is>
          <t>3/C+G</t>
        </is>
      </c>
      <c r="M5682" s="12" t="inlineStr">
        <is>
          <t>2</t>
        </is>
      </c>
      <c r="N5682" s="12" t="n">
        <v>1</v>
      </c>
      <c r="O5682" s="12" t="n">
        <v>1</v>
      </c>
      <c r="P5682" s="12" t="n">
        <v>480</v>
      </c>
      <c r="Q5682" s="12" t="n">
        <v>30</v>
      </c>
      <c r="R5682" s="12" t="n">
        <v>42.5</v>
      </c>
      <c r="S5682" s="12" t="inlineStr">
        <is>
          <t>Duct bank</t>
        </is>
      </c>
      <c r="T5682" s="16" t="n">
        <v>616</v>
      </c>
      <c r="U5682" s="16" t="n">
        <v>52</v>
      </c>
      <c r="V5682" s="16">
        <f>ROUNDUP((T5682+U5682+2*'Read Me'!$B$13)*(1+'Read Me'!$B$12),-1)</f>
        <v/>
      </c>
      <c r="W5682" s="16">
        <f>V5682*N5682*O5682</f>
        <v/>
      </c>
      <c r="X5682" s="12">
        <f>IF(LEFT(I5682,2)="MV",2*N5682*IF(L5682="1/C",O5682,1),0)</f>
        <v/>
      </c>
      <c r="Y5682" s="12">
        <f>IF(OR(LEFT(K5682,4)="LVAX",LEFT(K5682,6)="MV15AX",LEFT(K5682,4)="CTAX",LEFT(K5682,2)="W|"),2*N5682*O5682,0)</f>
        <v/>
      </c>
      <c r="Z5682" s="12" t="inlineStr">
        <is>
          <t>VD 2.2 %</t>
        </is>
      </c>
      <c r="AA5682" s="12">
        <f>N5682*O5682</f>
        <v/>
      </c>
    </row>
    <row r="5683">
      <c r="A5683" s="12" t="inlineStr">
        <is>
          <t>K-P-0051</t>
        </is>
      </c>
      <c r="B5683" s="12" t="inlineStr">
        <is>
          <t>K</t>
        </is>
      </c>
      <c r="C5683" s="12" t="inlineStr">
        <is>
          <t>Fuel supply (adjacent market)</t>
        </is>
      </c>
      <c r="D5683" s="12" t="inlineStr">
        <is>
          <t>LV power feeder</t>
        </is>
      </c>
      <c r="E5683" s="12" t="inlineStr"/>
      <c r="F5683" s="12" t="inlineStr">
        <is>
          <t>LNG 17: LNG e-house (13.8 kV / 480 V)</t>
        </is>
      </c>
      <c r="G5683" s="12" t="inlineStr"/>
      <c r="H5683" s="12" t="inlineStr">
        <is>
          <t>M&amp;R 8: condensate tank</t>
        </is>
      </c>
      <c r="I5683" s="12" t="inlineStr">
        <is>
          <t>LV 600 V</t>
        </is>
      </c>
      <c r="J5683" s="12" t="inlineStr">
        <is>
          <t>ARMOR-X MC-HL 600 V 3/C Cu XHHW-2 + ground, CWA, black PVC (Class I Div 2)</t>
        </is>
      </c>
      <c r="K5683" s="12" t="inlineStr">
        <is>
          <t>LVAX|3/C+G|8</t>
        </is>
      </c>
      <c r="L5683" s="12" t="inlineStr">
        <is>
          <t>3/C+G</t>
        </is>
      </c>
      <c r="M5683" s="12" t="inlineStr">
        <is>
          <t>8</t>
        </is>
      </c>
      <c r="N5683" s="12" t="n">
        <v>1</v>
      </c>
      <c r="O5683" s="12" t="n">
        <v>1</v>
      </c>
      <c r="P5683" s="12" t="n">
        <v>480</v>
      </c>
      <c r="Q5683" s="12" t="n">
        <v>10</v>
      </c>
      <c r="R5683" s="12" t="n">
        <v>14.2</v>
      </c>
      <c r="S5683" s="12" t="inlineStr">
        <is>
          <t>Duct bank</t>
        </is>
      </c>
      <c r="T5683" s="16" t="n">
        <v>530</v>
      </c>
      <c r="U5683" s="16" t="n">
        <v>87</v>
      </c>
      <c r="V5683" s="16">
        <f>ROUNDUP((T5683+U5683+2*'Read Me'!$B$13)*(1+'Read Me'!$B$12),-1)</f>
        <v/>
      </c>
      <c r="W5683" s="16">
        <f>V5683*N5683*O5683</f>
        <v/>
      </c>
      <c r="X5683" s="12">
        <f>IF(LEFT(I5683,2)="MV",2*N5683*IF(L5683="1/C",O5683,1),0)</f>
        <v/>
      </c>
      <c r="Y5683" s="12">
        <f>IF(OR(LEFT(K5683,4)="LVAX",LEFT(K5683,6)="MV15AX",LEFT(K5683,4)="CTAX",LEFT(K5683,2)="W|"),2*N5683*O5683,0)</f>
        <v/>
      </c>
      <c r="Z5683" s="12" t="inlineStr">
        <is>
          <t>VD 2.6 %</t>
        </is>
      </c>
      <c r="AA5683" s="12">
        <f>N5683*O5683</f>
        <v/>
      </c>
    </row>
    <row r="5684">
      <c r="A5684" s="12" t="inlineStr">
        <is>
          <t>K-P-0052</t>
        </is>
      </c>
      <c r="B5684" s="12" t="inlineStr">
        <is>
          <t>K</t>
        </is>
      </c>
      <c r="C5684" s="12" t="inlineStr">
        <is>
          <t>Fuel supply (adjacent market)</t>
        </is>
      </c>
      <c r="D5684" s="12" t="inlineStr">
        <is>
          <t>LV power feeder</t>
        </is>
      </c>
      <c r="E5684" s="12" t="inlineStr"/>
      <c r="F5684" s="12" t="inlineStr">
        <is>
          <t>LNG 17: LNG e-house (13.8 kV / 480 V)</t>
        </is>
      </c>
      <c r="G5684" s="12" t="inlineStr"/>
      <c r="H5684" s="12" t="inlineStr">
        <is>
          <t>M&amp;R 9: service panel + UPS, SCADA RTU, CP</t>
        </is>
      </c>
      <c r="I5684" s="12" t="inlineStr">
        <is>
          <t>LV 600 V</t>
        </is>
      </c>
      <c r="J5684" s="12" t="inlineStr">
        <is>
          <t>ARMOR-X MC-HL 600 V 3/C Cu XHHW-2 + ground, CWA, black PVC (Class I Div 2)</t>
        </is>
      </c>
      <c r="K5684" s="12" t="inlineStr">
        <is>
          <t>LVAX|3/C+G|6</t>
        </is>
      </c>
      <c r="L5684" s="12" t="inlineStr">
        <is>
          <t>3/C+G</t>
        </is>
      </c>
      <c r="M5684" s="12" t="inlineStr">
        <is>
          <t>6</t>
        </is>
      </c>
      <c r="N5684" s="12" t="n">
        <v>1</v>
      </c>
      <c r="O5684" s="12" t="n">
        <v>1</v>
      </c>
      <c r="P5684" s="12" t="n">
        <v>480</v>
      </c>
      <c r="Q5684" s="12" t="n">
        <v>15</v>
      </c>
      <c r="R5684" s="12" t="n">
        <v>21.2</v>
      </c>
      <c r="S5684" s="12" t="inlineStr">
        <is>
          <t>Duct bank</t>
        </is>
      </c>
      <c r="T5684" s="16" t="n">
        <v>466</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is>
          <t>VD 2.1 %</t>
        </is>
      </c>
      <c r="AA5684" s="12">
        <f>N5684*O5684</f>
        <v/>
      </c>
    </row>
    <row r="5685">
      <c r="A5685" s="12" t="inlineStr">
        <is>
          <t>K-P-0053</t>
        </is>
      </c>
      <c r="B5685" s="12" t="inlineStr">
        <is>
          <t>K</t>
        </is>
      </c>
      <c r="C5685" s="12" t="inlineStr">
        <is>
          <t>Fuel supply (adjacent market)</t>
        </is>
      </c>
      <c r="D5685" s="12" t="inlineStr">
        <is>
          <t>LV power feeder</t>
        </is>
      </c>
      <c r="E5685" s="12" t="inlineStr"/>
      <c r="F5685" s="12" t="inlineStr">
        <is>
          <t>LNG 17: LNG e-house (13.8 kV / 480 V)</t>
        </is>
      </c>
      <c r="G5685" s="12" t="inlineStr"/>
      <c r="H5685" s="12" t="inlineStr">
        <is>
          <t>M&amp;R CP test station (as drawn)</t>
        </is>
      </c>
      <c r="I5685" s="12" t="inlineStr">
        <is>
          <t>LV 600 V</t>
        </is>
      </c>
      <c r="J5685" s="12" t="inlineStr">
        <is>
          <t>ARMOR-X MC-HL 600 V 3/C Cu XHHW-2 + ground, CWA, black PVC (Class I Div 2)</t>
        </is>
      </c>
      <c r="K5685" s="12" t="inlineStr">
        <is>
          <t>LVAX|3/C+G|6</t>
        </is>
      </c>
      <c r="L5685" s="12" t="inlineStr">
        <is>
          <t>3/C+G</t>
        </is>
      </c>
      <c r="M5685" s="12" t="inlineStr">
        <is>
          <t>6</t>
        </is>
      </c>
      <c r="N5685" s="12" t="n">
        <v>1</v>
      </c>
      <c r="O5685" s="12" t="n">
        <v>1</v>
      </c>
      <c r="P5685" s="12" t="n">
        <v>480</v>
      </c>
      <c r="Q5685" s="12" t="n">
        <v>15</v>
      </c>
      <c r="R5685" s="12" t="n">
        <v>21.2</v>
      </c>
      <c r="S5685" s="12" t="inlineStr">
        <is>
          <t>Duct bank</t>
        </is>
      </c>
      <c r="T5685" s="16" t="n">
        <v>441</v>
      </c>
      <c r="U5685" s="16" t="n">
        <v>42</v>
      </c>
      <c r="V5685" s="16">
        <f>ROUNDUP((T5685+U5685+2*'Read Me'!$B$13)*(1+'Read Me'!$B$12),-1)</f>
        <v/>
      </c>
      <c r="W5685" s="16">
        <f>V5685*N5685*O5685</f>
        <v/>
      </c>
      <c r="X5685" s="12">
        <f>IF(LEFT(I5685,2)="MV",2*N5685*IF(L5685="1/C",O5685,1),0)</f>
        <v/>
      </c>
      <c r="Y5685" s="12">
        <f>IF(OR(LEFT(K5685,4)="LVAX",LEFT(K5685,6)="MV15AX",LEFT(K5685,4)="CTAX",LEFT(K5685,2)="W|"),2*N5685*O5685,0)</f>
        <v/>
      </c>
      <c r="Z5685" s="12" t="inlineStr">
        <is>
          <t>VD 2.0 %</t>
        </is>
      </c>
      <c r="AA5685" s="12">
        <f>N5685*O5685</f>
        <v/>
      </c>
    </row>
    <row r="5686">
      <c r="A5686" s="12" t="inlineStr">
        <is>
          <t>K-P-0054</t>
        </is>
      </c>
      <c r="B5686" s="12" t="inlineStr">
        <is>
          <t>K</t>
        </is>
      </c>
      <c r="C5686" s="12" t="inlineStr">
        <is>
          <t>Fuel supply (adjacent market)</t>
        </is>
      </c>
      <c r="D5686" s="12" t="inlineStr">
        <is>
          <t>LV power feeder</t>
        </is>
      </c>
      <c r="E5686" s="12" t="inlineStr"/>
      <c r="F5686" s="12" t="inlineStr">
        <is>
          <t>LNG 17: LNG e-house (13.8 kV / 480 V)</t>
        </is>
      </c>
      <c r="G5686" s="12" t="inlineStr"/>
      <c r="H5686" s="12" t="inlineStr">
        <is>
          <t>M&amp;R SCADA antenna mast base (as drawn)</t>
        </is>
      </c>
      <c r="I5686" s="12" t="inlineStr">
        <is>
          <t>LV 600 V</t>
        </is>
      </c>
      <c r="J5686" s="12" t="inlineStr">
        <is>
          <t>ARMOR-X MC-HL 600 V 3/C Cu XHHW-2 + ground, CWA, black PVC (Class I Div 2)</t>
        </is>
      </c>
      <c r="K5686" s="12" t="inlineStr">
        <is>
          <t>LVAX|3/C+G|8</t>
        </is>
      </c>
      <c r="L5686" s="12" t="inlineStr">
        <is>
          <t>3/C+G</t>
        </is>
      </c>
      <c r="M5686" s="12" t="inlineStr">
        <is>
          <t>8</t>
        </is>
      </c>
      <c r="N5686" s="12" t="n">
        <v>1</v>
      </c>
      <c r="O5686" s="12" t="n">
        <v>1</v>
      </c>
      <c r="P5686" s="12" t="n">
        <v>480</v>
      </c>
      <c r="Q5686" s="12" t="n">
        <v>15</v>
      </c>
      <c r="R5686" s="12" t="n">
        <v>21.2</v>
      </c>
      <c r="S5686" s="12" t="inlineStr">
        <is>
          <t>Duct bank</t>
        </is>
      </c>
      <c r="T5686" s="16" t="n">
        <v>433</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is>
          <t>VD 3.0 %</t>
        </is>
      </c>
      <c r="AA5686" s="12">
        <f>N5686*O5686</f>
        <v/>
      </c>
    </row>
    <row r="5687">
      <c r="A5687" s="12" t="inlineStr">
        <is>
          <t>K-MV-0001</t>
        </is>
      </c>
      <c r="B5687" s="12" t="inlineStr">
        <is>
          <t>K</t>
        </is>
      </c>
      <c r="C5687" s="12" t="inlineStr">
        <is>
          <t>Fuel supply (adjacent market)</t>
        </is>
      </c>
      <c r="D5687" s="12" t="inlineStr">
        <is>
          <t>H2 13.8 kV e-house (electrolyzers)</t>
        </is>
      </c>
      <c r="E5687" s="12" t="inlineStr">
        <is>
          <t>SWGR-13.8-3</t>
        </is>
      </c>
      <c r="F5687" s="12" t="inlineStr">
        <is>
          <t>R1 SWGR-13.8-3 (11 x 36 in cubicles, 15 kV metal-clad)</t>
        </is>
      </c>
      <c r="G5687" s="12" t="inlineStr"/>
      <c r="H5687" s="12" t="inlineStr">
        <is>
          <t>H2 20: 13.8 kV e-house</t>
        </is>
      </c>
      <c r="I5687" s="12" t="inlineStr">
        <is>
          <t>MV 15 kV</t>
        </is>
      </c>
      <c r="J5687" s="12" t="inlineStr">
        <is>
          <t>MV-105 15 kV 1/C Cu, EPR 133%, Cu tape shield, PVC jacket (triplexed)</t>
        </is>
      </c>
      <c r="K5687" s="12" t="inlineStr">
        <is>
          <t>MV15|1/C|750</t>
        </is>
      </c>
      <c r="L5687" s="12" t="inlineStr">
        <is>
          <t>1/C</t>
        </is>
      </c>
      <c r="M5687" s="12" t="inlineStr">
        <is>
          <t>750 kcmil</t>
        </is>
      </c>
      <c r="N5687" s="12" t="n">
        <v>2</v>
      </c>
      <c r="O5687" s="12" t="n">
        <v>3</v>
      </c>
      <c r="P5687" s="12" t="n">
        <v>13800</v>
      </c>
      <c r="Q5687" s="12" t="n">
        <v>20000</v>
      </c>
      <c r="R5687" s="12" t="n">
        <v>837</v>
      </c>
      <c r="S5687" s="12" t="inlineStr">
        <is>
          <t>HV duct bank</t>
        </is>
      </c>
      <c r="T5687" s="16" t="n">
        <v>4013</v>
      </c>
      <c r="U5687" s="16" t="n">
        <v>128</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K-MV-0002</t>
        </is>
      </c>
      <c r="B5688" s="12" t="inlineStr">
        <is>
          <t>K</t>
        </is>
      </c>
      <c r="C5688" s="12" t="inlineStr">
        <is>
          <t>Fuel supply (adjacent market)</t>
        </is>
      </c>
      <c r="D5688" s="12" t="inlineStr">
        <is>
          <t>LNG e-house</t>
        </is>
      </c>
      <c r="E5688" s="12" t="inlineStr">
        <is>
          <t>SWGR-13.8-3</t>
        </is>
      </c>
      <c r="F5688" s="12" t="inlineStr">
        <is>
          <t>R1 SWGR-13.8-3 (11 x 36 in cubicles, 15 kV metal-clad)</t>
        </is>
      </c>
      <c r="G5688" s="12" t="inlineStr"/>
      <c r="H5688" s="12" t="inlineStr">
        <is>
          <t>LNG 17: LNG e-house (13.8 kV / 480 V)</t>
        </is>
      </c>
      <c r="I5688" s="12" t="inlineStr">
        <is>
          <t>MV 15 kV</t>
        </is>
      </c>
      <c r="J5688" s="12" t="inlineStr">
        <is>
          <t>MV-105 15 kV 1/C Cu, EPR 133%, Cu tape shield, PVC jacket (triplexed)</t>
        </is>
      </c>
      <c r="K5688" s="12" t="inlineStr">
        <is>
          <t>MV15|1/C|4/0</t>
        </is>
      </c>
      <c r="L5688" s="12" t="inlineStr">
        <is>
          <t>1/C</t>
        </is>
      </c>
      <c r="M5688" s="12" t="inlineStr">
        <is>
          <t>4/0</t>
        </is>
      </c>
      <c r="N5688" s="12" t="n">
        <v>1</v>
      </c>
      <c r="O5688" s="12" t="n">
        <v>3</v>
      </c>
      <c r="P5688" s="12" t="n">
        <v>13800</v>
      </c>
      <c r="Q5688" s="12" t="n">
        <v>5000</v>
      </c>
      <c r="R5688" s="12" t="n">
        <v>209</v>
      </c>
      <c r="S5688" s="12" t="inlineStr">
        <is>
          <t>Duct bank</t>
        </is>
      </c>
      <c r="T5688" s="16" t="n">
        <v>2649</v>
      </c>
      <c r="U5688" s="16" t="n">
        <v>219</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C-C-0128</t>
        </is>
      </c>
      <c r="B5689" s="12" t="inlineStr">
        <is>
          <t>C</t>
        </is>
      </c>
      <c r="C5689" s="12" t="inlineStr">
        <is>
          <t>Grid interface</t>
        </is>
      </c>
      <c r="D5689" s="12" t="inlineStr">
        <is>
          <t>Motor 1 of 2: control / local station</t>
        </is>
      </c>
      <c r="E5689" s="12" t="inlineStr">
        <is>
          <t>MCC-C1</t>
        </is>
      </c>
      <c r="F5689" s="12" t="inlineStr">
        <is>
          <t>R1 MCC-C1</t>
        </is>
      </c>
      <c r="G5689" s="12" t="inlineStr"/>
      <c r="H5689" s="12" t="inlineStr">
        <is>
          <t>Small-bore piping: instrument air, service water, nitrogen, HRSG drain</t>
        </is>
      </c>
      <c r="I5689" s="12" t="inlineStr">
        <is>
          <t>Control</t>
        </is>
      </c>
      <c r="J5689" s="12" t="inlineStr">
        <is>
          <t>Control cable 600 V Type TC-ER, Cu #14 AWG, PVC jacket</t>
        </is>
      </c>
      <c r="K5689" s="12" t="inlineStr">
        <is>
          <t>CT|7/C|14</t>
        </is>
      </c>
      <c r="L5689" s="12" t="inlineStr">
        <is>
          <t>7/C</t>
        </is>
      </c>
      <c r="M5689" s="12" t="inlineStr">
        <is>
          <t>14</t>
        </is>
      </c>
      <c r="N5689" s="12" t="n">
        <v>1</v>
      </c>
      <c r="O5689" s="12" t="n">
        <v>1</v>
      </c>
      <c r="P5689" s="12" t="n"/>
      <c r="Q5689" s="12" t="n"/>
      <c r="R5689" s="12" t="n"/>
      <c r="S5689" s="12" t="inlineStr">
        <is>
          <t>Tray</t>
        </is>
      </c>
      <c r="T5689" s="16" t="n">
        <v>614</v>
      </c>
      <c r="U5689" s="16" t="n">
        <v>145</v>
      </c>
      <c r="V5689" s="16">
        <f>ROUNDUP((T5689+U5689+2*'Read Me'!$B$13)*(1+'Read Me'!$B$12),-1)</f>
        <v/>
      </c>
      <c r="W5689" s="16">
        <f>V5689*N5689*O5689</f>
        <v/>
      </c>
      <c r="X5689" s="12">
        <f>IF(LEFT(I5689,2)="MV",2*N5689*IF(L5689="1/C",O5689,1),0)</f>
        <v/>
      </c>
      <c r="Y5689" s="12">
        <f>IF(OR(LEFT(K5689,4)="LVAX",LEFT(K5689,6)="MV15AX",LEFT(K5689,4)="CTAX",LEFT(K5689,2)="W|"),2*N5689*O5689,0)</f>
        <v/>
      </c>
      <c r="Z5689" s="12" t="inlineStr"/>
      <c r="AA5689" s="12">
        <f>N5689*O5689</f>
        <v/>
      </c>
    </row>
    <row r="5690">
      <c r="A5690" s="12" t="inlineStr">
        <is>
          <t>C-C-0129</t>
        </is>
      </c>
      <c r="B5690" s="12" t="inlineStr">
        <is>
          <t>C</t>
        </is>
      </c>
      <c r="C5690" s="12" t="inlineStr">
        <is>
          <t>Grid interface</t>
        </is>
      </c>
      <c r="D5690" s="12" t="inlineStr">
        <is>
          <t>Motor 2 of 2: control / local station</t>
        </is>
      </c>
      <c r="E5690" s="12" t="inlineStr">
        <is>
          <t>MCC-C1</t>
        </is>
      </c>
      <c r="F5690" s="12" t="inlineStr">
        <is>
          <t>R1 MCC-C1</t>
        </is>
      </c>
      <c r="G5690" s="12" t="inlineStr"/>
      <c r="H5690" s="12" t="inlineStr">
        <is>
          <t>Small-bore piping: instrument air, service water, nitrogen, HRSG drain</t>
        </is>
      </c>
      <c r="I5690" s="12" t="inlineStr">
        <is>
          <t>Control</t>
        </is>
      </c>
      <c r="J5690" s="12" t="inlineStr">
        <is>
          <t>Control cable 600 V Type TC-ER, Cu #14 AWG, PVC jacket</t>
        </is>
      </c>
      <c r="K5690" s="12" t="inlineStr">
        <is>
          <t>CT|7/C|14</t>
        </is>
      </c>
      <c r="L5690" s="12" t="inlineStr">
        <is>
          <t>7/C</t>
        </is>
      </c>
      <c r="M5690" s="12" t="inlineStr">
        <is>
          <t>14</t>
        </is>
      </c>
      <c r="N5690" s="12" t="n">
        <v>1</v>
      </c>
      <c r="O5690" s="12" t="n">
        <v>1</v>
      </c>
      <c r="P5690" s="12" t="n"/>
      <c r="Q5690" s="12" t="n"/>
      <c r="R5690" s="12" t="n"/>
      <c r="S5690" s="12" t="inlineStr">
        <is>
          <t>Tray</t>
        </is>
      </c>
      <c r="T5690" s="16" t="n">
        <v>614</v>
      </c>
      <c r="U5690" s="16" t="n">
        <v>145</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C-I-0081</t>
        </is>
      </c>
      <c r="B5691" s="12" t="inlineStr">
        <is>
          <t>C</t>
        </is>
      </c>
      <c r="C5691" s="12" t="inlineStr">
        <is>
          <t>Grid interface</t>
        </is>
      </c>
      <c r="D5691" s="12" t="inlineStr">
        <is>
          <t>Analog instrument to JB JB-Small-bore piping:-AI01: 10 x 1 pr (field cables)</t>
        </is>
      </c>
      <c r="E5691" s="12" t="inlineStr"/>
      <c r="F5691" s="12" t="inlineStr">
        <is>
          <t>Small-bore piping: instrument air, service water, nitrogen, HRSG drain</t>
        </is>
      </c>
      <c r="G5691" s="12" t="inlineStr">
        <is>
          <t>JB-Small-bore piping:-AI01</t>
        </is>
      </c>
      <c r="H5691" s="12" t="inlineStr">
        <is>
          <t>Small-bore piping: instrument air, service water, nitrogen, HRSG drain</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10</v>
      </c>
      <c r="O5691" s="12" t="n">
        <v>1</v>
      </c>
      <c r="P5691" s="12" t="n"/>
      <c r="Q5691" s="12" t="n"/>
      <c r="R5691" s="12" t="n"/>
      <c r="S5691" s="12" t="inlineStr">
        <is>
          <t>Tray / conduit</t>
        </is>
      </c>
      <c r="T5691" s="16" t="n">
        <v>250</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C-I-0082</t>
        </is>
      </c>
      <c r="B5692" s="12" t="inlineStr">
        <is>
          <t>C</t>
        </is>
      </c>
      <c r="C5692" s="12" t="inlineStr">
        <is>
          <t>Grid interface</t>
        </is>
      </c>
      <c r="D5692" s="12" t="inlineStr">
        <is>
          <t>Home run JB-Small-bore piping:-AI01 to the control / marshalling room</t>
        </is>
      </c>
      <c r="E5692" s="12" t="inlineStr">
        <is>
          <t>R1</t>
        </is>
      </c>
      <c r="F5692" s="12" t="inlineStr">
        <is>
          <t>R1: main electrical building (64 x 180 ft)</t>
        </is>
      </c>
      <c r="G5692" s="12" t="inlineStr">
        <is>
          <t>JB-Small-bore piping:-AI01</t>
        </is>
      </c>
      <c r="H5692" s="12" t="inlineStr">
        <is>
          <t>Small-bore piping: instrument air, service water, nitrogen, HRSG drain</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1218</v>
      </c>
      <c r="U5692" s="16" t="n">
        <v>200</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C-I-0083</t>
        </is>
      </c>
      <c r="B5693" s="12" t="inlineStr">
        <is>
          <t>C</t>
        </is>
      </c>
      <c r="C5693" s="12" t="inlineStr">
        <is>
          <t>Grid interface</t>
        </is>
      </c>
      <c r="D5693" s="12" t="inlineStr">
        <is>
          <t>Discrete device to JB JB-Small-bore piping:-DI01: 10 x 1 pr (field cables)</t>
        </is>
      </c>
      <c r="E5693" s="12" t="inlineStr"/>
      <c r="F5693" s="12" t="inlineStr">
        <is>
          <t>Small-bore piping: instrument air, service water, nitrogen, HRSG drain</t>
        </is>
      </c>
      <c r="G5693" s="12" t="inlineStr">
        <is>
          <t>JB-Small-bore piping:-DI01</t>
        </is>
      </c>
      <c r="H5693" s="12" t="inlineStr">
        <is>
          <t>Small-bore piping: instrument air, service water, nitrogen, HRSG drain</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10</v>
      </c>
      <c r="O5693" s="12" t="n">
        <v>1</v>
      </c>
      <c r="P5693" s="12" t="n"/>
      <c r="Q5693" s="12" t="n"/>
      <c r="R5693" s="12" t="n"/>
      <c r="S5693" s="12" t="inlineStr">
        <is>
          <t>Tray / conduit</t>
        </is>
      </c>
      <c r="T5693" s="16" t="n">
        <v>250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C-I-0084</t>
        </is>
      </c>
      <c r="B5694" s="12" t="inlineStr">
        <is>
          <t>C</t>
        </is>
      </c>
      <c r="C5694" s="12" t="inlineStr">
        <is>
          <t>Grid interface</t>
        </is>
      </c>
      <c r="D5694" s="12" t="inlineStr">
        <is>
          <t>Home run JB-Small-bore piping:-DI01 to the control / marshalling room</t>
        </is>
      </c>
      <c r="E5694" s="12" t="inlineStr">
        <is>
          <t>R1</t>
        </is>
      </c>
      <c r="F5694" s="12" t="inlineStr">
        <is>
          <t>R1: main electrical building (64 x 180 ft)</t>
        </is>
      </c>
      <c r="G5694" s="12" t="inlineStr">
        <is>
          <t>JB-Small-bore piping:-DI01</t>
        </is>
      </c>
      <c r="H5694" s="12" t="inlineStr">
        <is>
          <t>Small-bore piping: instrument air, service water, nitrogen, HRSG drain</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1218</v>
      </c>
      <c r="U5694" s="16" t="n">
        <v>200</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C-P-0006</t>
        </is>
      </c>
      <c r="B5695" s="12" t="inlineStr">
        <is>
          <t>C</t>
        </is>
      </c>
      <c r="C5695" s="12" t="inlineStr">
        <is>
          <t>Grid interface</t>
        </is>
      </c>
      <c r="D5695" s="12" t="inlineStr">
        <is>
          <t>Motor 1 of 2, 250 kW</t>
        </is>
      </c>
      <c r="E5695" s="12" t="inlineStr">
        <is>
          <t>MCC-C1</t>
        </is>
      </c>
      <c r="F5695" s="12" t="inlineStr">
        <is>
          <t>R1 MCC-C1</t>
        </is>
      </c>
      <c r="G5695" s="12" t="inlineStr"/>
      <c r="H5695" s="12" t="inlineStr">
        <is>
          <t>Small-bore piping: instrument air, service water, nitrogen, HRSG drain</t>
        </is>
      </c>
      <c r="I5695" s="12" t="inlineStr">
        <is>
          <t>LV 600 V</t>
        </is>
      </c>
      <c r="J5695" s="12" t="inlineStr">
        <is>
          <t>Type TC-ER 600 V 3/C Cu XHHW-2 + ground, PVC jacket</t>
        </is>
      </c>
      <c r="K5695" s="12" t="inlineStr">
        <is>
          <t>LV|3/C+G|250</t>
        </is>
      </c>
      <c r="L5695" s="12" t="inlineStr">
        <is>
          <t>3/C+G</t>
        </is>
      </c>
      <c r="M5695" s="12" t="inlineStr">
        <is>
          <t>250 kcmil</t>
        </is>
      </c>
      <c r="N5695" s="12" t="n">
        <v>2</v>
      </c>
      <c r="O5695" s="12" t="n">
        <v>1</v>
      </c>
      <c r="P5695" s="12" t="n">
        <v>480</v>
      </c>
      <c r="Q5695" s="12" t="n">
        <v>250</v>
      </c>
      <c r="R5695" s="12" t="n">
        <v>353.8</v>
      </c>
      <c r="S5695" s="12" t="inlineStr">
        <is>
          <t>Tray</t>
        </is>
      </c>
      <c r="T5695" s="16" t="n">
        <v>614</v>
      </c>
      <c r="U5695" s="16" t="n">
        <v>145</v>
      </c>
      <c r="V5695" s="16">
        <f>ROUNDUP((T5695+U5695+2*'Read Me'!$B$13)*(1+'Read Me'!$B$12),-1)</f>
        <v/>
      </c>
      <c r="W5695" s="16">
        <f>V5695*N5695*O5695</f>
        <v/>
      </c>
      <c r="X5695" s="12">
        <f>IF(LEFT(I5695,2)="MV",2*N5695*IF(L5695="1/C",O5695,1),0)</f>
        <v/>
      </c>
      <c r="Y5695" s="12">
        <f>IF(OR(LEFT(K5695,4)="LVAX",LEFT(K5695,6)="MV15AX",LEFT(K5695,4)="CTAX",LEFT(K5695,2)="W|"),2*N5695*O5695,0)</f>
        <v/>
      </c>
      <c r="Z5695" s="12" t="inlineStr">
        <is>
          <t>VD 2.7 %</t>
        </is>
      </c>
      <c r="AA5695" s="12">
        <f>N5695*O5695</f>
        <v/>
      </c>
    </row>
    <row r="5696">
      <c r="A5696" s="12" t="inlineStr">
        <is>
          <t>C-P-0007</t>
        </is>
      </c>
      <c r="B5696" s="12" t="inlineStr">
        <is>
          <t>C</t>
        </is>
      </c>
      <c r="C5696" s="12" t="inlineStr">
        <is>
          <t>Grid interface</t>
        </is>
      </c>
      <c r="D5696" s="12" t="inlineStr">
        <is>
          <t>Motor 2 of 2, 250 kW</t>
        </is>
      </c>
      <c r="E5696" s="12" t="inlineStr">
        <is>
          <t>MCC-C1</t>
        </is>
      </c>
      <c r="F5696" s="12" t="inlineStr">
        <is>
          <t>R1 MCC-C1</t>
        </is>
      </c>
      <c r="G5696" s="12" t="inlineStr"/>
      <c r="H5696" s="12" t="inlineStr">
        <is>
          <t>Small-bore piping: instrument air, service water, nitrogen, HRSG drain</t>
        </is>
      </c>
      <c r="I5696" s="12" t="inlineStr">
        <is>
          <t>LV 600 V</t>
        </is>
      </c>
      <c r="J5696" s="12" t="inlineStr">
        <is>
          <t>Type TC-ER 600 V 3/C Cu XHHW-2 + ground, PVC jacket</t>
        </is>
      </c>
      <c r="K5696" s="12" t="inlineStr">
        <is>
          <t>LV|3/C+G|250</t>
        </is>
      </c>
      <c r="L5696" s="12" t="inlineStr">
        <is>
          <t>3/C+G</t>
        </is>
      </c>
      <c r="M5696" s="12" t="inlineStr">
        <is>
          <t>250 kcmil</t>
        </is>
      </c>
      <c r="N5696" s="12" t="n">
        <v>2</v>
      </c>
      <c r="O5696" s="12" t="n">
        <v>1</v>
      </c>
      <c r="P5696" s="12" t="n">
        <v>480</v>
      </c>
      <c r="Q5696" s="12" t="n">
        <v>250</v>
      </c>
      <c r="R5696" s="12" t="n">
        <v>353.8</v>
      </c>
      <c r="S5696" s="12" t="inlineStr">
        <is>
          <t>Tray</t>
        </is>
      </c>
      <c r="T5696" s="16" t="n">
        <v>614</v>
      </c>
      <c r="U5696" s="16" t="n">
        <v>145</v>
      </c>
      <c r="V5696" s="16">
        <f>ROUNDUP((T5696+U5696+2*'Read Me'!$B$13)*(1+'Read Me'!$B$12),-1)</f>
        <v/>
      </c>
      <c r="W5696" s="16">
        <f>V5696*N5696*O5696</f>
        <v/>
      </c>
      <c r="X5696" s="12">
        <f>IF(LEFT(I5696,2)="MV",2*N5696*IF(L5696="1/C",O5696,1),0)</f>
        <v/>
      </c>
      <c r="Y5696" s="12">
        <f>IF(OR(LEFT(K5696,4)="LVAX",LEFT(K5696,6)="MV15AX",LEFT(K5696,4)="CTAX",LEFT(K5696,2)="W|"),2*N5696*O5696,0)</f>
        <v/>
      </c>
      <c r="Z5696" s="12" t="inlineStr">
        <is>
          <t>VD 2.7 %</t>
        </is>
      </c>
      <c r="AA5696" s="12">
        <f>N5696*O5696</f>
        <v/>
      </c>
    </row>
  </sheetData>
  <autoFilter ref="A1:AA56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Schedule'!$AA$2:$AA$5696,'Cable Schedule'!$K$2:$K$5696,A2)</f>
        <v/>
      </c>
      <c r="G2" s="18">
        <f>SUMIFS('Cable Schedule'!$W$2:$W$5696,'Cable Schedule'!$K$2:$K$5696,A2)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Schedule'!$AA$2:$AA$5696,'Cable Schedule'!$K$2:$K$5696,A3)</f>
        <v/>
      </c>
      <c r="G3" s="18">
        <f>SUMIFS('Cable Schedule'!$W$2:$W$5696,'Cable Schedule'!$K$2:$K$5696,A3)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Schedule'!$AA$2:$AA$5696,'Cable Schedule'!$K$2:$K$5696,A4)</f>
        <v/>
      </c>
      <c r="G4" s="18">
        <f>SUMIFS('Cable Schedule'!$W$2:$W$5696,'Cable Schedule'!$K$2:$K$5696,A4)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Schedule'!$AA$2:$AA$5696,'Cable Schedule'!$K$2:$K$5696,A5)</f>
        <v/>
      </c>
      <c r="G5" s="18">
        <f>SUMIFS('Cable Schedule'!$W$2:$W$5696,'Cable Schedule'!$K$2:$K$5696,A5)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Schedule'!$AA$2:$AA$5696,'Cable Schedule'!$K$2:$K$5696,A6)</f>
        <v/>
      </c>
      <c r="G6" s="18">
        <f>SUMIFS('Cable Schedule'!$W$2:$W$5696,'Cable Schedule'!$K$2:$K$5696,A6)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Schedule'!$AA$2:$AA$5696,'Cable Schedule'!$K$2:$K$5696,A7)</f>
        <v/>
      </c>
      <c r="G7" s="18">
        <f>SUMIFS('Cable Schedule'!$W$2:$W$5696,'Cable Schedule'!$K$2:$K$5696,A7)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Schedule'!$AA$2:$AA$5696,'Cable Schedule'!$K$2:$K$5696,A8)</f>
        <v/>
      </c>
      <c r="G8" s="18">
        <f>SUMIFS('Cable Schedule'!$W$2:$W$5696,'Cable Schedule'!$K$2:$K$5696,A8)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Schedule'!$AA$2:$AA$5696,'Cable Schedule'!$K$2:$K$5696,A9)</f>
        <v/>
      </c>
      <c r="G9" s="18">
        <f>SUMIFS('Cable Schedule'!$W$2:$W$5696,'Cable Schedule'!$K$2:$K$5696,A9)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Schedule'!$AA$2:$AA$5696,'Cable Schedule'!$K$2:$K$5696,A10)</f>
        <v/>
      </c>
      <c r="G10" s="18">
        <f>SUMIFS('Cable Schedule'!$W$2:$W$5696,'Cable Schedule'!$K$2:$K$5696,A10)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Schedule'!$AA$2:$AA$5696,'Cable Schedule'!$K$2:$K$5696,A11)</f>
        <v/>
      </c>
      <c r="G11" s="18">
        <f>SUMIFS('Cable Schedule'!$W$2:$W$5696,'Cable Schedule'!$K$2:$K$5696,A11)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Schedule'!$AA$2:$AA$5696,'Cable Schedule'!$K$2:$K$5696,A12)</f>
        <v/>
      </c>
      <c r="G12" s="18">
        <f>SUMIFS('Cable Schedule'!$W$2:$W$5696,'Cable Schedule'!$K$2:$K$5696,A12)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Schedule'!$AA$2:$AA$5696,'Cable Schedule'!$K$2:$K$5696,A13)</f>
        <v/>
      </c>
      <c r="G13" s="18">
        <f>SUMIFS('Cable Schedule'!$W$2:$W$5696,'Cable Schedule'!$K$2:$K$5696,A13)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Schedule'!$AA$2:$AA$5696,'Cable Schedule'!$K$2:$K$5696,A14)</f>
        <v/>
      </c>
      <c r="G14" s="18">
        <f>SUMIFS('Cable Schedule'!$W$2:$W$5696,'Cable Schedule'!$K$2:$K$5696,A14)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Schedule'!$AA$2:$AA$5696,'Cable Schedule'!$K$2:$K$5696,A15)</f>
        <v/>
      </c>
      <c r="G15" s="18">
        <f>SUMIFS('Cable Schedule'!$W$2:$W$5696,'Cable Schedule'!$K$2:$K$5696,A15)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Schedule'!$AA$2:$AA$5696,'Cable Schedule'!$K$2:$K$5696,A16)</f>
        <v/>
      </c>
      <c r="G16" s="18">
        <f>SUMIFS('Cable Schedule'!$W$2:$W$5696,'Cable Schedule'!$K$2:$K$5696,A16)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Schedule'!$AA$2:$AA$5696,'Cable Schedule'!$K$2:$K$5696,A17)</f>
        <v/>
      </c>
      <c r="G17" s="18">
        <f>SUMIFS('Cable Schedule'!$W$2:$W$5696,'Cable Schedule'!$K$2:$K$5696,A17)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Schedule'!$AA$2:$AA$5696,'Cable Schedule'!$K$2:$K$5696,A18)</f>
        <v/>
      </c>
      <c r="G18" s="18">
        <f>SUMIFS('Cable Schedule'!$W$2:$W$5696,'Cable Schedule'!$K$2:$K$5696,A18)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Schedule'!$AA$2:$AA$5696,'Cable Schedule'!$K$2:$K$5696,A19)</f>
        <v/>
      </c>
      <c r="G19" s="18">
        <f>SUMIFS('Cable Schedule'!$W$2:$W$5696,'Cable Schedule'!$K$2:$K$5696,A19)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Schedule'!$AA$2:$AA$5696,'Cable Schedule'!$K$2:$K$5696,A20)</f>
        <v/>
      </c>
      <c r="G20" s="18">
        <f>SUMIFS('Cable Schedule'!$W$2:$W$5696,'Cable Schedule'!$K$2:$K$5696,A20)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Schedule'!$AA$2:$AA$5696,'Cable Schedule'!$K$2:$K$5696,A21)</f>
        <v/>
      </c>
      <c r="G21" s="18">
        <f>SUMIFS('Cable Schedule'!$W$2:$W$5696,'Cable Schedule'!$K$2:$K$5696,A21)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Schedule'!$AA$2:$AA$5696,'Cable Schedule'!$K$2:$K$5696,A22)</f>
        <v/>
      </c>
      <c r="G22" s="18">
        <f>SUMIFS('Cable Schedule'!$W$2:$W$5696,'Cable Schedule'!$K$2:$K$5696,A22)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Schedule'!$AA$2:$AA$5696,'Cable Schedule'!$K$2:$K$5696,A23)</f>
        <v/>
      </c>
      <c r="G23" s="18">
        <f>SUMIFS('Cable Schedule'!$W$2:$W$5696,'Cable Schedule'!$K$2:$K$5696,A23)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Schedule'!$AA$2:$AA$5696,'Cable Schedule'!$K$2:$K$5696,A24)</f>
        <v/>
      </c>
      <c r="G24" s="18">
        <f>SUMIFS('Cable Schedule'!$W$2:$W$5696,'Cable Schedule'!$K$2:$K$5696,A24)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Schedule'!$AA$2:$AA$5696,'Cable Schedule'!$K$2:$K$5696,A25)</f>
        <v/>
      </c>
      <c r="G25" s="18">
        <f>SUMIFS('Cable Schedule'!$W$2:$W$5696,'Cable Schedule'!$K$2:$K$5696,A25)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Schedule'!$AA$2:$AA$5696,'Cable Schedule'!$K$2:$K$5696,A26)</f>
        <v/>
      </c>
      <c r="G26" s="18">
        <f>SUMIFS('Cable Schedule'!$W$2:$W$5696,'Cable Schedule'!$K$2:$K$5696,A26)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Schedule'!$AA$2:$AA$5696,'Cable Schedule'!$K$2:$K$5696,A27)</f>
        <v/>
      </c>
      <c r="G27" s="18">
        <f>SUMIFS('Cable Schedule'!$W$2:$W$5696,'Cable Schedule'!$K$2:$K$5696,A27)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Schedule'!$AA$2:$AA$5696,'Cable Schedule'!$K$2:$K$5696,A28)</f>
        <v/>
      </c>
      <c r="G28" s="18">
        <f>SUMIFS('Cable Schedule'!$W$2:$W$5696,'Cable Schedule'!$K$2:$K$5696,A28)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Schedule'!$AA$2:$AA$5696,'Cable Schedule'!$K$2:$K$5696,A29)</f>
        <v/>
      </c>
      <c r="G29" s="18">
        <f>SUMIFS('Cable Schedule'!$W$2:$W$5696,'Cable Schedule'!$K$2:$K$5696,A29)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Schedule'!$AA$2:$AA$5696,'Cable Schedule'!$K$2:$K$5696,A30)</f>
        <v/>
      </c>
      <c r="G30" s="18">
        <f>SUMIFS('Cable Schedule'!$W$2:$W$5696,'Cable Schedule'!$K$2:$K$5696,A30)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Schedule'!$AA$2:$AA$5696,'Cable Schedule'!$K$2:$K$5696,A31)</f>
        <v/>
      </c>
      <c r="G31" s="18">
        <f>SUMIFS('Cable Schedule'!$W$2:$W$5696,'Cable Schedule'!$K$2:$K$5696,A31)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Schedule'!$AA$2:$AA$5696,'Cable Schedule'!$K$2:$K$5696,A32)</f>
        <v/>
      </c>
      <c r="G32" s="18">
        <f>SUMIFS('Cable Schedule'!$W$2:$W$5696,'Cable Schedule'!$K$2:$K$5696,A32)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Schedule'!$AA$2:$AA$5696,'Cable Schedule'!$K$2:$K$5696,A33)</f>
        <v/>
      </c>
      <c r="G33" s="18">
        <f>SUMIFS('Cable Schedule'!$W$2:$W$5696,'Cable Schedule'!$K$2:$K$5696,A33)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Schedule'!$AA$2:$AA$5696,'Cable Schedule'!$K$2:$K$5696,A34)</f>
        <v/>
      </c>
      <c r="G34" s="18">
        <f>SUMIFS('Cable Schedule'!$W$2:$W$5696,'Cable Schedule'!$K$2:$K$5696,A34)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Schedule'!$AA$2:$AA$5696,'Cable Schedule'!$K$2:$K$5696,A35)</f>
        <v/>
      </c>
      <c r="G35" s="18">
        <f>SUMIFS('Cable Schedule'!$W$2:$W$5696,'Cable Schedule'!$K$2:$K$5696,A35)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Schedule'!$AA$2:$AA$5696,'Cable Schedule'!$K$2:$K$5696,A36)</f>
        <v/>
      </c>
      <c r="G36" s="18">
        <f>SUMIFS('Cable Schedule'!$W$2:$W$5696,'Cable Schedule'!$K$2:$K$5696,A36)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Schedule'!$AA$2:$AA$5696,'Cable Schedule'!$K$2:$K$5696,A37)</f>
        <v/>
      </c>
      <c r="G37" s="18">
        <f>SUMIFS('Cable Schedule'!$W$2:$W$5696,'Cable Schedule'!$K$2:$K$5696,A37)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Schedule'!$AA$2:$AA$5696,'Cable Schedule'!$K$2:$K$5696,A38)</f>
        <v/>
      </c>
      <c r="G38" s="18">
        <f>SUMIFS('Cable Schedule'!$W$2:$W$5696,'Cable Schedule'!$K$2:$K$5696,A38)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Schedule'!$AA$2:$AA$5696,'Cable Schedule'!$K$2:$K$5696,A39)</f>
        <v/>
      </c>
      <c r="G39" s="18">
        <f>SUMIFS('Cable Schedule'!$W$2:$W$5696,'Cable Schedule'!$K$2:$K$5696,A39)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Schedule'!$AA$2:$AA$5696,'Cable Schedule'!$K$2:$K$5696,A40)</f>
        <v/>
      </c>
      <c r="G40" s="18">
        <f>SUMIFS('Cable Schedule'!$W$2:$W$5696,'Cable Schedule'!$K$2:$K$5696,A40)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Schedule'!$AA$2:$AA$5696,'Cable Schedule'!$K$2:$K$5696,A41)</f>
        <v/>
      </c>
      <c r="G41" s="18">
        <f>SUMIFS('Cable Schedule'!$W$2:$W$5696,'Cable Schedule'!$K$2:$K$5696,A41)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Schedule'!$AA$2:$AA$5696,'Cable Schedule'!$K$2:$K$5696,A42)</f>
        <v/>
      </c>
      <c r="G42" s="18">
        <f>SUMIFS('Cable Schedule'!$W$2:$W$5696,'Cable Schedule'!$K$2:$K$5696,A42)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Schedule'!$AA$2:$AA$5696,'Cable Schedule'!$K$2:$K$5696,A43)</f>
        <v/>
      </c>
      <c r="G43" s="18">
        <f>SUMIFS('Cable Schedule'!$W$2:$W$5696,'Cable Schedule'!$K$2:$K$5696,A43)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Schedule'!$AA$2:$AA$5696,'Cable Schedule'!$K$2:$K$5696,A44)</f>
        <v/>
      </c>
      <c r="G44" s="18">
        <f>SUMIFS('Cable Schedule'!$W$2:$W$5696,'Cable Schedule'!$K$2:$K$5696,A44)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Schedule'!$AA$2:$AA$5696,'Cable Schedule'!$K$2:$K$5696,A45)</f>
        <v/>
      </c>
      <c r="G45" s="18">
        <f>SUMIFS('Cable Schedule'!$W$2:$W$5696,'Cable Schedule'!$K$2:$K$5696,A45)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Schedule'!$AA$2:$AA$5696,'Cable Schedule'!$K$2:$K$5696,A46)</f>
        <v/>
      </c>
      <c r="G46" s="18">
        <f>SUMIFS('Cable Schedule'!$W$2:$W$5696,'Cable Schedule'!$K$2:$K$5696,A46)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Schedule'!$AA$2:$AA$5696,'Cable Schedule'!$K$2:$K$5696,A47)</f>
        <v/>
      </c>
      <c r="G47" s="18">
        <f>SUMIFS('Cable Schedule'!$W$2:$W$5696,'Cable Schedule'!$K$2:$K$5696,A47)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Schedule'!$AA$2:$AA$5696,'Cable Schedule'!$K$2:$K$5696,A48)</f>
        <v/>
      </c>
      <c r="G48" s="18">
        <f>SUMIFS('Cable Schedule'!$W$2:$W$5696,'Cable Schedule'!$K$2:$K$5696,A48)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Schedule'!$AA$2:$AA$5696,'Cable Schedule'!$K$2:$K$5696,A49)</f>
        <v/>
      </c>
      <c r="G49" s="18">
        <f>SUMIFS('Cable Schedule'!$W$2:$W$5696,'Cable Schedule'!$K$2:$K$5696,A49)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Schedule'!$AA$2:$AA$5696,'Cable Schedule'!$K$2:$K$5696,A50)</f>
        <v/>
      </c>
      <c r="G50" s="18">
        <f>SUMIFS('Cable Schedule'!$W$2:$W$5696,'Cable Schedule'!$K$2:$K$5696,A50)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Schedule'!$AA$2:$AA$5696,'Cable Schedule'!$K$2:$K$5696,A51)</f>
        <v/>
      </c>
      <c r="G51" s="18">
        <f>SUMIFS('Cable Schedule'!$W$2:$W$5696,'Cable Schedule'!$K$2:$K$5696,A51)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Schedule'!$AA$2:$AA$5696,'Cable Schedule'!$K$2:$K$5696,A52)</f>
        <v/>
      </c>
      <c r="G52" s="18">
        <f>SUMIFS('Cable Schedule'!$W$2:$W$5696,'Cable Schedule'!$K$2:$K$5696,A52)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Schedule'!$AA$2:$AA$5696,'Cable Schedule'!$K$2:$K$5696,A53)</f>
        <v/>
      </c>
      <c r="G53" s="18">
        <f>SUMIFS('Cable Schedule'!$W$2:$W$5696,'Cable Schedule'!$K$2:$K$5696,A53)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Schedule'!$AA$2:$AA$5696,'Cable Schedule'!$K$2:$K$5696,A54)</f>
        <v/>
      </c>
      <c r="G54" s="18">
        <f>SUMIFS('Cable Schedule'!$W$2:$W$5696,'Cable Schedule'!$K$2:$K$5696,A54)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Schedule'!$AA$2:$AA$5696,'Cable Schedule'!$K$2:$K$5696,A55)</f>
        <v/>
      </c>
      <c r="G55" s="18">
        <f>SUMIFS('Cable Schedule'!$W$2:$W$5696,'Cable Schedule'!$K$2:$K$5696,A55)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Schedule'!$AA$2:$AA$5696,'Cable Schedule'!$K$2:$K$5696,A56)</f>
        <v/>
      </c>
      <c r="G56" s="18">
        <f>SUMIFS('Cable Schedule'!$W$2:$W$5696,'Cable Schedule'!$K$2:$K$5696,A56)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Schedule'!$AA$2:$AA$5696,'Cable Schedule'!$K$2:$K$5696,A57)</f>
        <v/>
      </c>
      <c r="G57" s="18">
        <f>SUMIFS('Cable Schedule'!$W$2:$W$5696,'Cable Schedule'!$K$2:$K$5696,A57)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Schedule'!$AA$2:$AA$5696,'Cable Schedule'!$K$2:$K$5696,A58)</f>
        <v/>
      </c>
      <c r="G58" s="18">
        <f>SUMIFS('Cable Schedule'!$W$2:$W$5696,'Cable Schedule'!$K$2:$K$5696,A58)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Schedule'!$AA$2:$AA$5696,'Cable Schedule'!$K$2:$K$5696,A59)</f>
        <v/>
      </c>
      <c r="G59" s="18">
        <f>SUMIFS('Cable Schedule'!$W$2:$W$5696,'Cable Schedule'!$K$2:$K$5696,A59)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Schedule'!$AA$2:$AA$5696,'Cable Schedule'!$K$2:$K$5696,A60)</f>
        <v/>
      </c>
      <c r="G60" s="18">
        <f>SUMIFS('Cable Schedule'!$W$2:$W$5696,'Cable Schedule'!$K$2:$K$5696,A60)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Schedule'!$AA$2:$AA$5696,'Cable Schedule'!$K$2:$K$5696,A61)</f>
        <v/>
      </c>
      <c r="G61" s="18">
        <f>SUMIFS('Cable Schedule'!$W$2:$W$5696,'Cable Schedule'!$K$2:$K$5696,A61)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Schedule'!$AA$2:$AA$5696,'Cable Schedule'!$K$2:$K$5696,A62)</f>
        <v/>
      </c>
      <c r="G62" s="18">
        <f>SUMIFS('Cable Schedule'!$W$2:$W$5696,'Cable Schedule'!$K$2:$K$5696,A62)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Schedule'!$AA$2:$AA$5696,'Cable Schedule'!$K$2:$K$5696,A63)</f>
        <v/>
      </c>
      <c r="G63" s="18">
        <f>SUMIFS('Cable Schedule'!$W$2:$W$5696,'Cable Schedule'!$K$2:$K$5696,A63)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Schedule'!$AA$2:$AA$5696,'Cable Schedule'!$K$2:$K$5696,A64)</f>
        <v/>
      </c>
      <c r="G64" s="18">
        <f>SUMIFS('Cable Schedule'!$W$2:$W$5696,'Cable Schedule'!$K$2:$K$5696,A64)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Schedule'!$AA$2:$AA$5696,'Cable Schedule'!$K$2:$K$5696,A65)</f>
        <v/>
      </c>
      <c r="G65" s="18">
        <f>SUMIFS('Cable Schedule'!$W$2:$W$5696,'Cable Schedule'!$K$2:$K$5696,A65)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Schedule'!$AA$2:$AA$5696,'Cable Schedule'!$K$2:$K$5696,A66)</f>
        <v/>
      </c>
      <c r="G66" s="18">
        <f>SUMIFS('Cable Schedule'!$W$2:$W$5696,'Cable Schedule'!$K$2:$K$5696,A66)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Schedule'!$AA$2:$AA$5696,'Cable Schedule'!$K$2:$K$5696,A67)</f>
        <v/>
      </c>
      <c r="G67" s="18">
        <f>SUMIFS('Cable Schedule'!$W$2:$W$5696,'Cable Schedule'!$K$2:$K$5696,A67)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Schedule'!$AA$2:$AA$5696,'Cable Schedule'!$K$2:$K$5696,A68)</f>
        <v/>
      </c>
      <c r="G68" s="18">
        <f>SUMIFS('Cable Schedule'!$W$2:$W$5696,'Cable Schedule'!$K$2:$K$5696,A68)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Schedule'!$AA$2:$AA$5696,'Cable Schedule'!$K$2:$K$5696,A69)</f>
        <v/>
      </c>
      <c r="G69" s="18">
        <f>SUMIFS('Cable Schedule'!$W$2:$W$5696,'Cable Schedule'!$K$2:$K$5696,A69)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Schedule'!$AA$2:$AA$5696,'Cable Schedule'!$K$2:$K$5696,A70)</f>
        <v/>
      </c>
      <c r="G70" s="18">
        <f>SUMIFS('Cable Schedule'!$W$2:$W$5696,'Cable Schedule'!$K$2:$K$5696,A70)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Schedule'!$AA$2:$AA$5696,'Cable Schedule'!$K$2:$K$5696,A71)</f>
        <v/>
      </c>
      <c r="G71" s="18">
        <f>SUMIFS('Cable Schedule'!$W$2:$W$5696,'Cable Schedule'!$K$2:$K$5696,A71)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Schedule'!$AA$2:$AA$5696,'Cable Schedule'!$K$2:$K$5696,A72)</f>
        <v/>
      </c>
      <c r="G72" s="18">
        <f>SUMIFS('Cable Schedule'!$W$2:$W$5696,'Cable Schedule'!$K$2:$K$5696,A72)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Schedule'!$AA$2:$AA$5696,'Cable Schedule'!$K$2:$K$5696,A73)</f>
        <v/>
      </c>
      <c r="G73" s="18">
        <f>SUMIFS('Cable Schedule'!$W$2:$W$5696,'Cable Schedule'!$K$2:$K$5696,A73)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Schedule'!$AA$2:$AA$5696,'Cable Schedule'!$K$2:$K$5696,A74)</f>
        <v/>
      </c>
      <c r="G74" s="18">
        <f>SUMIFS('Cable Schedule'!$W$2:$W$5696,'Cable Schedule'!$K$2:$K$5696,A74)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Schedule'!$AA$2:$AA$5696,'Cable Schedule'!$K$2:$K$5696,A75)</f>
        <v/>
      </c>
      <c r="G75" s="18">
        <f>SUMIFS('Cable Schedule'!$W$2:$W$5696,'Cable Schedule'!$K$2:$K$5696,A75)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Schedule'!$AA$2:$AA$5696,'Cable Schedule'!$K$2:$K$5696,A76)</f>
        <v/>
      </c>
      <c r="G76" s="18">
        <f>SUMIFS('Cable Schedule'!$W$2:$W$5696,'Cable Schedule'!$K$2:$K$5696,A76)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Schedule'!$AA$2:$AA$5696,'Cable Schedule'!$K$2:$K$5696,A77)</f>
        <v/>
      </c>
      <c r="G77" s="18">
        <f>SUMIFS('Cable Schedule'!$W$2:$W$5696,'Cable Schedule'!$K$2:$K$5696,A77)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Schedule'!$AA$2:$AA$5696,'Cable Schedule'!$K$2:$K$5696,A78)</f>
        <v/>
      </c>
      <c r="G78" s="18">
        <f>SUMIFS('Cable Schedule'!$W$2:$W$5696,'Cable Schedule'!$K$2:$K$5696,A78)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Schedule'!$AA$2:$AA$5696,'Cable Schedule'!$K$2:$K$5696,A79)</f>
        <v/>
      </c>
      <c r="G79" s="18">
        <f>SUMIFS('Cable Schedule'!$W$2:$W$5696,'Cable Schedule'!$K$2:$K$5696,A79)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Schedule'!$AA$2:$AA$5696,'Cable Schedule'!$K$2:$K$5696,A80)</f>
        <v/>
      </c>
      <c r="G80" s="18">
        <f>SUMIFS('Cable Schedule'!$W$2:$W$5696,'Cable Schedule'!$K$2:$K$5696,A80)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Schedule'!$AA$2:$AA$5696,'Cable Schedule'!$K$2:$K$5696,A81)</f>
        <v/>
      </c>
      <c r="G81" s="18">
        <f>SUMIFS('Cable Schedule'!$W$2:$W$5696,'Cable Schedule'!$K$2:$K$5696,A81)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Schedule'!$AA$2:$AA$5696,'Cable Schedule'!$K$2:$K$5696,A82)</f>
        <v/>
      </c>
      <c r="G82" s="18">
        <f>SUMIFS('Cable Schedule'!$W$2:$W$5696,'Cable Schedule'!$K$2:$K$5696,A82)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Schedule'!X2:X5696)</f>
        <v/>
      </c>
    </row>
    <row r="3">
      <c r="A3" s="12" t="inlineStr">
        <is>
          <t>ARMOR-X / Type W connectors and glands</t>
        </is>
      </c>
      <c r="B3" s="18">
        <f>SUM('Cable Schedule'!Y2:Y5696)</f>
        <v/>
      </c>
    </row>
    <row r="4">
      <c r="A4" s="12" t="inlineStr">
        <is>
          <t>MV splice kits (allowance: 1 per 2,500 ft of MV 1/C)</t>
        </is>
      </c>
      <c r="B4" s="18">
        <f>ROUNDUP(SUMIFS('Cable Schedule'!W2:W5696,'Cable Schedule'!I2:I5696,"MV*",'Cable Schedule'!L2:L5696,"1/C")/2500,0)</f>
        <v/>
      </c>
    </row>
    <row r="5">
      <c r="A5" s="12" t="inlineStr">
        <is>
          <t>230 kV outdoor terminations</t>
        </is>
      </c>
      <c r="B5" s="18">
        <f>2*SUMIFS('Cable Schedule'!O2:O5696,'Cable Schedule'!I2:I5696,"HV 230 kV")</f>
        <v/>
      </c>
    </row>
    <row r="6">
      <c r="A6" s="12" t="inlineStr">
        <is>
          <t>600 V compression lugs (power, 4 per end)</t>
        </is>
      </c>
      <c r="B6" s="18">
        <f>2*4*SUMIFS('Cable Schedule'!N2:N5696,'Cable Schedule'!I2:I5696,"LV 600 V")</f>
        <v/>
      </c>
    </row>
    <row r="7">
      <c r="A7" s="12" t="inlineStr">
        <is>
          <t>Instrument / control cable glands (2 per run)</t>
        </is>
      </c>
      <c r="B7" s="18">
        <f>2*(COUNTIF('Cable Schedule'!I2:I5696,"Control")+COUNTIF('Cable Schedule'!I2:I5696,"Instrumentation"))</f>
        <v/>
      </c>
    </row>
    <row r="8">
      <c r="A8" s="12" t="inlineStr">
        <is>
          <t>Fibre patch / termination (2 per link)</t>
        </is>
      </c>
      <c r="B8" s="18">
        <f>2*COUNTIF('Cable Schedule'!I2:I5696,"Fibre / data")</f>
        <v/>
      </c>
    </row>
    <row r="9">
      <c r="A9" s="12" t="inlineStr">
        <is>
          <t>Ground connections: exothermic welds (allowance 1 per 25 ft of grid)</t>
        </is>
      </c>
      <c r="B9" s="18">
        <f>ROUNDUP(SUMIFS('Cable Schedule'!W2:W5696,'Cable Schedule'!I2:I5696,"Grounding")/25,0)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Schedule'!$W$2:$W$5696,'Cable Schedule'!$B$2:$B$5696,"A",'Cable Schedule'!$I$2:$I$5696,"MV 15 kV")</f>
        <v/>
      </c>
      <c r="C3" s="18">
        <f>SUMIFS('Cable Schedule'!$W$2:$W$5696,'Cable Schedule'!$B$2:$B$5696,"A",'Cable Schedule'!$I$2:$I$5696,"MV 5 kV")</f>
        <v/>
      </c>
      <c r="D3" s="18">
        <f>SUMIFS('Cable Schedule'!$W$2:$W$5696,'Cable Schedule'!$B$2:$B$5696,"A",'Cable Schedule'!$I$2:$I$5696,"MV 25 kV")</f>
        <v/>
      </c>
      <c r="E3" s="18">
        <f>SUMIFS('Cable Schedule'!$W$2:$W$5696,'Cable Schedule'!$B$2:$B$5696,"A",'Cable Schedule'!$I$2:$I$5696,"MV 35 kV")</f>
        <v/>
      </c>
      <c r="F3" s="18">
        <f>SUMIFS('Cable Schedule'!$W$2:$W$5696,'Cable Schedule'!$B$2:$B$5696,"A",'Cable Schedule'!$I$2:$I$5696,"HV 230 kV")</f>
        <v/>
      </c>
      <c r="G3" s="18">
        <f>SUMIFS('Cable Schedule'!$W$2:$W$5696,'Cable Schedule'!$B$2:$B$5696,"A",'Cable Schedule'!$I$2:$I$5696,"LV 600 V")</f>
        <v/>
      </c>
      <c r="H3" s="18">
        <f>SUMIFS('Cable Schedule'!$W$2:$W$5696,'Cable Schedule'!$B$2:$B$5696,"A",'Cable Schedule'!$I$2:$I$5696,"Control")</f>
        <v/>
      </c>
      <c r="I3" s="18">
        <f>SUMIFS('Cable Schedule'!$W$2:$W$5696,'Cable Schedule'!$B$2:$B$5696,"A",'Cable Schedule'!$I$2:$I$5696,"Instrumentation")</f>
        <v/>
      </c>
      <c r="J3" s="18">
        <f>SUMIFS('Cable Schedule'!$W$2:$W$5696,'Cable Schedule'!$B$2:$B$5696,"A",'Cable Schedule'!$I$2:$I$5696,"Fire alarm")</f>
        <v/>
      </c>
      <c r="K3" s="18">
        <f>SUMIFS('Cable Schedule'!$W$2:$W$5696,'Cable Schedule'!$B$2:$B$5696,"A",'Cable Schedule'!$I$2:$I$5696,"Fibre / data")</f>
        <v/>
      </c>
      <c r="L3" s="18">
        <f>SUMIFS('Cable Schedule'!$W$2:$W$5696,'Cable Schedule'!$B$2:$B$5696,"A",'Cable Schedule'!$I$2:$I$5696,"DC 2 kV")</f>
        <v/>
      </c>
      <c r="M3" s="18">
        <f>SUMIFS('Cable Schedule'!$W$2:$W$5696,'Cable Schedule'!$B$2:$B$5696,"A",'Cable Schedule'!$I$2:$I$5696,"Portable MV")</f>
        <v/>
      </c>
      <c r="N3" s="18">
        <f>SUMIFS('Cable Schedule'!$W$2:$W$5696,'Cable Schedule'!$B$2:$B$5696,"A",'Cable Schedule'!$I$2:$I$5696,"Portable LV")</f>
        <v/>
      </c>
      <c r="O3" s="18">
        <f>SUMIFS('Cable Schedule'!$W$2:$W$5696,'Cable Schedule'!$B$2:$B$5696,"A",'Cable Schedule'!$I$2:$I$5696,"Building wire")</f>
        <v/>
      </c>
      <c r="P3" s="18">
        <f>SUMIFS('Cable Schedule'!$W$2:$W$5696,'Cable Schedule'!$B$2:$B$5696,"A",'Cable Schedule'!$I$2:$I$5696,"Grounding")</f>
        <v/>
      </c>
      <c r="Q3" s="18">
        <f>SUMIFS('Cable Schedule'!$W$2:$W$5696,'Cable Schedule'!$B$2:$B$5696,"A",'Cable Schedule'!$I$2:$I$5696,"Overhead")</f>
        <v/>
      </c>
      <c r="R3" s="28">
        <f>SUM(B3:Q3)</f>
        <v/>
      </c>
    </row>
    <row r="4">
      <c r="A4" s="12" t="inlineStr">
        <is>
          <t>B  ACC</t>
        </is>
      </c>
      <c r="B4" s="18">
        <f>SUMIFS('Cable Schedule'!$W$2:$W$5696,'Cable Schedule'!$B$2:$B$5696,"B",'Cable Schedule'!$I$2:$I$5696,"MV 15 kV")</f>
        <v/>
      </c>
      <c r="C4" s="18">
        <f>SUMIFS('Cable Schedule'!$W$2:$W$5696,'Cable Schedule'!$B$2:$B$5696,"B",'Cable Schedule'!$I$2:$I$5696,"MV 5 kV")</f>
        <v/>
      </c>
      <c r="D4" s="18">
        <f>SUMIFS('Cable Schedule'!$W$2:$W$5696,'Cable Schedule'!$B$2:$B$5696,"B",'Cable Schedule'!$I$2:$I$5696,"MV 25 kV")</f>
        <v/>
      </c>
      <c r="E4" s="18">
        <f>SUMIFS('Cable Schedule'!$W$2:$W$5696,'Cable Schedule'!$B$2:$B$5696,"B",'Cable Schedule'!$I$2:$I$5696,"MV 35 kV")</f>
        <v/>
      </c>
      <c r="F4" s="18">
        <f>SUMIFS('Cable Schedule'!$W$2:$W$5696,'Cable Schedule'!$B$2:$B$5696,"B",'Cable Schedule'!$I$2:$I$5696,"HV 230 kV")</f>
        <v/>
      </c>
      <c r="G4" s="18">
        <f>SUMIFS('Cable Schedule'!$W$2:$W$5696,'Cable Schedule'!$B$2:$B$5696,"B",'Cable Schedule'!$I$2:$I$5696,"LV 600 V")</f>
        <v/>
      </c>
      <c r="H4" s="18">
        <f>SUMIFS('Cable Schedule'!$W$2:$W$5696,'Cable Schedule'!$B$2:$B$5696,"B",'Cable Schedule'!$I$2:$I$5696,"Control")</f>
        <v/>
      </c>
      <c r="I4" s="18">
        <f>SUMIFS('Cable Schedule'!$W$2:$W$5696,'Cable Schedule'!$B$2:$B$5696,"B",'Cable Schedule'!$I$2:$I$5696,"Instrumentation")</f>
        <v/>
      </c>
      <c r="J4" s="18">
        <f>SUMIFS('Cable Schedule'!$W$2:$W$5696,'Cable Schedule'!$B$2:$B$5696,"B",'Cable Schedule'!$I$2:$I$5696,"Fire alarm")</f>
        <v/>
      </c>
      <c r="K4" s="18">
        <f>SUMIFS('Cable Schedule'!$W$2:$W$5696,'Cable Schedule'!$B$2:$B$5696,"B",'Cable Schedule'!$I$2:$I$5696,"Fibre / data")</f>
        <v/>
      </c>
      <c r="L4" s="18">
        <f>SUMIFS('Cable Schedule'!$W$2:$W$5696,'Cable Schedule'!$B$2:$B$5696,"B",'Cable Schedule'!$I$2:$I$5696,"DC 2 kV")</f>
        <v/>
      </c>
      <c r="M4" s="18">
        <f>SUMIFS('Cable Schedule'!$W$2:$W$5696,'Cable Schedule'!$B$2:$B$5696,"B",'Cable Schedule'!$I$2:$I$5696,"Portable MV")</f>
        <v/>
      </c>
      <c r="N4" s="18">
        <f>SUMIFS('Cable Schedule'!$W$2:$W$5696,'Cable Schedule'!$B$2:$B$5696,"B",'Cable Schedule'!$I$2:$I$5696,"Portable LV")</f>
        <v/>
      </c>
      <c r="O4" s="18">
        <f>SUMIFS('Cable Schedule'!$W$2:$W$5696,'Cable Schedule'!$B$2:$B$5696,"B",'Cable Schedule'!$I$2:$I$5696,"Building wire")</f>
        <v/>
      </c>
      <c r="P4" s="18">
        <f>SUMIFS('Cable Schedule'!$W$2:$W$5696,'Cable Schedule'!$B$2:$B$5696,"B",'Cable Schedule'!$I$2:$I$5696,"Grounding")</f>
        <v/>
      </c>
      <c r="Q4" s="18">
        <f>SUMIFS('Cable Schedule'!$W$2:$W$5696,'Cable Schedule'!$B$2:$B$5696,"B",'Cable Schedule'!$I$2:$I$5696,"Overhead")</f>
        <v/>
      </c>
      <c r="R4" s="28">
        <f>SUM(B4:Q4)</f>
        <v/>
      </c>
    </row>
    <row r="5">
      <c r="A5" s="12" t="inlineStr">
        <is>
          <t>C  Grid interface</t>
        </is>
      </c>
      <c r="B5" s="18">
        <f>SUMIFS('Cable Schedule'!$W$2:$W$5696,'Cable Schedule'!$B$2:$B$5696,"C",'Cable Schedule'!$I$2:$I$5696,"MV 15 kV")</f>
        <v/>
      </c>
      <c r="C5" s="18">
        <f>SUMIFS('Cable Schedule'!$W$2:$W$5696,'Cable Schedule'!$B$2:$B$5696,"C",'Cable Schedule'!$I$2:$I$5696,"MV 5 kV")</f>
        <v/>
      </c>
      <c r="D5" s="18">
        <f>SUMIFS('Cable Schedule'!$W$2:$W$5696,'Cable Schedule'!$B$2:$B$5696,"C",'Cable Schedule'!$I$2:$I$5696,"MV 25 kV")</f>
        <v/>
      </c>
      <c r="E5" s="18">
        <f>SUMIFS('Cable Schedule'!$W$2:$W$5696,'Cable Schedule'!$B$2:$B$5696,"C",'Cable Schedule'!$I$2:$I$5696,"MV 35 kV")</f>
        <v/>
      </c>
      <c r="F5" s="18">
        <f>SUMIFS('Cable Schedule'!$W$2:$W$5696,'Cable Schedule'!$B$2:$B$5696,"C",'Cable Schedule'!$I$2:$I$5696,"HV 230 kV")</f>
        <v/>
      </c>
      <c r="G5" s="18">
        <f>SUMIFS('Cable Schedule'!$W$2:$W$5696,'Cable Schedule'!$B$2:$B$5696,"C",'Cable Schedule'!$I$2:$I$5696,"LV 600 V")</f>
        <v/>
      </c>
      <c r="H5" s="18">
        <f>SUMIFS('Cable Schedule'!$W$2:$W$5696,'Cable Schedule'!$B$2:$B$5696,"C",'Cable Schedule'!$I$2:$I$5696,"Control")</f>
        <v/>
      </c>
      <c r="I5" s="18">
        <f>SUMIFS('Cable Schedule'!$W$2:$W$5696,'Cable Schedule'!$B$2:$B$5696,"C",'Cable Schedule'!$I$2:$I$5696,"Instrumentation")</f>
        <v/>
      </c>
      <c r="J5" s="18">
        <f>SUMIFS('Cable Schedule'!$W$2:$W$5696,'Cable Schedule'!$B$2:$B$5696,"C",'Cable Schedule'!$I$2:$I$5696,"Fire alarm")</f>
        <v/>
      </c>
      <c r="K5" s="18">
        <f>SUMIFS('Cable Schedule'!$W$2:$W$5696,'Cable Schedule'!$B$2:$B$5696,"C",'Cable Schedule'!$I$2:$I$5696,"Fibre / data")</f>
        <v/>
      </c>
      <c r="L5" s="18">
        <f>SUMIFS('Cable Schedule'!$W$2:$W$5696,'Cable Schedule'!$B$2:$B$5696,"C",'Cable Schedule'!$I$2:$I$5696,"DC 2 kV")</f>
        <v/>
      </c>
      <c r="M5" s="18">
        <f>SUMIFS('Cable Schedule'!$W$2:$W$5696,'Cable Schedule'!$B$2:$B$5696,"C",'Cable Schedule'!$I$2:$I$5696,"Portable MV")</f>
        <v/>
      </c>
      <c r="N5" s="18">
        <f>SUMIFS('Cable Schedule'!$W$2:$W$5696,'Cable Schedule'!$B$2:$B$5696,"C",'Cable Schedule'!$I$2:$I$5696,"Portable LV")</f>
        <v/>
      </c>
      <c r="O5" s="18">
        <f>SUMIFS('Cable Schedule'!$W$2:$W$5696,'Cable Schedule'!$B$2:$B$5696,"C",'Cable Schedule'!$I$2:$I$5696,"Building wire")</f>
        <v/>
      </c>
      <c r="P5" s="18">
        <f>SUMIFS('Cable Schedule'!$W$2:$W$5696,'Cable Schedule'!$B$2:$B$5696,"C",'Cable Schedule'!$I$2:$I$5696,"Grounding")</f>
        <v/>
      </c>
      <c r="Q5" s="18">
        <f>SUMIFS('Cable Schedule'!$W$2:$W$5696,'Cable Schedule'!$B$2:$B$5696,"C",'Cable Schedule'!$I$2:$I$5696,"Overhead")</f>
        <v/>
      </c>
      <c r="R5" s="28">
        <f>SUM(B5:Q5)</f>
        <v/>
      </c>
    </row>
    <row r="6">
      <c r="A6" s="12" t="inlineStr">
        <is>
          <t>D  Fuel gas</t>
        </is>
      </c>
      <c r="B6" s="18">
        <f>SUMIFS('Cable Schedule'!$W$2:$W$5696,'Cable Schedule'!$B$2:$B$5696,"D",'Cable Schedule'!$I$2:$I$5696,"MV 15 kV")</f>
        <v/>
      </c>
      <c r="C6" s="18">
        <f>SUMIFS('Cable Schedule'!$W$2:$W$5696,'Cable Schedule'!$B$2:$B$5696,"D",'Cable Schedule'!$I$2:$I$5696,"MV 5 kV")</f>
        <v/>
      </c>
      <c r="D6" s="18">
        <f>SUMIFS('Cable Schedule'!$W$2:$W$5696,'Cable Schedule'!$B$2:$B$5696,"D",'Cable Schedule'!$I$2:$I$5696,"MV 25 kV")</f>
        <v/>
      </c>
      <c r="E6" s="18">
        <f>SUMIFS('Cable Schedule'!$W$2:$W$5696,'Cable Schedule'!$B$2:$B$5696,"D",'Cable Schedule'!$I$2:$I$5696,"MV 35 kV")</f>
        <v/>
      </c>
      <c r="F6" s="18">
        <f>SUMIFS('Cable Schedule'!$W$2:$W$5696,'Cable Schedule'!$B$2:$B$5696,"D",'Cable Schedule'!$I$2:$I$5696,"HV 230 kV")</f>
        <v/>
      </c>
      <c r="G6" s="18">
        <f>SUMIFS('Cable Schedule'!$W$2:$W$5696,'Cable Schedule'!$B$2:$B$5696,"D",'Cable Schedule'!$I$2:$I$5696,"LV 600 V")</f>
        <v/>
      </c>
      <c r="H6" s="18">
        <f>SUMIFS('Cable Schedule'!$W$2:$W$5696,'Cable Schedule'!$B$2:$B$5696,"D",'Cable Schedule'!$I$2:$I$5696,"Control")</f>
        <v/>
      </c>
      <c r="I6" s="18">
        <f>SUMIFS('Cable Schedule'!$W$2:$W$5696,'Cable Schedule'!$B$2:$B$5696,"D",'Cable Schedule'!$I$2:$I$5696,"Instrumentation")</f>
        <v/>
      </c>
      <c r="J6" s="18">
        <f>SUMIFS('Cable Schedule'!$W$2:$W$5696,'Cable Schedule'!$B$2:$B$5696,"D",'Cable Schedule'!$I$2:$I$5696,"Fire alarm")</f>
        <v/>
      </c>
      <c r="K6" s="18">
        <f>SUMIFS('Cable Schedule'!$W$2:$W$5696,'Cable Schedule'!$B$2:$B$5696,"D",'Cable Schedule'!$I$2:$I$5696,"Fibre / data")</f>
        <v/>
      </c>
      <c r="L6" s="18">
        <f>SUMIFS('Cable Schedule'!$W$2:$W$5696,'Cable Schedule'!$B$2:$B$5696,"D",'Cable Schedule'!$I$2:$I$5696,"DC 2 kV")</f>
        <v/>
      </c>
      <c r="M6" s="18">
        <f>SUMIFS('Cable Schedule'!$W$2:$W$5696,'Cable Schedule'!$B$2:$B$5696,"D",'Cable Schedule'!$I$2:$I$5696,"Portable MV")</f>
        <v/>
      </c>
      <c r="N6" s="18">
        <f>SUMIFS('Cable Schedule'!$W$2:$W$5696,'Cable Schedule'!$B$2:$B$5696,"D",'Cable Schedule'!$I$2:$I$5696,"Portable LV")</f>
        <v/>
      </c>
      <c r="O6" s="18">
        <f>SUMIFS('Cable Schedule'!$W$2:$W$5696,'Cable Schedule'!$B$2:$B$5696,"D",'Cable Schedule'!$I$2:$I$5696,"Building wire")</f>
        <v/>
      </c>
      <c r="P6" s="18">
        <f>SUMIFS('Cable Schedule'!$W$2:$W$5696,'Cable Schedule'!$B$2:$B$5696,"D",'Cable Schedule'!$I$2:$I$5696,"Grounding")</f>
        <v/>
      </c>
      <c r="Q6" s="18">
        <f>SUMIFS('Cable Schedule'!$W$2:$W$5696,'Cable Schedule'!$B$2:$B$5696,"D",'Cable Schedule'!$I$2:$I$5696,"Overhead")</f>
        <v/>
      </c>
      <c r="R6" s="28">
        <f>SUM(B6:Q6)</f>
        <v/>
      </c>
    </row>
    <row r="7">
      <c r="A7" s="12" t="inlineStr">
        <is>
          <t>E  Water / utilities</t>
        </is>
      </c>
      <c r="B7" s="18">
        <f>SUMIFS('Cable Schedule'!$W$2:$W$5696,'Cable Schedule'!$B$2:$B$5696,"E",'Cable Schedule'!$I$2:$I$5696,"MV 15 kV")</f>
        <v/>
      </c>
      <c r="C7" s="18">
        <f>SUMIFS('Cable Schedule'!$W$2:$W$5696,'Cable Schedule'!$B$2:$B$5696,"E",'Cable Schedule'!$I$2:$I$5696,"MV 5 kV")</f>
        <v/>
      </c>
      <c r="D7" s="18">
        <f>SUMIFS('Cable Schedule'!$W$2:$W$5696,'Cable Schedule'!$B$2:$B$5696,"E",'Cable Schedule'!$I$2:$I$5696,"MV 25 kV")</f>
        <v/>
      </c>
      <c r="E7" s="18">
        <f>SUMIFS('Cable Schedule'!$W$2:$W$5696,'Cable Schedule'!$B$2:$B$5696,"E",'Cable Schedule'!$I$2:$I$5696,"MV 35 kV")</f>
        <v/>
      </c>
      <c r="F7" s="18">
        <f>SUMIFS('Cable Schedule'!$W$2:$W$5696,'Cable Schedule'!$B$2:$B$5696,"E",'Cable Schedule'!$I$2:$I$5696,"HV 230 kV")</f>
        <v/>
      </c>
      <c r="G7" s="18">
        <f>SUMIFS('Cable Schedule'!$W$2:$W$5696,'Cable Schedule'!$B$2:$B$5696,"E",'Cable Schedule'!$I$2:$I$5696,"LV 600 V")</f>
        <v/>
      </c>
      <c r="H7" s="18">
        <f>SUMIFS('Cable Schedule'!$W$2:$W$5696,'Cable Schedule'!$B$2:$B$5696,"E",'Cable Schedule'!$I$2:$I$5696,"Control")</f>
        <v/>
      </c>
      <c r="I7" s="18">
        <f>SUMIFS('Cable Schedule'!$W$2:$W$5696,'Cable Schedule'!$B$2:$B$5696,"E",'Cable Schedule'!$I$2:$I$5696,"Instrumentation")</f>
        <v/>
      </c>
      <c r="J7" s="18">
        <f>SUMIFS('Cable Schedule'!$W$2:$W$5696,'Cable Schedule'!$B$2:$B$5696,"E",'Cable Schedule'!$I$2:$I$5696,"Fire alarm")</f>
        <v/>
      </c>
      <c r="K7" s="18">
        <f>SUMIFS('Cable Schedule'!$W$2:$W$5696,'Cable Schedule'!$B$2:$B$5696,"E",'Cable Schedule'!$I$2:$I$5696,"Fibre / data")</f>
        <v/>
      </c>
      <c r="L7" s="18">
        <f>SUMIFS('Cable Schedule'!$W$2:$W$5696,'Cable Schedule'!$B$2:$B$5696,"E",'Cable Schedule'!$I$2:$I$5696,"DC 2 kV")</f>
        <v/>
      </c>
      <c r="M7" s="18">
        <f>SUMIFS('Cable Schedule'!$W$2:$W$5696,'Cable Schedule'!$B$2:$B$5696,"E",'Cable Schedule'!$I$2:$I$5696,"Portable MV")</f>
        <v/>
      </c>
      <c r="N7" s="18">
        <f>SUMIFS('Cable Schedule'!$W$2:$W$5696,'Cable Schedule'!$B$2:$B$5696,"E",'Cable Schedule'!$I$2:$I$5696,"Portable LV")</f>
        <v/>
      </c>
      <c r="O7" s="18">
        <f>SUMIFS('Cable Schedule'!$W$2:$W$5696,'Cable Schedule'!$B$2:$B$5696,"E",'Cable Schedule'!$I$2:$I$5696,"Building wire")</f>
        <v/>
      </c>
      <c r="P7" s="18">
        <f>SUMIFS('Cable Schedule'!$W$2:$W$5696,'Cable Schedule'!$B$2:$B$5696,"E",'Cable Schedule'!$I$2:$I$5696,"Grounding")</f>
        <v/>
      </c>
      <c r="Q7" s="18">
        <f>SUMIFS('Cable Schedule'!$W$2:$W$5696,'Cable Schedule'!$B$2:$B$5696,"E",'Cable Schedule'!$I$2:$I$5696,"Overhead")</f>
        <v/>
      </c>
      <c r="R7" s="28">
        <f>SUM(B7:Q7)</f>
        <v/>
      </c>
    </row>
    <row r="8">
      <c r="A8" s="12" t="inlineStr">
        <is>
          <t>F  Controls / service</t>
        </is>
      </c>
      <c r="B8" s="18">
        <f>SUMIFS('Cable Schedule'!$W$2:$W$5696,'Cable Schedule'!$B$2:$B$5696,"F",'Cable Schedule'!$I$2:$I$5696,"MV 15 kV")</f>
        <v/>
      </c>
      <c r="C8" s="18">
        <f>SUMIFS('Cable Schedule'!$W$2:$W$5696,'Cable Schedule'!$B$2:$B$5696,"F",'Cable Schedule'!$I$2:$I$5696,"MV 5 kV")</f>
        <v/>
      </c>
      <c r="D8" s="18">
        <f>SUMIFS('Cable Schedule'!$W$2:$W$5696,'Cable Schedule'!$B$2:$B$5696,"F",'Cable Schedule'!$I$2:$I$5696,"MV 25 kV")</f>
        <v/>
      </c>
      <c r="E8" s="18">
        <f>SUMIFS('Cable Schedule'!$W$2:$W$5696,'Cable Schedule'!$B$2:$B$5696,"F",'Cable Schedule'!$I$2:$I$5696,"MV 35 kV")</f>
        <v/>
      </c>
      <c r="F8" s="18">
        <f>SUMIFS('Cable Schedule'!$W$2:$W$5696,'Cable Schedule'!$B$2:$B$5696,"F",'Cable Schedule'!$I$2:$I$5696,"HV 230 kV")</f>
        <v/>
      </c>
      <c r="G8" s="18">
        <f>SUMIFS('Cable Schedule'!$W$2:$W$5696,'Cable Schedule'!$B$2:$B$5696,"F",'Cable Schedule'!$I$2:$I$5696,"LV 600 V")</f>
        <v/>
      </c>
      <c r="H8" s="18">
        <f>SUMIFS('Cable Schedule'!$W$2:$W$5696,'Cable Schedule'!$B$2:$B$5696,"F",'Cable Schedule'!$I$2:$I$5696,"Control")</f>
        <v/>
      </c>
      <c r="I8" s="18">
        <f>SUMIFS('Cable Schedule'!$W$2:$W$5696,'Cable Schedule'!$B$2:$B$5696,"F",'Cable Schedule'!$I$2:$I$5696,"Instrumentation")</f>
        <v/>
      </c>
      <c r="J8" s="18">
        <f>SUMIFS('Cable Schedule'!$W$2:$W$5696,'Cable Schedule'!$B$2:$B$5696,"F",'Cable Schedule'!$I$2:$I$5696,"Fire alarm")</f>
        <v/>
      </c>
      <c r="K8" s="18">
        <f>SUMIFS('Cable Schedule'!$W$2:$W$5696,'Cable Schedule'!$B$2:$B$5696,"F",'Cable Schedule'!$I$2:$I$5696,"Fibre / data")</f>
        <v/>
      </c>
      <c r="L8" s="18">
        <f>SUMIFS('Cable Schedule'!$W$2:$W$5696,'Cable Schedule'!$B$2:$B$5696,"F",'Cable Schedule'!$I$2:$I$5696,"DC 2 kV")</f>
        <v/>
      </c>
      <c r="M8" s="18">
        <f>SUMIFS('Cable Schedule'!$W$2:$W$5696,'Cable Schedule'!$B$2:$B$5696,"F",'Cable Schedule'!$I$2:$I$5696,"Portable MV")</f>
        <v/>
      </c>
      <c r="N8" s="18">
        <f>SUMIFS('Cable Schedule'!$W$2:$W$5696,'Cable Schedule'!$B$2:$B$5696,"F",'Cable Schedule'!$I$2:$I$5696,"Portable LV")</f>
        <v/>
      </c>
      <c r="O8" s="18">
        <f>SUMIFS('Cable Schedule'!$W$2:$W$5696,'Cable Schedule'!$B$2:$B$5696,"F",'Cable Schedule'!$I$2:$I$5696,"Building wire")</f>
        <v/>
      </c>
      <c r="P8" s="18">
        <f>SUMIFS('Cable Schedule'!$W$2:$W$5696,'Cable Schedule'!$B$2:$B$5696,"F",'Cable Schedule'!$I$2:$I$5696,"Grounding")</f>
        <v/>
      </c>
      <c r="Q8" s="18">
        <f>SUMIFS('Cable Schedule'!$W$2:$W$5696,'Cable Schedule'!$B$2:$B$5696,"F",'Cable Schedule'!$I$2:$I$5696,"Overhead")</f>
        <v/>
      </c>
      <c r="R8" s="28">
        <f>SUM(B8:Q8)</f>
        <v/>
      </c>
    </row>
    <row r="9">
      <c r="A9" s="12" t="inlineStr">
        <is>
          <t>G  Carbon capture</t>
        </is>
      </c>
      <c r="B9" s="18">
        <f>SUMIFS('Cable Schedule'!$W$2:$W$5696,'Cable Schedule'!$B$2:$B$5696,"G",'Cable Schedule'!$I$2:$I$5696,"MV 15 kV")</f>
        <v/>
      </c>
      <c r="C9" s="18">
        <f>SUMIFS('Cable Schedule'!$W$2:$W$5696,'Cable Schedule'!$B$2:$B$5696,"G",'Cable Schedule'!$I$2:$I$5696,"MV 5 kV")</f>
        <v/>
      </c>
      <c r="D9" s="18">
        <f>SUMIFS('Cable Schedule'!$W$2:$W$5696,'Cable Schedule'!$B$2:$B$5696,"G",'Cable Schedule'!$I$2:$I$5696,"MV 25 kV")</f>
        <v/>
      </c>
      <c r="E9" s="18">
        <f>SUMIFS('Cable Schedule'!$W$2:$W$5696,'Cable Schedule'!$B$2:$B$5696,"G",'Cable Schedule'!$I$2:$I$5696,"MV 35 kV")</f>
        <v/>
      </c>
      <c r="F9" s="18">
        <f>SUMIFS('Cable Schedule'!$W$2:$W$5696,'Cable Schedule'!$B$2:$B$5696,"G",'Cable Schedule'!$I$2:$I$5696,"HV 230 kV")</f>
        <v/>
      </c>
      <c r="G9" s="18">
        <f>SUMIFS('Cable Schedule'!$W$2:$W$5696,'Cable Schedule'!$B$2:$B$5696,"G",'Cable Schedule'!$I$2:$I$5696,"LV 600 V")</f>
        <v/>
      </c>
      <c r="H9" s="18">
        <f>SUMIFS('Cable Schedule'!$W$2:$W$5696,'Cable Schedule'!$B$2:$B$5696,"G",'Cable Schedule'!$I$2:$I$5696,"Control")</f>
        <v/>
      </c>
      <c r="I9" s="18">
        <f>SUMIFS('Cable Schedule'!$W$2:$W$5696,'Cable Schedule'!$B$2:$B$5696,"G",'Cable Schedule'!$I$2:$I$5696,"Instrumentation")</f>
        <v/>
      </c>
      <c r="J9" s="18">
        <f>SUMIFS('Cable Schedule'!$W$2:$W$5696,'Cable Schedule'!$B$2:$B$5696,"G",'Cable Schedule'!$I$2:$I$5696,"Fire alarm")</f>
        <v/>
      </c>
      <c r="K9" s="18">
        <f>SUMIFS('Cable Schedule'!$W$2:$W$5696,'Cable Schedule'!$B$2:$B$5696,"G",'Cable Schedule'!$I$2:$I$5696,"Fibre / data")</f>
        <v/>
      </c>
      <c r="L9" s="18">
        <f>SUMIFS('Cable Schedule'!$W$2:$W$5696,'Cable Schedule'!$B$2:$B$5696,"G",'Cable Schedule'!$I$2:$I$5696,"DC 2 kV")</f>
        <v/>
      </c>
      <c r="M9" s="18">
        <f>SUMIFS('Cable Schedule'!$W$2:$W$5696,'Cable Schedule'!$B$2:$B$5696,"G",'Cable Schedule'!$I$2:$I$5696,"Portable MV")</f>
        <v/>
      </c>
      <c r="N9" s="18">
        <f>SUMIFS('Cable Schedule'!$W$2:$W$5696,'Cable Schedule'!$B$2:$B$5696,"G",'Cable Schedule'!$I$2:$I$5696,"Portable LV")</f>
        <v/>
      </c>
      <c r="O9" s="18">
        <f>SUMIFS('Cable Schedule'!$W$2:$W$5696,'Cable Schedule'!$B$2:$B$5696,"G",'Cable Schedule'!$I$2:$I$5696,"Building wire")</f>
        <v/>
      </c>
      <c r="P9" s="18">
        <f>SUMIFS('Cable Schedule'!$W$2:$W$5696,'Cable Schedule'!$B$2:$B$5696,"G",'Cable Schedule'!$I$2:$I$5696,"Grounding")</f>
        <v/>
      </c>
      <c r="Q9" s="18">
        <f>SUMIFS('Cable Schedule'!$W$2:$W$5696,'Cable Schedule'!$B$2:$B$5696,"G",'Cable Schedule'!$I$2:$I$5696,"Overhead")</f>
        <v/>
      </c>
      <c r="R9" s="28">
        <f>SUM(B9:Q9)</f>
        <v/>
      </c>
    </row>
    <row r="10">
      <c r="A10" s="12" t="inlineStr">
        <is>
          <t>H  BESS</t>
        </is>
      </c>
      <c r="B10" s="18">
        <f>SUMIFS('Cable Schedule'!$W$2:$W$5696,'Cable Schedule'!$B$2:$B$5696,"H",'Cable Schedule'!$I$2:$I$5696,"MV 15 kV")</f>
        <v/>
      </c>
      <c r="C10" s="18">
        <f>SUMIFS('Cable Schedule'!$W$2:$W$5696,'Cable Schedule'!$B$2:$B$5696,"H",'Cable Schedule'!$I$2:$I$5696,"MV 5 kV")</f>
        <v/>
      </c>
      <c r="D10" s="18">
        <f>SUMIFS('Cable Schedule'!$W$2:$W$5696,'Cable Schedule'!$B$2:$B$5696,"H",'Cable Schedule'!$I$2:$I$5696,"MV 25 kV")</f>
        <v/>
      </c>
      <c r="E10" s="18">
        <f>SUMIFS('Cable Schedule'!$W$2:$W$5696,'Cable Schedule'!$B$2:$B$5696,"H",'Cable Schedule'!$I$2:$I$5696,"MV 35 kV")</f>
        <v/>
      </c>
      <c r="F10" s="18">
        <f>SUMIFS('Cable Schedule'!$W$2:$W$5696,'Cable Schedule'!$B$2:$B$5696,"H",'Cable Schedule'!$I$2:$I$5696,"HV 230 kV")</f>
        <v/>
      </c>
      <c r="G10" s="18">
        <f>SUMIFS('Cable Schedule'!$W$2:$W$5696,'Cable Schedule'!$B$2:$B$5696,"H",'Cable Schedule'!$I$2:$I$5696,"LV 600 V")</f>
        <v/>
      </c>
      <c r="H10" s="18">
        <f>SUMIFS('Cable Schedule'!$W$2:$W$5696,'Cable Schedule'!$B$2:$B$5696,"H",'Cable Schedule'!$I$2:$I$5696,"Control")</f>
        <v/>
      </c>
      <c r="I10" s="18">
        <f>SUMIFS('Cable Schedule'!$W$2:$W$5696,'Cable Schedule'!$B$2:$B$5696,"H",'Cable Schedule'!$I$2:$I$5696,"Instrumentation")</f>
        <v/>
      </c>
      <c r="J10" s="18">
        <f>SUMIFS('Cable Schedule'!$W$2:$W$5696,'Cable Schedule'!$B$2:$B$5696,"H",'Cable Schedule'!$I$2:$I$5696,"Fire alarm")</f>
        <v/>
      </c>
      <c r="K10" s="18">
        <f>SUMIFS('Cable Schedule'!$W$2:$W$5696,'Cable Schedule'!$B$2:$B$5696,"H",'Cable Schedule'!$I$2:$I$5696,"Fibre / data")</f>
        <v/>
      </c>
      <c r="L10" s="18">
        <f>SUMIFS('Cable Schedule'!$W$2:$W$5696,'Cable Schedule'!$B$2:$B$5696,"H",'Cable Schedule'!$I$2:$I$5696,"DC 2 kV")</f>
        <v/>
      </c>
      <c r="M10" s="18">
        <f>SUMIFS('Cable Schedule'!$W$2:$W$5696,'Cable Schedule'!$B$2:$B$5696,"H",'Cable Schedule'!$I$2:$I$5696,"Portable MV")</f>
        <v/>
      </c>
      <c r="N10" s="18">
        <f>SUMIFS('Cable Schedule'!$W$2:$W$5696,'Cable Schedule'!$B$2:$B$5696,"H",'Cable Schedule'!$I$2:$I$5696,"Portable LV")</f>
        <v/>
      </c>
      <c r="O10" s="18">
        <f>SUMIFS('Cable Schedule'!$W$2:$W$5696,'Cable Schedule'!$B$2:$B$5696,"H",'Cable Schedule'!$I$2:$I$5696,"Building wire")</f>
        <v/>
      </c>
      <c r="P10" s="18">
        <f>SUMIFS('Cable Schedule'!$W$2:$W$5696,'Cable Schedule'!$B$2:$B$5696,"H",'Cable Schedule'!$I$2:$I$5696,"Grounding")</f>
        <v/>
      </c>
      <c r="Q10" s="18">
        <f>SUMIFS('Cable Schedule'!$W$2:$W$5696,'Cable Schedule'!$B$2:$B$5696,"H",'Cable Schedule'!$I$2:$I$5696,"Overhead")</f>
        <v/>
      </c>
      <c r="R10" s="28">
        <f>SUM(B10:Q10)</f>
        <v/>
      </c>
    </row>
    <row r="11">
      <c r="A11" s="12" t="inlineStr">
        <is>
          <t>I  Modular / portable power</t>
        </is>
      </c>
      <c r="B11" s="18">
        <f>SUMIFS('Cable Schedule'!$W$2:$W$5696,'Cable Schedule'!$B$2:$B$5696,"I",'Cable Schedule'!$I$2:$I$5696,"MV 15 kV")</f>
        <v/>
      </c>
      <c r="C11" s="18">
        <f>SUMIFS('Cable Schedule'!$W$2:$W$5696,'Cable Schedule'!$B$2:$B$5696,"I",'Cable Schedule'!$I$2:$I$5696,"MV 5 kV")</f>
        <v/>
      </c>
      <c r="D11" s="18">
        <f>SUMIFS('Cable Schedule'!$W$2:$W$5696,'Cable Schedule'!$B$2:$B$5696,"I",'Cable Schedule'!$I$2:$I$5696,"MV 25 kV")</f>
        <v/>
      </c>
      <c r="E11" s="18">
        <f>SUMIFS('Cable Schedule'!$W$2:$W$5696,'Cable Schedule'!$B$2:$B$5696,"I",'Cable Schedule'!$I$2:$I$5696,"MV 35 kV")</f>
        <v/>
      </c>
      <c r="F11" s="18">
        <f>SUMIFS('Cable Schedule'!$W$2:$W$5696,'Cable Schedule'!$B$2:$B$5696,"I",'Cable Schedule'!$I$2:$I$5696,"HV 230 kV")</f>
        <v/>
      </c>
      <c r="G11" s="18">
        <f>SUMIFS('Cable Schedule'!$W$2:$W$5696,'Cable Schedule'!$B$2:$B$5696,"I",'Cable Schedule'!$I$2:$I$5696,"LV 600 V")</f>
        <v/>
      </c>
      <c r="H11" s="18">
        <f>SUMIFS('Cable Schedule'!$W$2:$W$5696,'Cable Schedule'!$B$2:$B$5696,"I",'Cable Schedule'!$I$2:$I$5696,"Control")</f>
        <v/>
      </c>
      <c r="I11" s="18">
        <f>SUMIFS('Cable Schedule'!$W$2:$W$5696,'Cable Schedule'!$B$2:$B$5696,"I",'Cable Schedule'!$I$2:$I$5696,"Instrumentation")</f>
        <v/>
      </c>
      <c r="J11" s="18">
        <f>SUMIFS('Cable Schedule'!$W$2:$W$5696,'Cable Schedule'!$B$2:$B$5696,"I",'Cable Schedule'!$I$2:$I$5696,"Fire alarm")</f>
        <v/>
      </c>
      <c r="K11" s="18">
        <f>SUMIFS('Cable Schedule'!$W$2:$W$5696,'Cable Schedule'!$B$2:$B$5696,"I",'Cable Schedule'!$I$2:$I$5696,"Fibre / data")</f>
        <v/>
      </c>
      <c r="L11" s="18">
        <f>SUMIFS('Cable Schedule'!$W$2:$W$5696,'Cable Schedule'!$B$2:$B$5696,"I",'Cable Schedule'!$I$2:$I$5696,"DC 2 kV")</f>
        <v/>
      </c>
      <c r="M11" s="18">
        <f>SUMIFS('Cable Schedule'!$W$2:$W$5696,'Cable Schedule'!$B$2:$B$5696,"I",'Cable Schedule'!$I$2:$I$5696,"Portable MV")</f>
        <v/>
      </c>
      <c r="N11" s="18">
        <f>SUMIFS('Cable Schedule'!$W$2:$W$5696,'Cable Schedule'!$B$2:$B$5696,"I",'Cable Schedule'!$I$2:$I$5696,"Portable LV")</f>
        <v/>
      </c>
      <c r="O11" s="18">
        <f>SUMIFS('Cable Schedule'!$W$2:$W$5696,'Cable Schedule'!$B$2:$B$5696,"I",'Cable Schedule'!$I$2:$I$5696,"Building wire")</f>
        <v/>
      </c>
      <c r="P11" s="18">
        <f>SUMIFS('Cable Schedule'!$W$2:$W$5696,'Cable Schedule'!$B$2:$B$5696,"I",'Cable Schedule'!$I$2:$I$5696,"Grounding")</f>
        <v/>
      </c>
      <c r="Q11" s="18">
        <f>SUMIFS('Cable Schedule'!$W$2:$W$5696,'Cable Schedule'!$B$2:$B$5696,"I",'Cable Schedule'!$I$2:$I$5696,"Overhead")</f>
        <v/>
      </c>
      <c r="R11" s="28">
        <f>SUM(B11:Q11)</f>
        <v/>
      </c>
    </row>
    <row r="12">
      <c r="A12" s="12" t="inlineStr">
        <is>
          <t>J  GT inlet chilling</t>
        </is>
      </c>
      <c r="B12" s="18">
        <f>SUMIFS('Cable Schedule'!$W$2:$W$5696,'Cable Schedule'!$B$2:$B$5696,"J",'Cable Schedule'!$I$2:$I$5696,"MV 15 kV")</f>
        <v/>
      </c>
      <c r="C12" s="18">
        <f>SUMIFS('Cable Schedule'!$W$2:$W$5696,'Cable Schedule'!$B$2:$B$5696,"J",'Cable Schedule'!$I$2:$I$5696,"MV 5 kV")</f>
        <v/>
      </c>
      <c r="D12" s="18">
        <f>SUMIFS('Cable Schedule'!$W$2:$W$5696,'Cable Schedule'!$B$2:$B$5696,"J",'Cable Schedule'!$I$2:$I$5696,"MV 25 kV")</f>
        <v/>
      </c>
      <c r="E12" s="18">
        <f>SUMIFS('Cable Schedule'!$W$2:$W$5696,'Cable Schedule'!$B$2:$B$5696,"J",'Cable Schedule'!$I$2:$I$5696,"MV 35 kV")</f>
        <v/>
      </c>
      <c r="F12" s="18">
        <f>SUMIFS('Cable Schedule'!$W$2:$W$5696,'Cable Schedule'!$B$2:$B$5696,"J",'Cable Schedule'!$I$2:$I$5696,"HV 230 kV")</f>
        <v/>
      </c>
      <c r="G12" s="18">
        <f>SUMIFS('Cable Schedule'!$W$2:$W$5696,'Cable Schedule'!$B$2:$B$5696,"J",'Cable Schedule'!$I$2:$I$5696,"LV 600 V")</f>
        <v/>
      </c>
      <c r="H12" s="18">
        <f>SUMIFS('Cable Schedule'!$W$2:$W$5696,'Cable Schedule'!$B$2:$B$5696,"J",'Cable Schedule'!$I$2:$I$5696,"Control")</f>
        <v/>
      </c>
      <c r="I12" s="18">
        <f>SUMIFS('Cable Schedule'!$W$2:$W$5696,'Cable Schedule'!$B$2:$B$5696,"J",'Cable Schedule'!$I$2:$I$5696,"Instrumentation")</f>
        <v/>
      </c>
      <c r="J12" s="18">
        <f>SUMIFS('Cable Schedule'!$W$2:$W$5696,'Cable Schedule'!$B$2:$B$5696,"J",'Cable Schedule'!$I$2:$I$5696,"Fire alarm")</f>
        <v/>
      </c>
      <c r="K12" s="18">
        <f>SUMIFS('Cable Schedule'!$W$2:$W$5696,'Cable Schedule'!$B$2:$B$5696,"J",'Cable Schedule'!$I$2:$I$5696,"Fibre / data")</f>
        <v/>
      </c>
      <c r="L12" s="18">
        <f>SUMIFS('Cable Schedule'!$W$2:$W$5696,'Cable Schedule'!$B$2:$B$5696,"J",'Cable Schedule'!$I$2:$I$5696,"DC 2 kV")</f>
        <v/>
      </c>
      <c r="M12" s="18">
        <f>SUMIFS('Cable Schedule'!$W$2:$W$5696,'Cable Schedule'!$B$2:$B$5696,"J",'Cable Schedule'!$I$2:$I$5696,"Portable MV")</f>
        <v/>
      </c>
      <c r="N12" s="18">
        <f>SUMIFS('Cable Schedule'!$W$2:$W$5696,'Cable Schedule'!$B$2:$B$5696,"J",'Cable Schedule'!$I$2:$I$5696,"Portable LV")</f>
        <v/>
      </c>
      <c r="O12" s="18">
        <f>SUMIFS('Cable Schedule'!$W$2:$W$5696,'Cable Schedule'!$B$2:$B$5696,"J",'Cable Schedule'!$I$2:$I$5696,"Building wire")</f>
        <v/>
      </c>
      <c r="P12" s="18">
        <f>SUMIFS('Cable Schedule'!$W$2:$W$5696,'Cable Schedule'!$B$2:$B$5696,"J",'Cable Schedule'!$I$2:$I$5696,"Grounding")</f>
        <v/>
      </c>
      <c r="Q12" s="18">
        <f>SUMIFS('Cable Schedule'!$W$2:$W$5696,'Cable Schedule'!$B$2:$B$5696,"J",'Cable Schedule'!$I$2:$I$5696,"Overhead")</f>
        <v/>
      </c>
      <c r="R12" s="28">
        <f>SUM(B12:Q12)</f>
        <v/>
      </c>
    </row>
    <row r="13">
      <c r="A13" s="12" t="inlineStr">
        <is>
          <t>K  Fuel supply (adjacent market)</t>
        </is>
      </c>
      <c r="B13" s="18">
        <f>SUMIFS('Cable Schedule'!$W$2:$W$5696,'Cable Schedule'!$B$2:$B$5696,"K",'Cable Schedule'!$I$2:$I$5696,"MV 15 kV")</f>
        <v/>
      </c>
      <c r="C13" s="18">
        <f>SUMIFS('Cable Schedule'!$W$2:$W$5696,'Cable Schedule'!$B$2:$B$5696,"K",'Cable Schedule'!$I$2:$I$5696,"MV 5 kV")</f>
        <v/>
      </c>
      <c r="D13" s="18">
        <f>SUMIFS('Cable Schedule'!$W$2:$W$5696,'Cable Schedule'!$B$2:$B$5696,"K",'Cable Schedule'!$I$2:$I$5696,"MV 25 kV")</f>
        <v/>
      </c>
      <c r="E13" s="18">
        <f>SUMIFS('Cable Schedule'!$W$2:$W$5696,'Cable Schedule'!$B$2:$B$5696,"K",'Cable Schedule'!$I$2:$I$5696,"MV 35 kV")</f>
        <v/>
      </c>
      <c r="F13" s="18">
        <f>SUMIFS('Cable Schedule'!$W$2:$W$5696,'Cable Schedule'!$B$2:$B$5696,"K",'Cable Schedule'!$I$2:$I$5696,"HV 230 kV")</f>
        <v/>
      </c>
      <c r="G13" s="18">
        <f>SUMIFS('Cable Schedule'!$W$2:$W$5696,'Cable Schedule'!$B$2:$B$5696,"K",'Cable Schedule'!$I$2:$I$5696,"LV 600 V")</f>
        <v/>
      </c>
      <c r="H13" s="18">
        <f>SUMIFS('Cable Schedule'!$W$2:$W$5696,'Cable Schedule'!$B$2:$B$5696,"K",'Cable Schedule'!$I$2:$I$5696,"Control")</f>
        <v/>
      </c>
      <c r="I13" s="18">
        <f>SUMIFS('Cable Schedule'!$W$2:$W$5696,'Cable Schedule'!$B$2:$B$5696,"K",'Cable Schedule'!$I$2:$I$5696,"Instrumentation")</f>
        <v/>
      </c>
      <c r="J13" s="18">
        <f>SUMIFS('Cable Schedule'!$W$2:$W$5696,'Cable Schedule'!$B$2:$B$5696,"K",'Cable Schedule'!$I$2:$I$5696,"Fire alarm")</f>
        <v/>
      </c>
      <c r="K13" s="18">
        <f>SUMIFS('Cable Schedule'!$W$2:$W$5696,'Cable Schedule'!$B$2:$B$5696,"K",'Cable Schedule'!$I$2:$I$5696,"Fibre / data")</f>
        <v/>
      </c>
      <c r="L13" s="18">
        <f>SUMIFS('Cable Schedule'!$W$2:$W$5696,'Cable Schedule'!$B$2:$B$5696,"K",'Cable Schedule'!$I$2:$I$5696,"DC 2 kV")</f>
        <v/>
      </c>
      <c r="M13" s="18">
        <f>SUMIFS('Cable Schedule'!$W$2:$W$5696,'Cable Schedule'!$B$2:$B$5696,"K",'Cable Schedule'!$I$2:$I$5696,"Portable MV")</f>
        <v/>
      </c>
      <c r="N13" s="18">
        <f>SUMIFS('Cable Schedule'!$W$2:$W$5696,'Cable Schedule'!$B$2:$B$5696,"K",'Cable Schedule'!$I$2:$I$5696,"Portable LV")</f>
        <v/>
      </c>
      <c r="O13" s="18">
        <f>SUMIFS('Cable Schedule'!$W$2:$W$5696,'Cable Schedule'!$B$2:$B$5696,"K",'Cable Schedule'!$I$2:$I$5696,"Building wire")</f>
        <v/>
      </c>
      <c r="P13" s="18">
        <f>SUMIFS('Cable Schedule'!$W$2:$W$5696,'Cable Schedule'!$B$2:$B$5696,"K",'Cable Schedule'!$I$2:$I$5696,"Grounding")</f>
        <v/>
      </c>
      <c r="Q13" s="18">
        <f>SUMIFS('Cable Schedule'!$W$2:$W$5696,'Cable Schedule'!$B$2:$B$5696,"K",'Cable Schedule'!$I$2:$I$5696,"Overhead")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Schedule'!B2:B5696,"?")</f>
        <v/>
      </c>
    </row>
    <row r="18">
      <c r="A18" s="22" t="inlineStr">
        <is>
          <t>Cables (count)</t>
        </is>
      </c>
      <c r="B18" s="18">
        <f>SUM('Cable Schedule'!AA2:AA5696)</f>
        <v/>
      </c>
    </row>
    <row r="20">
      <c r="A20" s="22" t="inlineStr">
        <is>
          <t>Device count behind the schedule (typical for each equipment class)</t>
        </is>
      </c>
    </row>
    <row r="21">
      <c r="A21" s="12" t="inlineStr">
        <is>
          <t>Analog instruments</t>
        </is>
      </c>
      <c r="B21" s="30" t="n">
        <v>5981</v>
      </c>
    </row>
    <row r="22">
      <c r="A22" s="12" t="inlineStr">
        <is>
          <t>Discrete devices</t>
        </is>
      </c>
      <c r="B22" s="30" t="n">
        <v>6285</v>
      </c>
    </row>
    <row r="23">
      <c r="A23" s="12" t="inlineStr">
        <is>
          <t>Thermocouples</t>
        </is>
      </c>
      <c r="B23" s="30" t="n">
        <v>832</v>
      </c>
    </row>
    <row r="24">
      <c r="A24" s="12" t="inlineStr">
        <is>
          <t>RTDs</t>
        </is>
      </c>
      <c r="B24" s="30" t="n">
        <v>450</v>
      </c>
    </row>
    <row r="25">
      <c r="A25" s="12" t="inlineStr">
        <is>
          <t>Solenoids</t>
        </is>
      </c>
      <c r="B25" s="30" t="n">
        <v>544</v>
      </c>
    </row>
    <row r="26">
      <c r="A26" s="12" t="inlineStr">
        <is>
          <t>LV motors</t>
        </is>
      </c>
      <c r="B26" s="30" t="n">
        <v>722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5"/>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R2A: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R2B: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R2C: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6</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6</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4</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4</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3/0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3/0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2</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2</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3</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1</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1/0</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350 kcmil</t>
        </is>
      </c>
      <c r="K792" s="12" t="n">
        <v>2</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2</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1</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1</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2</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2/0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2</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2</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FC-5..12 inverter / AC cabinet / desulfurizer</t>
        </is>
      </c>
      <c r="B1290" s="12" t="inlineStr"/>
      <c r="C1290" s="12" t="inlineStr">
        <is>
          <t>I</t>
        </is>
      </c>
      <c r="D1290" s="12" t="inlineStr">
        <is>
          <t>FC-5 SOFC output to inverter / AC cabinet</t>
        </is>
      </c>
      <c r="E1290" s="12" t="n">
        <v>480</v>
      </c>
      <c r="F1290" s="12" t="n">
        <v>250</v>
      </c>
      <c r="G1290" s="12" t="n">
        <v>316.5</v>
      </c>
      <c r="H1290" s="12" t="inlineStr">
        <is>
          <t>FC-5: SOFC module (Bloom ES5 class, 200-300 kW)</t>
        </is>
      </c>
      <c r="I1290" s="12" t="inlineStr">
        <is>
          <t>LV 600 V</t>
        </is>
      </c>
      <c r="J1290" s="12" t="inlineStr">
        <is>
          <t>3/0</t>
        </is>
      </c>
      <c r="K1290" s="12" t="n">
        <v>2</v>
      </c>
    </row>
    <row r="1291">
      <c r="A1291" s="12" t="inlineStr">
        <is>
          <t>FC-5..12 inverter / AC cabinet / desulfurizer</t>
        </is>
      </c>
      <c r="B1291" s="12" t="inlineStr"/>
      <c r="C1291" s="12" t="inlineStr">
        <is>
          <t>I</t>
        </is>
      </c>
      <c r="D1291" s="12" t="inlineStr">
        <is>
          <t>FC-6 SOFC output to inverter / AC cabinet</t>
        </is>
      </c>
      <c r="E1291" s="12" t="n">
        <v>480</v>
      </c>
      <c r="F1291" s="12" t="n">
        <v>250</v>
      </c>
      <c r="G1291" s="12" t="n">
        <v>316.5</v>
      </c>
      <c r="H1291" s="12" t="inlineStr">
        <is>
          <t>FC-6: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FC-7 SOFC output to inverter / AC cabinet</t>
        </is>
      </c>
      <c r="E1292" s="12" t="n">
        <v>480</v>
      </c>
      <c r="F1292" s="12" t="n">
        <v>250</v>
      </c>
      <c r="G1292" s="12" t="n">
        <v>316.5</v>
      </c>
      <c r="H1292" s="12" t="inlineStr">
        <is>
          <t>FC-7: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FC-8 SOFC output to inverter / AC cabinet</t>
        </is>
      </c>
      <c r="E1293" s="12" t="n">
        <v>480</v>
      </c>
      <c r="F1293" s="12" t="n">
        <v>250</v>
      </c>
      <c r="G1293" s="12" t="n">
        <v>316.5</v>
      </c>
      <c r="H1293" s="12" t="inlineStr">
        <is>
          <t>FC-8: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FC-9 SOFC output to inverter / AC cabinet</t>
        </is>
      </c>
      <c r="E1294" s="12" t="n">
        <v>480</v>
      </c>
      <c r="F1294" s="12" t="n">
        <v>250</v>
      </c>
      <c r="G1294" s="12" t="n">
        <v>316.5</v>
      </c>
      <c r="H1294" s="12" t="inlineStr">
        <is>
          <t>FC-9: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FC-10 SOFC output to inverter / AC cabinet</t>
        </is>
      </c>
      <c r="E1295" s="12" t="n">
        <v>480</v>
      </c>
      <c r="F1295" s="12" t="n">
        <v>250</v>
      </c>
      <c r="G1295" s="12" t="n">
        <v>316.5</v>
      </c>
      <c r="H1295" s="12" t="inlineStr">
        <is>
          <t>FC-10: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FC-11 SOFC output to inverter / AC cabinet</t>
        </is>
      </c>
      <c r="E1296" s="12" t="n">
        <v>480</v>
      </c>
      <c r="F1296" s="12" t="n">
        <v>250</v>
      </c>
      <c r="G1296" s="12" t="n">
        <v>316.5</v>
      </c>
      <c r="H1296" s="12" t="inlineStr">
        <is>
          <t>FC-11: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FC-12 SOFC output to inverter / AC cabinet</t>
        </is>
      </c>
      <c r="E1297" s="12" t="n">
        <v>480</v>
      </c>
      <c r="F1297" s="12" t="n">
        <v>250</v>
      </c>
      <c r="G1297" s="12" t="n">
        <v>316.5</v>
      </c>
      <c r="H1297" s="12" t="inlineStr">
        <is>
          <t>FC-12: SOFC module (Bloom ES5 class, 200-300 kW)</t>
        </is>
      </c>
      <c r="I1297" s="12" t="inlineStr">
        <is>
          <t>LV 600 V</t>
        </is>
      </c>
      <c r="J1297" s="12" t="inlineStr">
        <is>
          <t>3/0</t>
        </is>
      </c>
      <c r="K1297" s="12" t="n">
        <v>2</v>
      </c>
    </row>
    <row r="1298">
      <c r="A1298" s="12" t="inlineStr">
        <is>
          <t>Fuel-cell inverter / AC cabinet / desulfurizer</t>
        </is>
      </c>
      <c r="B1298" s="12" t="inlineStr"/>
      <c r="C1298" s="12" t="inlineStr">
        <is>
          <t>I</t>
        </is>
      </c>
      <c r="D1298" s="12" t="inlineStr">
        <is>
          <t>FC-1 SOFC output to inverter / AC cabinet</t>
        </is>
      </c>
      <c r="E1298" s="12" t="n">
        <v>480</v>
      </c>
      <c r="F1298" s="12" t="n">
        <v>250</v>
      </c>
      <c r="G1298" s="12" t="n">
        <v>316.5</v>
      </c>
      <c r="H1298" s="12" t="inlineStr">
        <is>
          <t>FC-1: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FC-2 SOFC output to inverter / AC cabinet</t>
        </is>
      </c>
      <c r="E1299" s="12" t="n">
        <v>480</v>
      </c>
      <c r="F1299" s="12" t="n">
        <v>250</v>
      </c>
      <c r="G1299" s="12" t="n">
        <v>316.5</v>
      </c>
      <c r="H1299" s="12" t="inlineStr">
        <is>
          <t>FC-2: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FC-3 SOFC output to inverter / AC cabinet</t>
        </is>
      </c>
      <c r="E1300" s="12" t="n">
        <v>480</v>
      </c>
      <c r="F1300" s="12" t="n">
        <v>250</v>
      </c>
      <c r="G1300" s="12" t="n">
        <v>316.5</v>
      </c>
      <c r="H1300" s="12" t="inlineStr">
        <is>
          <t>FC-3: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FC-4 SOFC output to inverter / AC cabinet</t>
        </is>
      </c>
      <c r="E1301" s="12" t="n">
        <v>480</v>
      </c>
      <c r="F1301" s="12" t="n">
        <v>250</v>
      </c>
      <c r="G1301" s="12" t="n">
        <v>316.5</v>
      </c>
      <c r="H1301" s="12" t="inlineStr">
        <is>
          <t>FC-4: SOFC module (Bloom ES5 class, 200-300 kW)</t>
        </is>
      </c>
      <c r="I1301" s="12" t="inlineStr">
        <is>
          <t>LV 600 V</t>
        </is>
      </c>
      <c r="J1301" s="12" t="inlineStr">
        <is>
          <t>3/0</t>
        </is>
      </c>
      <c r="K1301" s="12" t="n">
        <v>2</v>
      </c>
    </row>
    <row r="1302">
      <c r="A1302" s="12" t="inlineStr">
        <is>
          <t>Fuel-gas compressors 3 x 100% electric</t>
        </is>
      </c>
      <c r="B1302" s="12" t="inlineStr"/>
      <c r="C1302" s="12" t="inlineStr">
        <is>
          <t>I</t>
        </is>
      </c>
      <c r="D1302" s="12" t="inlineStr">
        <is>
          <t>Motor 1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2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3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Fuel-gas compressors 3 x 100% electric</t>
        </is>
      </c>
      <c r="B1305" s="12" t="inlineStr"/>
      <c r="C1305" s="12" t="inlineStr">
        <is>
          <t>I</t>
        </is>
      </c>
      <c r="D1305" s="12" t="inlineStr">
        <is>
          <t>Motor 4 of 6, 15 kW</t>
        </is>
      </c>
      <c r="E1305" s="12" t="n">
        <v>480</v>
      </c>
      <c r="F1305" s="12" t="n">
        <v>15</v>
      </c>
      <c r="G1305" s="12" t="n">
        <v>21.2</v>
      </c>
      <c r="H1305" s="12" t="inlineStr">
        <is>
          <t>MOD-LV 480 V board + 480 V : 13.8 kV step-up</t>
        </is>
      </c>
      <c r="I1305" s="12" t="inlineStr">
        <is>
          <t>LV 600 V</t>
        </is>
      </c>
      <c r="J1305" s="12" t="inlineStr">
        <is>
          <t>3/0</t>
        </is>
      </c>
      <c r="K1305" s="12" t="n">
        <v>1</v>
      </c>
    </row>
    <row r="1306">
      <c r="A1306" s="12" t="inlineStr">
        <is>
          <t>Fuel-gas compressors 3 x 100% electric</t>
        </is>
      </c>
      <c r="B1306" s="12" t="inlineStr"/>
      <c r="C1306" s="12" t="inlineStr">
        <is>
          <t>I</t>
        </is>
      </c>
      <c r="D1306" s="12" t="inlineStr">
        <is>
          <t>Motor 5 of 6, 15 kW</t>
        </is>
      </c>
      <c r="E1306" s="12" t="n">
        <v>480</v>
      </c>
      <c r="F1306" s="12" t="n">
        <v>15</v>
      </c>
      <c r="G1306" s="12" t="n">
        <v>21.2</v>
      </c>
      <c r="H1306" s="12" t="inlineStr">
        <is>
          <t>MOD-LV 480 V board + 480 V : 13.8 kV step-up</t>
        </is>
      </c>
      <c r="I1306" s="12" t="inlineStr">
        <is>
          <t>LV 600 V</t>
        </is>
      </c>
      <c r="J1306" s="12" t="inlineStr">
        <is>
          <t>3/0</t>
        </is>
      </c>
      <c r="K1306" s="12" t="n">
        <v>1</v>
      </c>
    </row>
    <row r="1307">
      <c r="A1307" s="12" t="inlineStr">
        <is>
          <t>Fuel-gas compressors 3 x 100% electric</t>
        </is>
      </c>
      <c r="B1307" s="12" t="inlineStr"/>
      <c r="C1307" s="12" t="inlineStr">
        <is>
          <t>I</t>
        </is>
      </c>
      <c r="D1307" s="12" t="inlineStr">
        <is>
          <t>Motor 6 of 6, 15 kW</t>
        </is>
      </c>
      <c r="E1307" s="12" t="n">
        <v>480</v>
      </c>
      <c r="F1307" s="12" t="n">
        <v>15</v>
      </c>
      <c r="G1307" s="12" t="n">
        <v>21.2</v>
      </c>
      <c r="H1307" s="12" t="inlineStr">
        <is>
          <t>MOD-LV 480 V board + 480 V : 13.8 kV step-up</t>
        </is>
      </c>
      <c r="I1307" s="12" t="inlineStr">
        <is>
          <t>LV 600 V</t>
        </is>
      </c>
      <c r="J1307" s="12" t="inlineStr">
        <is>
          <t>3/0</t>
        </is>
      </c>
      <c r="K1307" s="12" t="n">
        <v>1</v>
      </c>
    </row>
    <row r="1308">
      <c r="A1308" s="12" t="inlineStr">
        <is>
          <t>Gas conditioning skid</t>
        </is>
      </c>
      <c r="B1308" s="12" t="inlineStr"/>
      <c r="C1308" s="12" t="inlineStr">
        <is>
          <t>I</t>
        </is>
      </c>
      <c r="D1308" s="12" t="inlineStr">
        <is>
          <t>LV power feeder</t>
        </is>
      </c>
      <c r="E1308" s="12" t="n">
        <v>480</v>
      </c>
      <c r="F1308" s="12" t="n">
        <v>30</v>
      </c>
      <c r="G1308" s="12" t="n">
        <v>42.5</v>
      </c>
      <c r="H1308" s="12" t="inlineStr">
        <is>
          <t>PCM: power control module</t>
        </is>
      </c>
      <c r="I1308" s="12" t="inlineStr">
        <is>
          <t>LV 600 V</t>
        </is>
      </c>
      <c r="J1308" s="12" t="inlineStr">
        <is>
          <t>6</t>
        </is>
      </c>
      <c r="K1308" s="12" t="n">
        <v>1</v>
      </c>
    </row>
    <row r="1309">
      <c r="A1309" s="12" t="inlineStr">
        <is>
          <t>Lube oil / starting air / oily water building</t>
        </is>
      </c>
      <c r="B1309" s="12" t="inlineStr"/>
      <c r="C1309" s="12" t="inlineStr">
        <is>
          <t>I</t>
        </is>
      </c>
      <c r="D1309" s="12" t="inlineStr">
        <is>
          <t>LV panel / distribution feeder</t>
        </is>
      </c>
      <c r="E1309" s="12" t="n">
        <v>480</v>
      </c>
      <c r="F1309" s="12" t="n">
        <v>79</v>
      </c>
      <c r="G1309" s="12" t="n">
        <v>111.8</v>
      </c>
      <c r="H1309" s="12" t="inlineStr">
        <is>
          <t>PCM: power control module</t>
        </is>
      </c>
      <c r="I1309" s="12" t="inlineStr">
        <is>
          <t>LV 600 V</t>
        </is>
      </c>
      <c r="J1309" s="12" t="inlineStr">
        <is>
          <t>1/0</t>
        </is>
      </c>
      <c r="K1309" s="12" t="n">
        <v>1</v>
      </c>
    </row>
    <row r="1310">
      <c r="A1310" s="12" t="inlineStr">
        <is>
          <t>MOD-EH: 13.8 kV modular collector e-house</t>
        </is>
      </c>
      <c r="B1310" s="12" t="inlineStr">
        <is>
          <t>MOD-EH</t>
        </is>
      </c>
      <c r="C1310" s="12" t="inlineStr">
        <is>
          <t>I</t>
        </is>
      </c>
      <c r="D1310" s="12" t="inlineStr">
        <is>
          <t>LV panel / distribution feeder</t>
        </is>
      </c>
      <c r="E1310" s="12" t="n">
        <v>480</v>
      </c>
      <c r="F1310" s="12" t="n">
        <v>30</v>
      </c>
      <c r="G1310" s="12" t="n">
        <v>42.5</v>
      </c>
      <c r="H1310" s="12" t="inlineStr">
        <is>
          <t>MOD-LV 480 V board + 480 V : 13.8 kV step-up</t>
        </is>
      </c>
      <c r="I1310" s="12" t="inlineStr">
        <is>
          <t>LV 600 V</t>
        </is>
      </c>
      <c r="J1310" s="12" t="inlineStr">
        <is>
          <t>4</t>
        </is>
      </c>
      <c r="K1310" s="12" t="n">
        <v>1</v>
      </c>
    </row>
    <row r="1311">
      <c r="A1311" s="12" t="inlineStr">
        <is>
          <t>MOD-LV 480 V board + 480 V : 13.8 kV step-up</t>
        </is>
      </c>
      <c r="B1311" s="12" t="inlineStr"/>
      <c r="C1311" s="12" t="inlineStr">
        <is>
          <t>I</t>
        </is>
      </c>
      <c r="D1311" s="12" t="inlineStr">
        <is>
          <t>Fuel-cell AC cabinet to MOD-LV</t>
        </is>
      </c>
      <c r="E1311" s="12" t="n">
        <v>480</v>
      </c>
      <c r="F1311" s="12" t="n">
        <v>1000</v>
      </c>
      <c r="G1311" s="12" t="n">
        <v>1266.2</v>
      </c>
      <c r="H1311" s="12" t="inlineStr">
        <is>
          <t>Fuel-cell inverter / AC cabinet / desulfurizer</t>
        </is>
      </c>
      <c r="I1311" s="12" t="inlineStr">
        <is>
          <t>LV 600 V</t>
        </is>
      </c>
      <c r="J1311" s="12" t="inlineStr">
        <is>
          <t>350 kcmil</t>
        </is>
      </c>
      <c r="K1311" s="12" t="n">
        <v>6</v>
      </c>
    </row>
    <row r="1312">
      <c r="A1312" s="12" t="inlineStr">
        <is>
          <t>MOD-LV 480 V board + 480 V : 13.8 kV step-up</t>
        </is>
      </c>
      <c r="B1312" s="12" t="inlineStr"/>
      <c r="C1312" s="12" t="inlineStr">
        <is>
          <t>I</t>
        </is>
      </c>
      <c r="D1312" s="12" t="inlineStr">
        <is>
          <t>Fuel-cell AC cabinet to MOD-LV</t>
        </is>
      </c>
      <c r="E1312" s="12" t="n">
        <v>480</v>
      </c>
      <c r="F1312" s="12" t="n">
        <v>2000</v>
      </c>
      <c r="G1312" s="12" t="n">
        <v>2532.3</v>
      </c>
      <c r="H1312" s="12" t="inlineStr">
        <is>
          <t>FC-5..12 inverter / AC cabinet / desulfurizer</t>
        </is>
      </c>
      <c r="I1312" s="12" t="inlineStr">
        <is>
          <t>LV 600 V</t>
        </is>
      </c>
      <c r="J1312" s="12" t="inlineStr">
        <is>
          <t>500 kcmil</t>
        </is>
      </c>
      <c r="K1312" s="12" t="n">
        <v>12</v>
      </c>
    </row>
    <row r="1313">
      <c r="A1313" s="12" t="inlineStr">
        <is>
          <t>MOD-LV 480 V board + 480 V : 13.8 kV step-up</t>
        </is>
      </c>
      <c r="B1313" s="12" t="inlineStr"/>
      <c r="C1313" s="12" t="inlineStr">
        <is>
          <t>I</t>
        </is>
      </c>
      <c r="D1313" s="12" t="inlineStr">
        <is>
          <t>MT-1 microturbine output</t>
        </is>
      </c>
      <c r="E1313" s="12" t="n">
        <v>480</v>
      </c>
      <c r="F1313" s="12" t="n">
        <v>1000</v>
      </c>
      <c r="G1313" s="12" t="n">
        <v>1266.2</v>
      </c>
      <c r="H1313" s="12" t="inlineStr">
        <is>
          <t>MT-1: microturbine 1 MW (Capstone C1000 class)</t>
        </is>
      </c>
      <c r="I1313" s="12" t="inlineStr">
        <is>
          <t>LV 600 V</t>
        </is>
      </c>
      <c r="J1313" s="12" t="inlineStr">
        <is>
          <t>350 kcmil</t>
        </is>
      </c>
      <c r="K1313" s="12" t="n">
        <v>6</v>
      </c>
    </row>
    <row r="1314">
      <c r="A1314" s="12" t="inlineStr">
        <is>
          <t>MOD-LV 480 V board + 480 V : 13.8 kV step-up</t>
        </is>
      </c>
      <c r="B1314" s="12" t="inlineStr"/>
      <c r="C1314" s="12" t="inlineStr">
        <is>
          <t>I</t>
        </is>
      </c>
      <c r="D1314" s="12" t="inlineStr">
        <is>
          <t>MT-2 microturbine output</t>
        </is>
      </c>
      <c r="E1314" s="12" t="n">
        <v>480</v>
      </c>
      <c r="F1314" s="12" t="n">
        <v>1000</v>
      </c>
      <c r="G1314" s="12" t="n">
        <v>1266.2</v>
      </c>
      <c r="H1314" s="12" t="inlineStr">
        <is>
          <t>MT-2: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MT-3 microturbine output</t>
        </is>
      </c>
      <c r="E1315" s="12" t="n">
        <v>480</v>
      </c>
      <c r="F1315" s="12" t="n">
        <v>1000</v>
      </c>
      <c r="G1315" s="12" t="n">
        <v>1266.2</v>
      </c>
      <c r="H1315" s="12" t="inlineStr">
        <is>
          <t>MT-3: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MT-4 microturbine output</t>
        </is>
      </c>
      <c r="E1316" s="12" t="n">
        <v>480</v>
      </c>
      <c r="F1316" s="12" t="n">
        <v>1000</v>
      </c>
      <c r="G1316" s="12" t="n">
        <v>1266.2</v>
      </c>
      <c r="H1316" s="12" t="inlineStr">
        <is>
          <t>MT-4: microturbine 1 MW (Capstone C1000 class)</t>
        </is>
      </c>
      <c r="I1316" s="12" t="inlineStr">
        <is>
          <t>LV 600 V</t>
        </is>
      </c>
      <c r="J1316" s="12" t="inlineStr">
        <is>
          <t>500 kcmil</t>
        </is>
      </c>
      <c r="K1316" s="12" t="n">
        <v>12</v>
      </c>
    </row>
    <row r="1317">
      <c r="A1317" s="12" t="inlineStr">
        <is>
          <t>MOD-LV 480 V board + 480 V : 13.8 kV step-up</t>
        </is>
      </c>
      <c r="B1317" s="12" t="inlineStr"/>
      <c r="C1317" s="12" t="inlineStr">
        <is>
          <t>I</t>
        </is>
      </c>
      <c r="D1317" s="12" t="inlineStr">
        <is>
          <t>MT-5 microturbine output</t>
        </is>
      </c>
      <c r="E1317" s="12" t="n">
        <v>480</v>
      </c>
      <c r="F1317" s="12" t="n">
        <v>1000</v>
      </c>
      <c r="G1317" s="12" t="n">
        <v>1266.2</v>
      </c>
      <c r="H1317" s="12" t="inlineStr">
        <is>
          <t>MT-5: microturbine 1 MW (Capstone C1000 class)</t>
        </is>
      </c>
      <c r="I1317" s="12" t="inlineStr">
        <is>
          <t>LV 600 V</t>
        </is>
      </c>
      <c r="J1317" s="12" t="inlineStr">
        <is>
          <t>500 kcmil</t>
        </is>
      </c>
      <c r="K1317" s="12" t="n">
        <v>12</v>
      </c>
    </row>
    <row r="1318">
      <c r="A1318" s="12" t="inlineStr">
        <is>
          <t>MOD-LV 480 V board + 480 V : 13.8 kV step-up</t>
        </is>
      </c>
      <c r="B1318" s="12" t="inlineStr"/>
      <c r="C1318" s="12" t="inlineStr">
        <is>
          <t>I</t>
        </is>
      </c>
      <c r="D1318" s="12" t="inlineStr">
        <is>
          <t>MT-6 microturbine output</t>
        </is>
      </c>
      <c r="E1318" s="12" t="n">
        <v>480</v>
      </c>
      <c r="F1318" s="12" t="n">
        <v>1000</v>
      </c>
      <c r="G1318" s="12" t="n">
        <v>1266.2</v>
      </c>
      <c r="H1318" s="12" t="inlineStr">
        <is>
          <t>MT-6: microturbine 1 MW (Capstone C1000 class)</t>
        </is>
      </c>
      <c r="I1318" s="12" t="inlineStr">
        <is>
          <t>LV 600 V</t>
        </is>
      </c>
      <c r="J1318" s="12" t="inlineStr">
        <is>
          <t>500 kcmil</t>
        </is>
      </c>
      <c r="K1318" s="12" t="n">
        <v>12</v>
      </c>
    </row>
    <row r="1319">
      <c r="A1319" s="12" t="inlineStr">
        <is>
          <t>PAD-TX 480 V : 13.8 kV</t>
        </is>
      </c>
      <c r="B1319" s="12" t="inlineStr">
        <is>
          <t>PAD-TX</t>
        </is>
      </c>
      <c r="C1319" s="12" t="inlineStr">
        <is>
          <t>I</t>
        </is>
      </c>
      <c r="D1319" s="12" t="inlineStr">
        <is>
          <t>PAD-LV to PAD-TX</t>
        </is>
      </c>
      <c r="E1319" s="12" t="n">
        <v>480</v>
      </c>
      <c r="F1319" s="12" t="n">
        <v>3000</v>
      </c>
      <c r="G1319" s="12" t="n">
        <v>3600</v>
      </c>
      <c r="H1319" s="12" t="inlineStr">
        <is>
          <t>PAD-LV 480 V paralleling switchboard</t>
        </is>
      </c>
      <c r="I1319" s="12" t="inlineStr">
        <is>
          <t>LV 600 V</t>
        </is>
      </c>
      <c r="J1319" s="12" t="inlineStr">
        <is>
          <t>500 kcmil</t>
        </is>
      </c>
      <c r="K1319" s="12" t="n">
        <v>12</v>
      </c>
    </row>
    <row r="1320">
      <c r="A1320" s="12" t="inlineStr">
        <is>
          <t>PCM: power control module</t>
        </is>
      </c>
      <c r="B1320" s="12" t="inlineStr"/>
      <c r="C1320" s="12" t="inlineStr">
        <is>
          <t>I</t>
        </is>
      </c>
      <c r="D1320" s="12" t="inlineStr">
        <is>
          <t>LV panel / distribution feeder</t>
        </is>
      </c>
      <c r="E1320" s="12" t="n">
        <v>480</v>
      </c>
      <c r="F1320" s="12" t="n">
        <v>38</v>
      </c>
      <c r="G1320" s="12" t="n">
        <v>53.8</v>
      </c>
      <c r="H1320" s="12" t="inlineStr">
        <is>
          <t>PCM: power control module</t>
        </is>
      </c>
      <c r="I1320" s="12" t="inlineStr">
        <is>
          <t>LV 600 V</t>
        </is>
      </c>
      <c r="J1320" s="12" t="inlineStr">
        <is>
          <t>4</t>
        </is>
      </c>
      <c r="K1320" s="12" t="n">
        <v>1</v>
      </c>
    </row>
    <row r="1321">
      <c r="A1321" s="12" t="inlineStr">
        <is>
          <t>RICE 1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1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1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1</t>
        </is>
      </c>
      <c r="K1323" s="12" t="n">
        <v>1</v>
      </c>
    </row>
    <row r="1324">
      <c r="A1324" s="12" t="inlineStr">
        <is>
          <t>RICE 1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2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2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2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2</t>
        </is>
      </c>
      <c r="K1330" s="12" t="n">
        <v>1</v>
      </c>
    </row>
    <row r="1331">
      <c r="A1331" s="12" t="inlineStr">
        <is>
          <t>RICE 2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3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3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3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3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4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4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5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5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6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6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7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7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7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8</t>
        </is>
      </c>
      <c r="K1370" s="12" t="n">
        <v>1</v>
      </c>
    </row>
    <row r="1371">
      <c r="A1371" s="12" t="inlineStr">
        <is>
          <t>RICE 8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8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8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CEMS</t>
        </is>
      </c>
      <c r="B1377" s="12" t="inlineStr"/>
      <c r="C1377" s="12" t="inlineStr">
        <is>
          <t>I</t>
        </is>
      </c>
      <c r="D1377" s="12" t="inlineStr">
        <is>
          <t>LV panel / distribution feeder</t>
        </is>
      </c>
      <c r="E1377" s="12" t="n">
        <v>480</v>
      </c>
      <c r="F1377" s="12" t="n">
        <v>30</v>
      </c>
      <c r="G1377" s="12" t="n">
        <v>42.5</v>
      </c>
      <c r="H1377" s="12" t="inlineStr">
        <is>
          <t>PCM: power control module</t>
        </is>
      </c>
      <c r="I1377" s="12" t="inlineStr">
        <is>
          <t>LV 600 V</t>
        </is>
      </c>
      <c r="J1377" s="12" t="inlineStr">
        <is>
          <t>4</t>
        </is>
      </c>
      <c r="K1377" s="12" t="n">
        <v>1</v>
      </c>
    </row>
    <row r="1378">
      <c r="A1378" s="12" t="inlineStr">
        <is>
          <t>RICE engine hall (8 engines)</t>
        </is>
      </c>
      <c r="B1378" s="12" t="inlineStr">
        <is>
          <t>RICE</t>
        </is>
      </c>
      <c r="C1378" s="12" t="inlineStr">
        <is>
          <t>I</t>
        </is>
      </c>
      <c r="D1378" s="12" t="inlineStr">
        <is>
          <t>LV power feeder</t>
        </is>
      </c>
      <c r="E1378" s="12" t="n">
        <v>480</v>
      </c>
      <c r="F1378" s="12" t="n">
        <v>15</v>
      </c>
      <c r="G1378" s="12" t="n">
        <v>21.2</v>
      </c>
      <c r="H1378" s="12" t="inlineStr">
        <is>
          <t>PCM: power control module</t>
        </is>
      </c>
      <c r="I1378" s="12" t="inlineStr">
        <is>
          <t>LV 600 V</t>
        </is>
      </c>
      <c r="J1378" s="12" t="inlineStr">
        <is>
          <t>8</t>
        </is>
      </c>
      <c r="K1378" s="12" t="n">
        <v>1</v>
      </c>
    </row>
    <row r="1379">
      <c r="A1379" s="12" t="inlineStr">
        <is>
          <t>RICE engine-generator 1</t>
        </is>
      </c>
      <c r="B1379" s="12" t="inlineStr">
        <is>
          <t>RICE-1</t>
        </is>
      </c>
      <c r="C1379" s="12" t="inlineStr">
        <is>
          <t>I</t>
        </is>
      </c>
      <c r="D1379" s="12" t="inlineStr">
        <is>
          <t>Motor 1 of 6, 22 kW</t>
        </is>
      </c>
      <c r="E1379" s="12" t="n">
        <v>480</v>
      </c>
      <c r="F1379" s="12" t="n">
        <v>22</v>
      </c>
      <c r="G1379" s="12" t="n">
        <v>31.1</v>
      </c>
      <c r="H1379" s="12" t="inlineStr">
        <is>
          <t>PCM: power control module</t>
        </is>
      </c>
      <c r="I1379" s="12" t="inlineStr">
        <is>
          <t>LV 600 V</t>
        </is>
      </c>
      <c r="J1379" s="12" t="inlineStr">
        <is>
          <t>4</t>
        </is>
      </c>
      <c r="K1379" s="12" t="n">
        <v>1</v>
      </c>
    </row>
    <row r="1380">
      <c r="A1380" s="12" t="inlineStr">
        <is>
          <t>RICE engine-generator 1</t>
        </is>
      </c>
      <c r="B1380" s="12" t="inlineStr">
        <is>
          <t>RICE-1</t>
        </is>
      </c>
      <c r="C1380" s="12" t="inlineStr">
        <is>
          <t>I</t>
        </is>
      </c>
      <c r="D1380" s="12" t="inlineStr">
        <is>
          <t>Motor 2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3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4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5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6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480 V welding receptacle 1</t>
        </is>
      </c>
      <c r="E1385" s="12" t="n">
        <v>480</v>
      </c>
      <c r="F1385" s="12" t="n">
        <v>60</v>
      </c>
      <c r="G1385" s="12" t="n">
        <v>76</v>
      </c>
      <c r="H1385" s="12" t="inlineStr">
        <is>
          <t>PCM: power control module</t>
        </is>
      </c>
      <c r="I1385" s="12" t="inlineStr">
        <is>
          <t>LV 600 V</t>
        </is>
      </c>
      <c r="J1385" s="12" t="inlineStr">
        <is>
          <t>1/0</t>
        </is>
      </c>
      <c r="K1385" s="12" t="n">
        <v>1</v>
      </c>
    </row>
    <row r="1386">
      <c r="A1386" s="12" t="inlineStr">
        <is>
          <t>RICE engine-generator 1</t>
        </is>
      </c>
      <c r="B1386" s="12" t="inlineStr">
        <is>
          <t>RICE-1</t>
        </is>
      </c>
      <c r="C1386" s="12" t="inlineStr">
        <is>
          <t>I</t>
        </is>
      </c>
      <c r="D1386" s="12" t="inlineStr">
        <is>
          <t>480 V welding receptacle 2</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3</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4</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Motor 1 of 6, 22 kW</t>
        </is>
      </c>
      <c r="E1389" s="12" t="n">
        <v>480</v>
      </c>
      <c r="F1389" s="12" t="n">
        <v>22</v>
      </c>
      <c r="G1389" s="12" t="n">
        <v>31.1</v>
      </c>
      <c r="H1389" s="12" t="inlineStr">
        <is>
          <t>PCM: power control module</t>
        </is>
      </c>
      <c r="I1389" s="12" t="inlineStr">
        <is>
          <t>LV 600 V</t>
        </is>
      </c>
      <c r="J1389" s="12" t="inlineStr">
        <is>
          <t>4</t>
        </is>
      </c>
      <c r="K1389" s="12" t="n">
        <v>1</v>
      </c>
    </row>
    <row r="1390">
      <c r="A1390" s="12" t="inlineStr">
        <is>
          <t>RICE engine-generator 2</t>
        </is>
      </c>
      <c r="B1390" s="12" t="inlineStr">
        <is>
          <t>RICE-2</t>
        </is>
      </c>
      <c r="C1390" s="12" t="inlineStr">
        <is>
          <t>I</t>
        </is>
      </c>
      <c r="D1390" s="12" t="inlineStr">
        <is>
          <t>Motor 2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3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4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5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6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480 V welding receptacle 1</t>
        </is>
      </c>
      <c r="E1395" s="12" t="n">
        <v>480</v>
      </c>
      <c r="F1395" s="12" t="n">
        <v>60</v>
      </c>
      <c r="G1395" s="12" t="n">
        <v>76</v>
      </c>
      <c r="H1395" s="12" t="inlineStr">
        <is>
          <t>PCM: power control module</t>
        </is>
      </c>
      <c r="I1395" s="12" t="inlineStr">
        <is>
          <t>LV 600 V</t>
        </is>
      </c>
      <c r="J1395" s="12" t="inlineStr">
        <is>
          <t>1/0</t>
        </is>
      </c>
      <c r="K1395" s="12" t="n">
        <v>1</v>
      </c>
    </row>
    <row r="1396">
      <c r="A1396" s="12" t="inlineStr">
        <is>
          <t>RICE engine-generator 2</t>
        </is>
      </c>
      <c r="B1396" s="12" t="inlineStr">
        <is>
          <t>RICE-2</t>
        </is>
      </c>
      <c r="C1396" s="12" t="inlineStr">
        <is>
          <t>I</t>
        </is>
      </c>
      <c r="D1396" s="12" t="inlineStr">
        <is>
          <t>480 V welding receptacle 2</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3</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4</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3</t>
        </is>
      </c>
      <c r="B1399" s="12" t="inlineStr">
        <is>
          <t>RICE-3</t>
        </is>
      </c>
      <c r="C1399" s="12" t="inlineStr">
        <is>
          <t>I</t>
        </is>
      </c>
      <c r="D1399" s="12" t="inlineStr">
        <is>
          <t>Motor 1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3</t>
        </is>
      </c>
      <c r="B1400" s="12" t="inlineStr">
        <is>
          <t>RICE-3</t>
        </is>
      </c>
      <c r="C1400" s="12" t="inlineStr">
        <is>
          <t>I</t>
        </is>
      </c>
      <c r="D1400" s="12" t="inlineStr">
        <is>
          <t>Motor 2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3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4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5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6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480 V welding receptacle 1</t>
        </is>
      </c>
      <c r="E1405" s="12" t="n">
        <v>480</v>
      </c>
      <c r="F1405" s="12" t="n">
        <v>60</v>
      </c>
      <c r="G1405" s="12" t="n">
        <v>76</v>
      </c>
      <c r="H1405" s="12" t="inlineStr">
        <is>
          <t>PCM: power control module</t>
        </is>
      </c>
      <c r="I1405" s="12" t="inlineStr">
        <is>
          <t>LV 600 V</t>
        </is>
      </c>
      <c r="J1405" s="12" t="inlineStr">
        <is>
          <t>1</t>
        </is>
      </c>
      <c r="K1405" s="12" t="n">
        <v>1</v>
      </c>
    </row>
    <row r="1406">
      <c r="A1406" s="12" t="inlineStr">
        <is>
          <t>RICE engine-generator 3</t>
        </is>
      </c>
      <c r="B1406" s="12" t="inlineStr">
        <is>
          <t>RICE-3</t>
        </is>
      </c>
      <c r="C1406" s="12" t="inlineStr">
        <is>
          <t>I</t>
        </is>
      </c>
      <c r="D1406" s="12" t="inlineStr">
        <is>
          <t>480 V welding receptacle 2</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3</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4</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Motor 1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4</t>
        </is>
      </c>
      <c r="B1410" s="12" t="inlineStr">
        <is>
          <t>RICE-4</t>
        </is>
      </c>
      <c r="C1410" s="12" t="inlineStr">
        <is>
          <t>I</t>
        </is>
      </c>
      <c r="D1410" s="12" t="inlineStr">
        <is>
          <t>Motor 2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3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4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5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6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480 V welding receptacle 1</t>
        </is>
      </c>
      <c r="E1415" s="12" t="n">
        <v>480</v>
      </c>
      <c r="F1415" s="12" t="n">
        <v>60</v>
      </c>
      <c r="G1415" s="12" t="n">
        <v>76</v>
      </c>
      <c r="H1415" s="12" t="inlineStr">
        <is>
          <t>PCM: power control module</t>
        </is>
      </c>
      <c r="I1415" s="12" t="inlineStr">
        <is>
          <t>LV 600 V</t>
        </is>
      </c>
      <c r="J1415" s="12" t="inlineStr">
        <is>
          <t>1</t>
        </is>
      </c>
      <c r="K1415" s="12" t="n">
        <v>1</v>
      </c>
    </row>
    <row r="1416">
      <c r="A1416" s="12" t="inlineStr">
        <is>
          <t>RICE engine-generator 4</t>
        </is>
      </c>
      <c r="B1416" s="12" t="inlineStr">
        <is>
          <t>RICE-4</t>
        </is>
      </c>
      <c r="C1416" s="12" t="inlineStr">
        <is>
          <t>I</t>
        </is>
      </c>
      <c r="D1416" s="12" t="inlineStr">
        <is>
          <t>480 V welding receptacle 2</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3</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4</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Motor 1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5</t>
        </is>
      </c>
      <c r="B1420" s="12" t="inlineStr">
        <is>
          <t>RICE-5</t>
        </is>
      </c>
      <c r="C1420" s="12" t="inlineStr">
        <is>
          <t>I</t>
        </is>
      </c>
      <c r="D1420" s="12" t="inlineStr">
        <is>
          <t>Motor 2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3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4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5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6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480 V welding receptacle 1</t>
        </is>
      </c>
      <c r="E1425" s="12" t="n">
        <v>480</v>
      </c>
      <c r="F1425" s="12" t="n">
        <v>60</v>
      </c>
      <c r="G1425" s="12" t="n">
        <v>76</v>
      </c>
      <c r="H1425" s="12" t="inlineStr">
        <is>
          <t>PCM: power control module</t>
        </is>
      </c>
      <c r="I1425" s="12" t="inlineStr">
        <is>
          <t>LV 600 V</t>
        </is>
      </c>
      <c r="J1425" s="12" t="inlineStr">
        <is>
          <t>1</t>
        </is>
      </c>
      <c r="K1425" s="12" t="n">
        <v>1</v>
      </c>
    </row>
    <row r="1426">
      <c r="A1426" s="12" t="inlineStr">
        <is>
          <t>RICE engine-generator 5</t>
        </is>
      </c>
      <c r="B1426" s="12" t="inlineStr">
        <is>
          <t>RICE-5</t>
        </is>
      </c>
      <c r="C1426" s="12" t="inlineStr">
        <is>
          <t>I</t>
        </is>
      </c>
      <c r="D1426" s="12" t="inlineStr">
        <is>
          <t>480 V welding receptacle 2</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3</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4</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Motor 1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6</t>
        </is>
      </c>
      <c r="B1430" s="12" t="inlineStr">
        <is>
          <t>RICE-6</t>
        </is>
      </c>
      <c r="C1430" s="12" t="inlineStr">
        <is>
          <t>I</t>
        </is>
      </c>
      <c r="D1430" s="12" t="inlineStr">
        <is>
          <t>Motor 2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3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4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5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6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480 V welding receptacle 1</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6</t>
        </is>
      </c>
      <c r="B1436" s="12" t="inlineStr">
        <is>
          <t>RICE-6</t>
        </is>
      </c>
      <c r="C1436" s="12" t="inlineStr">
        <is>
          <t>I</t>
        </is>
      </c>
      <c r="D1436" s="12" t="inlineStr">
        <is>
          <t>480 V welding receptacle 2</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3</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4</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7</t>
        </is>
      </c>
      <c r="B1439" s="12" t="inlineStr">
        <is>
          <t>RICE-7</t>
        </is>
      </c>
      <c r="C1439" s="12" t="inlineStr">
        <is>
          <t>I</t>
        </is>
      </c>
      <c r="D1439" s="12" t="inlineStr">
        <is>
          <t>Motor 1 of 6, 22 kW</t>
        </is>
      </c>
      <c r="E1439" s="12" t="n">
        <v>480</v>
      </c>
      <c r="F1439" s="12" t="n">
        <v>22</v>
      </c>
      <c r="G1439" s="12" t="n">
        <v>31.1</v>
      </c>
      <c r="H1439" s="12" t="inlineStr">
        <is>
          <t>PCM: power control module</t>
        </is>
      </c>
      <c r="I1439" s="12" t="inlineStr">
        <is>
          <t>LV 600 V</t>
        </is>
      </c>
      <c r="J1439" s="12" t="inlineStr">
        <is>
          <t>8</t>
        </is>
      </c>
      <c r="K1439" s="12" t="n">
        <v>1</v>
      </c>
    </row>
    <row r="1440">
      <c r="A1440" s="12" t="inlineStr">
        <is>
          <t>RICE engine-generator 7</t>
        </is>
      </c>
      <c r="B1440" s="12" t="inlineStr">
        <is>
          <t>RICE-7</t>
        </is>
      </c>
      <c r="C1440" s="12" t="inlineStr">
        <is>
          <t>I</t>
        </is>
      </c>
      <c r="D1440" s="12" t="inlineStr">
        <is>
          <t>Motor 2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3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4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5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6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480 V welding receptacle 1</t>
        </is>
      </c>
      <c r="E1445" s="12" t="n">
        <v>480</v>
      </c>
      <c r="F1445" s="12" t="n">
        <v>60</v>
      </c>
      <c r="G1445" s="12" t="n">
        <v>76</v>
      </c>
      <c r="H1445" s="12" t="inlineStr">
        <is>
          <t>PCM: power control module</t>
        </is>
      </c>
      <c r="I1445" s="12" t="inlineStr">
        <is>
          <t>LV 600 V</t>
        </is>
      </c>
      <c r="J1445" s="12" t="inlineStr">
        <is>
          <t>2</t>
        </is>
      </c>
      <c r="K1445" s="12" t="n">
        <v>1</v>
      </c>
    </row>
    <row r="1446">
      <c r="A1446" s="12" t="inlineStr">
        <is>
          <t>RICE engine-generator 7</t>
        </is>
      </c>
      <c r="B1446" s="12" t="inlineStr">
        <is>
          <t>RICE-7</t>
        </is>
      </c>
      <c r="C1446" s="12" t="inlineStr">
        <is>
          <t>I</t>
        </is>
      </c>
      <c r="D1446" s="12" t="inlineStr">
        <is>
          <t>480 V welding receptacle 2</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3</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4</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Motor 1 of 6, 22 kW</t>
        </is>
      </c>
      <c r="E1449" s="12" t="n">
        <v>480</v>
      </c>
      <c r="F1449" s="12" t="n">
        <v>22</v>
      </c>
      <c r="G1449" s="12" t="n">
        <v>31.1</v>
      </c>
      <c r="H1449" s="12" t="inlineStr">
        <is>
          <t>PCM: power control module</t>
        </is>
      </c>
      <c r="I1449" s="12" t="inlineStr">
        <is>
          <t>LV 600 V</t>
        </is>
      </c>
      <c r="J1449" s="12" t="inlineStr">
        <is>
          <t>8</t>
        </is>
      </c>
      <c r="K1449" s="12" t="n">
        <v>1</v>
      </c>
    </row>
    <row r="1450">
      <c r="A1450" s="12" t="inlineStr">
        <is>
          <t>RICE engine-generator 8</t>
        </is>
      </c>
      <c r="B1450" s="12" t="inlineStr">
        <is>
          <t>RICE-8</t>
        </is>
      </c>
      <c r="C1450" s="12" t="inlineStr">
        <is>
          <t>I</t>
        </is>
      </c>
      <c r="D1450" s="12" t="inlineStr">
        <is>
          <t>Motor 2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3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4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5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6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480 V welding receptacle 1</t>
        </is>
      </c>
      <c r="E1455" s="12" t="n">
        <v>480</v>
      </c>
      <c r="F1455" s="12" t="n">
        <v>60</v>
      </c>
      <c r="G1455" s="12" t="n">
        <v>76</v>
      </c>
      <c r="H1455" s="12" t="inlineStr">
        <is>
          <t>PCM: power control module</t>
        </is>
      </c>
      <c r="I1455" s="12" t="inlineStr">
        <is>
          <t>LV 600 V</t>
        </is>
      </c>
      <c r="J1455" s="12" t="inlineStr">
        <is>
          <t>2</t>
        </is>
      </c>
      <c r="K1455" s="12" t="n">
        <v>1</v>
      </c>
    </row>
    <row r="1456">
      <c r="A1456" s="12" t="inlineStr">
        <is>
          <t>RICE engine-generator 8</t>
        </is>
      </c>
      <c r="B1456" s="12" t="inlineStr">
        <is>
          <t>RICE-8</t>
        </is>
      </c>
      <c r="C1456" s="12" t="inlineStr">
        <is>
          <t>I</t>
        </is>
      </c>
      <c r="D1456" s="12" t="inlineStr">
        <is>
          <t>480 V welding receptacle 2</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3</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4</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Reagent storage</t>
        </is>
      </c>
      <c r="B1459" s="12" t="inlineStr"/>
      <c r="C1459" s="12" t="inlineStr">
        <is>
          <t>I</t>
        </is>
      </c>
      <c r="D1459" s="12" t="inlineStr">
        <is>
          <t>LV power feeder</t>
        </is>
      </c>
      <c r="E1459" s="12" t="n">
        <v>480</v>
      </c>
      <c r="F1459" s="12" t="n">
        <v>15</v>
      </c>
      <c r="G1459" s="12" t="n">
        <v>21.2</v>
      </c>
      <c r="H1459" s="12" t="inlineStr">
        <is>
          <t>PCM: power control module</t>
        </is>
      </c>
      <c r="I1459" s="12" t="inlineStr">
        <is>
          <t>LV 600 V</t>
        </is>
      </c>
      <c r="J1459" s="12" t="inlineStr">
        <is>
          <t>10</t>
        </is>
      </c>
      <c r="K1459" s="12" t="n">
        <v>1</v>
      </c>
    </row>
    <row r="1460">
      <c r="A1460" s="12" t="inlineStr">
        <is>
          <t>SC-1 SCR / CO catalyst</t>
        </is>
      </c>
      <c r="B1460" s="12" t="inlineStr"/>
      <c r="C1460" s="12" t="inlineStr">
        <is>
          <t>I</t>
        </is>
      </c>
      <c r="D1460" s="12" t="inlineStr">
        <is>
          <t>Motor 1 of 2,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SCR / CO catalyst</t>
        </is>
      </c>
      <c r="B1461" s="12" t="inlineStr"/>
      <c r="C1461" s="12" t="inlineStr">
        <is>
          <t>I</t>
        </is>
      </c>
      <c r="D1461" s="12" t="inlineStr">
        <is>
          <t>Motor 2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lube-oil fin-fan cooler</t>
        </is>
      </c>
      <c r="B1462" s="12" t="inlineStr"/>
      <c r="C1462" s="12" t="inlineStr">
        <is>
          <t>I</t>
        </is>
      </c>
      <c r="D1462" s="12" t="inlineStr">
        <is>
          <t>Motor 1 of 4, 15 kW</t>
        </is>
      </c>
      <c r="E1462" s="12" t="n">
        <v>480</v>
      </c>
      <c r="F1462" s="12" t="n">
        <v>15</v>
      </c>
      <c r="G1462" s="12" t="n">
        <v>21.2</v>
      </c>
      <c r="H1462" s="12" t="inlineStr">
        <is>
          <t>PCM: power control module</t>
        </is>
      </c>
      <c r="I1462" s="12" t="inlineStr">
        <is>
          <t>LV 600 V</t>
        </is>
      </c>
      <c r="J1462" s="12" t="inlineStr">
        <is>
          <t>10</t>
        </is>
      </c>
      <c r="K1462" s="12" t="n">
        <v>1</v>
      </c>
    </row>
    <row r="1463">
      <c r="A1463" s="12" t="inlineStr">
        <is>
          <t>SC-1 lube-oil fin-fan cooler</t>
        </is>
      </c>
      <c r="B1463" s="12" t="inlineStr"/>
      <c r="C1463" s="12" t="inlineStr">
        <is>
          <t>I</t>
        </is>
      </c>
      <c r="D1463" s="12" t="inlineStr">
        <is>
          <t>Motor 2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3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4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stack (80 ft)</t>
        </is>
      </c>
      <c r="B1466" s="12" t="inlineStr"/>
      <c r="C1466" s="12" t="inlineStr">
        <is>
          <t>I</t>
        </is>
      </c>
      <c r="D1466" s="12" t="inlineStr">
        <is>
          <t>Area / platform lighting circuit 1 (4 fixtures)</t>
        </is>
      </c>
      <c r="E1466" s="12" t="n">
        <v>480</v>
      </c>
      <c r="F1466" s="12" t="n">
        <v>3</v>
      </c>
      <c r="G1466" s="12" t="n">
        <v>5</v>
      </c>
      <c r="H1466" s="12" t="inlineStr">
        <is>
          <t>PCM: power control module</t>
        </is>
      </c>
      <c r="I1466" s="12" t="inlineStr">
        <is>
          <t>LV 600 V</t>
        </is>
      </c>
      <c r="J1466" s="12" t="inlineStr">
        <is>
          <t>2</t>
        </is>
      </c>
      <c r="K1466" s="12" t="n">
        <v>1</v>
      </c>
    </row>
    <row r="1467">
      <c r="A1467" s="12" t="inlineStr">
        <is>
          <t>SC-1: aeroderivative simple-cycle unit (LM6000 class)</t>
        </is>
      </c>
      <c r="B1467" s="12" t="inlineStr">
        <is>
          <t>SC-1</t>
        </is>
      </c>
      <c r="C1467" s="12" t="inlineStr">
        <is>
          <t>I</t>
        </is>
      </c>
      <c r="D1467" s="12" t="inlineStr">
        <is>
          <t>Motor 1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2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3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4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5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6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7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8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9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10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SC-2 SCR / CO catalyst</t>
        </is>
      </c>
      <c r="B1477" s="12" t="inlineStr"/>
      <c r="C1477" s="12" t="inlineStr">
        <is>
          <t>I</t>
        </is>
      </c>
      <c r="D1477" s="12" t="inlineStr">
        <is>
          <t>Motor 1 of 2,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SCR / CO catalyst</t>
        </is>
      </c>
      <c r="B1478" s="12" t="inlineStr"/>
      <c r="C1478" s="12" t="inlineStr">
        <is>
          <t>I</t>
        </is>
      </c>
      <c r="D1478" s="12" t="inlineStr">
        <is>
          <t>Motor 2 of 2,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lube-oil fin-fan cooler</t>
        </is>
      </c>
      <c r="B1479" s="12" t="inlineStr"/>
      <c r="C1479" s="12" t="inlineStr">
        <is>
          <t>I</t>
        </is>
      </c>
      <c r="D1479" s="12" t="inlineStr">
        <is>
          <t>Motor 1 of 4, 15 kW</t>
        </is>
      </c>
      <c r="E1479" s="12" t="n">
        <v>480</v>
      </c>
      <c r="F1479" s="12" t="n">
        <v>15</v>
      </c>
      <c r="G1479" s="12" t="n">
        <v>21.2</v>
      </c>
      <c r="H1479" s="12" t="inlineStr">
        <is>
          <t>MOD-LV 480 V board + 480 V : 13.8 kV step-up</t>
        </is>
      </c>
      <c r="I1479" s="12" t="inlineStr">
        <is>
          <t>LV 600 V</t>
        </is>
      </c>
      <c r="J1479" s="12" t="inlineStr">
        <is>
          <t>3/0</t>
        </is>
      </c>
      <c r="K1479" s="12" t="n">
        <v>1</v>
      </c>
    </row>
    <row r="1480">
      <c r="A1480" s="12" t="inlineStr">
        <is>
          <t>SC-2 lube-oil fin-fan cooler</t>
        </is>
      </c>
      <c r="B1480" s="12" t="inlineStr"/>
      <c r="C1480" s="12" t="inlineStr">
        <is>
          <t>I</t>
        </is>
      </c>
      <c r="D1480" s="12" t="inlineStr">
        <is>
          <t>Motor 2 of 4, 15 kW</t>
        </is>
      </c>
      <c r="E1480" s="12" t="n">
        <v>480</v>
      </c>
      <c r="F1480" s="12" t="n">
        <v>15</v>
      </c>
      <c r="G1480" s="12" t="n">
        <v>21.2</v>
      </c>
      <c r="H1480" s="12" t="inlineStr">
        <is>
          <t>MOD-LV 480 V board + 480 V : 13.8 kV step-up</t>
        </is>
      </c>
      <c r="I1480" s="12" t="inlineStr">
        <is>
          <t>LV 600 V</t>
        </is>
      </c>
      <c r="J1480" s="12" t="inlineStr">
        <is>
          <t>3/0</t>
        </is>
      </c>
      <c r="K1480" s="12" t="n">
        <v>1</v>
      </c>
    </row>
    <row r="1481">
      <c r="A1481" s="12" t="inlineStr">
        <is>
          <t>SC-2 lube-oil fin-fan cooler</t>
        </is>
      </c>
      <c r="B1481" s="12" t="inlineStr"/>
      <c r="C1481" s="12" t="inlineStr">
        <is>
          <t>I</t>
        </is>
      </c>
      <c r="D1481" s="12" t="inlineStr">
        <is>
          <t>Motor 3 of 4, 15 kW</t>
        </is>
      </c>
      <c r="E1481" s="12" t="n">
        <v>480</v>
      </c>
      <c r="F1481" s="12" t="n">
        <v>15</v>
      </c>
      <c r="G1481" s="12" t="n">
        <v>21.2</v>
      </c>
      <c r="H1481" s="12" t="inlineStr">
        <is>
          <t>MOD-LV 480 V board + 480 V : 13.8 kV step-up</t>
        </is>
      </c>
      <c r="I1481" s="12" t="inlineStr">
        <is>
          <t>LV 600 V</t>
        </is>
      </c>
      <c r="J1481" s="12" t="inlineStr">
        <is>
          <t>3/0</t>
        </is>
      </c>
      <c r="K1481" s="12" t="n">
        <v>1</v>
      </c>
    </row>
    <row r="1482">
      <c r="A1482" s="12" t="inlineStr">
        <is>
          <t>SC-2 lube-oil fin-fan cooler</t>
        </is>
      </c>
      <c r="B1482" s="12" t="inlineStr"/>
      <c r="C1482" s="12" t="inlineStr">
        <is>
          <t>I</t>
        </is>
      </c>
      <c r="D1482" s="12" t="inlineStr">
        <is>
          <t>Motor 4 of 4, 15 kW</t>
        </is>
      </c>
      <c r="E1482" s="12" t="n">
        <v>480</v>
      </c>
      <c r="F1482" s="12" t="n">
        <v>15</v>
      </c>
      <c r="G1482" s="12" t="n">
        <v>21.2</v>
      </c>
      <c r="H1482" s="12" t="inlineStr">
        <is>
          <t>MOD-LV 480 V board + 480 V : 13.8 kV step-up</t>
        </is>
      </c>
      <c r="I1482" s="12" t="inlineStr">
        <is>
          <t>LV 600 V</t>
        </is>
      </c>
      <c r="J1482" s="12" t="inlineStr">
        <is>
          <t>3/0</t>
        </is>
      </c>
      <c r="K1482" s="12" t="n">
        <v>1</v>
      </c>
    </row>
    <row r="1483">
      <c r="A1483" s="12" t="inlineStr">
        <is>
          <t>SC-2 stack (80 ft)</t>
        </is>
      </c>
      <c r="B1483" s="12" t="inlineStr"/>
      <c r="C1483" s="12" t="inlineStr">
        <is>
          <t>I</t>
        </is>
      </c>
      <c r="D1483" s="12" t="inlineStr">
        <is>
          <t>Area / platform lighting circuit 1 (4 fixtures)</t>
        </is>
      </c>
      <c r="E1483" s="12" t="n">
        <v>480</v>
      </c>
      <c r="F1483" s="12" t="n">
        <v>3</v>
      </c>
      <c r="G1483" s="12" t="n">
        <v>5</v>
      </c>
      <c r="H1483" s="12" t="inlineStr">
        <is>
          <t>MOD-LV 480 V board + 480 V : 13.8 kV step-up</t>
        </is>
      </c>
      <c r="I1483" s="12" t="inlineStr">
        <is>
          <t>LV 600 V</t>
        </is>
      </c>
      <c r="J1483" s="12" t="inlineStr">
        <is>
          <t>4</t>
        </is>
      </c>
      <c r="K1483" s="12" t="n">
        <v>1</v>
      </c>
    </row>
    <row r="1484">
      <c r="A1484" s="12" t="inlineStr">
        <is>
          <t>SC-2: aeroderivative simple-cycle unit (LM6000 class)</t>
        </is>
      </c>
      <c r="B1484" s="12" t="inlineStr">
        <is>
          <t>SC-2</t>
        </is>
      </c>
      <c r="C1484" s="12" t="inlineStr">
        <is>
          <t>I</t>
        </is>
      </c>
      <c r="D1484" s="12" t="inlineStr">
        <is>
          <t>Motor 1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2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3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SC-2: aeroderivative simple-cycle unit (LM6000 class)</t>
        </is>
      </c>
      <c r="B1487" s="12" t="inlineStr">
        <is>
          <t>SC-2</t>
        </is>
      </c>
      <c r="C1487" s="12" t="inlineStr">
        <is>
          <t>I</t>
        </is>
      </c>
      <c r="D1487" s="12" t="inlineStr">
        <is>
          <t>Motor 4 of 10, 30 kW</t>
        </is>
      </c>
      <c r="E1487" s="12" t="n">
        <v>480</v>
      </c>
      <c r="F1487" s="12" t="n">
        <v>30</v>
      </c>
      <c r="G1487" s="12" t="n">
        <v>42.5</v>
      </c>
      <c r="H1487" s="12" t="inlineStr">
        <is>
          <t>MOD-LV 480 V board + 480 V : 13.8 kV step-up</t>
        </is>
      </c>
      <c r="I1487" s="12" t="inlineStr">
        <is>
          <t>LV 600 V</t>
        </is>
      </c>
      <c r="J1487" s="12" t="inlineStr">
        <is>
          <t>350 kcmil</t>
        </is>
      </c>
      <c r="K1487" s="12" t="n">
        <v>1</v>
      </c>
    </row>
    <row r="1488">
      <c r="A1488" s="12" t="inlineStr">
        <is>
          <t>SC-2: aeroderivative simple-cycle unit (LM6000 class)</t>
        </is>
      </c>
      <c r="B1488" s="12" t="inlineStr">
        <is>
          <t>SC-2</t>
        </is>
      </c>
      <c r="C1488" s="12" t="inlineStr">
        <is>
          <t>I</t>
        </is>
      </c>
      <c r="D1488" s="12" t="inlineStr">
        <is>
          <t>Motor 5 of 10, 30 kW</t>
        </is>
      </c>
      <c r="E1488" s="12" t="n">
        <v>480</v>
      </c>
      <c r="F1488" s="12" t="n">
        <v>30</v>
      </c>
      <c r="G1488" s="12" t="n">
        <v>42.5</v>
      </c>
      <c r="H1488" s="12" t="inlineStr">
        <is>
          <t>MOD-LV 480 V board + 480 V : 13.8 kV step-up</t>
        </is>
      </c>
      <c r="I1488" s="12" t="inlineStr">
        <is>
          <t>LV 600 V</t>
        </is>
      </c>
      <c r="J1488" s="12" t="inlineStr">
        <is>
          <t>350 kcmil</t>
        </is>
      </c>
      <c r="K1488" s="12" t="n">
        <v>1</v>
      </c>
    </row>
    <row r="1489">
      <c r="A1489" s="12" t="inlineStr">
        <is>
          <t>SC-2: aeroderivative simple-cycle unit (LM6000 class)</t>
        </is>
      </c>
      <c r="B1489" s="12" t="inlineStr">
        <is>
          <t>SC-2</t>
        </is>
      </c>
      <c r="C1489" s="12" t="inlineStr">
        <is>
          <t>I</t>
        </is>
      </c>
      <c r="D1489" s="12" t="inlineStr">
        <is>
          <t>Motor 6 of 10, 30 kW</t>
        </is>
      </c>
      <c r="E1489" s="12" t="n">
        <v>480</v>
      </c>
      <c r="F1489" s="12" t="n">
        <v>30</v>
      </c>
      <c r="G1489" s="12" t="n">
        <v>42.5</v>
      </c>
      <c r="H1489" s="12" t="inlineStr">
        <is>
          <t>MOD-LV 480 V board + 480 V : 13.8 kV step-up</t>
        </is>
      </c>
      <c r="I1489" s="12" t="inlineStr">
        <is>
          <t>LV 600 V</t>
        </is>
      </c>
      <c r="J1489" s="12" t="inlineStr">
        <is>
          <t>350 kcmil</t>
        </is>
      </c>
      <c r="K1489" s="12" t="n">
        <v>1</v>
      </c>
    </row>
    <row r="1490">
      <c r="A1490" s="12" t="inlineStr">
        <is>
          <t>SC-2: aeroderivative simple-cycle unit (LM6000 class)</t>
        </is>
      </c>
      <c r="B1490" s="12" t="inlineStr">
        <is>
          <t>SC-2</t>
        </is>
      </c>
      <c r="C1490" s="12" t="inlineStr">
        <is>
          <t>I</t>
        </is>
      </c>
      <c r="D1490" s="12" t="inlineStr">
        <is>
          <t>Motor 7 of 10, 30 kW</t>
        </is>
      </c>
      <c r="E1490" s="12" t="n">
        <v>480</v>
      </c>
      <c r="F1490" s="12" t="n">
        <v>30</v>
      </c>
      <c r="G1490" s="12" t="n">
        <v>42.5</v>
      </c>
      <c r="H1490" s="12" t="inlineStr">
        <is>
          <t>MOD-LV 480 V board + 480 V : 13.8 kV step-up</t>
        </is>
      </c>
      <c r="I1490" s="12" t="inlineStr">
        <is>
          <t>LV 600 V</t>
        </is>
      </c>
      <c r="J1490" s="12" t="inlineStr">
        <is>
          <t>350 kcmil</t>
        </is>
      </c>
      <c r="K1490" s="12" t="n">
        <v>1</v>
      </c>
    </row>
    <row r="1491">
      <c r="A1491" s="12" t="inlineStr">
        <is>
          <t>SC-2: aeroderivative simple-cycle unit (LM6000 class)</t>
        </is>
      </c>
      <c r="B1491" s="12" t="inlineStr">
        <is>
          <t>SC-2</t>
        </is>
      </c>
      <c r="C1491" s="12" t="inlineStr">
        <is>
          <t>I</t>
        </is>
      </c>
      <c r="D1491" s="12" t="inlineStr">
        <is>
          <t>Motor 8 of 10, 30 kW</t>
        </is>
      </c>
      <c r="E1491" s="12" t="n">
        <v>480</v>
      </c>
      <c r="F1491" s="12" t="n">
        <v>30</v>
      </c>
      <c r="G1491" s="12" t="n">
        <v>42.5</v>
      </c>
      <c r="H1491" s="12" t="inlineStr">
        <is>
          <t>MOD-LV 480 V board + 480 V : 13.8 kV step-up</t>
        </is>
      </c>
      <c r="I1491" s="12" t="inlineStr">
        <is>
          <t>LV 600 V</t>
        </is>
      </c>
      <c r="J1491" s="12" t="inlineStr">
        <is>
          <t>350 kcmil</t>
        </is>
      </c>
      <c r="K1491" s="12" t="n">
        <v>1</v>
      </c>
    </row>
    <row r="1492">
      <c r="A1492" s="12" t="inlineStr">
        <is>
          <t>SC-2: aeroderivative simple-cycle unit (LM6000 class)</t>
        </is>
      </c>
      <c r="B1492" s="12" t="inlineStr">
        <is>
          <t>SC-2</t>
        </is>
      </c>
      <c r="C1492" s="12" t="inlineStr">
        <is>
          <t>I</t>
        </is>
      </c>
      <c r="D1492" s="12" t="inlineStr">
        <is>
          <t>Motor 9 of 10, 30 kW</t>
        </is>
      </c>
      <c r="E1492" s="12" t="n">
        <v>480</v>
      </c>
      <c r="F1492" s="12" t="n">
        <v>30</v>
      </c>
      <c r="G1492" s="12" t="n">
        <v>42.5</v>
      </c>
      <c r="H1492" s="12" t="inlineStr">
        <is>
          <t>MOD-LV 480 V board + 480 V : 13.8 kV step-up</t>
        </is>
      </c>
      <c r="I1492" s="12" t="inlineStr">
        <is>
          <t>LV 600 V</t>
        </is>
      </c>
      <c r="J1492" s="12" t="inlineStr">
        <is>
          <t>350 kcmil</t>
        </is>
      </c>
      <c r="K1492" s="12" t="n">
        <v>1</v>
      </c>
    </row>
    <row r="1493">
      <c r="A1493" s="12" t="inlineStr">
        <is>
          <t>SC-2: aeroderivative simple-cycle unit (LM6000 class)</t>
        </is>
      </c>
      <c r="B1493" s="12" t="inlineStr">
        <is>
          <t>SC-2</t>
        </is>
      </c>
      <c r="C1493" s="12" t="inlineStr">
        <is>
          <t>I</t>
        </is>
      </c>
      <c r="D1493" s="12" t="inlineStr">
        <is>
          <t>Motor 10 of 10, 30 kW</t>
        </is>
      </c>
      <c r="E1493" s="12" t="n">
        <v>480</v>
      </c>
      <c r="F1493" s="12" t="n">
        <v>30</v>
      </c>
      <c r="G1493" s="12" t="n">
        <v>42.5</v>
      </c>
      <c r="H1493" s="12" t="inlineStr">
        <is>
          <t>MOD-LV 480 V board + 480 V : 13.8 kV step-up</t>
        </is>
      </c>
      <c r="I1493" s="12" t="inlineStr">
        <is>
          <t>LV 600 V</t>
        </is>
      </c>
      <c r="J1493" s="12" t="inlineStr">
        <is>
          <t>350 kcmil</t>
        </is>
      </c>
      <c r="K1493" s="12" t="n">
        <v>1</v>
      </c>
    </row>
    <row r="1494">
      <c r="A1494" s="12" t="inlineStr">
        <is>
          <t>T-MOD 230 kV take-off gantry with arresters</t>
        </is>
      </c>
      <c r="B1494" s="12" t="inlineStr"/>
      <c r="C1494" s="12" t="inlineStr">
        <is>
          <t>I</t>
        </is>
      </c>
      <c r="D1494" s="12" t="inlineStr">
        <is>
          <t>Motor 1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 230 kV take-off gantry with arresters</t>
        </is>
      </c>
      <c r="B1495" s="12" t="inlineStr"/>
      <c r="C1495" s="12" t="inlineStr">
        <is>
          <t>I</t>
        </is>
      </c>
      <c r="D1495" s="12" t="inlineStr">
        <is>
          <t>Motor 2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3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4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5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6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 T-MOD-2 firewall</t>
        </is>
      </c>
      <c r="B1500" s="12" t="inlineStr"/>
      <c r="C1500" s="12" t="inlineStr">
        <is>
          <t>I</t>
        </is>
      </c>
      <c r="D1500" s="12" t="inlineStr">
        <is>
          <t>Motor 1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2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3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4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5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6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13.8/230 kV</t>
        </is>
      </c>
      <c r="B1506" s="12" t="inlineStr">
        <is>
          <t>T-MOD-1</t>
        </is>
      </c>
      <c r="C1506" s="12" t="inlineStr">
        <is>
          <t>I</t>
        </is>
      </c>
      <c r="D1506" s="12" t="inlineStr">
        <is>
          <t>Motor 1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2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3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4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5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6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T-MOD-2: 13.8/230 kV</t>
        </is>
      </c>
      <c r="B1512" s="12" t="inlineStr">
        <is>
          <t>T-MOD-2</t>
        </is>
      </c>
      <c r="C1512" s="12" t="inlineStr">
        <is>
          <t>I</t>
        </is>
      </c>
      <c r="D1512" s="12" t="inlineStr">
        <is>
          <t>Motor 1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2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3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4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5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6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TM-1: trailer-mounted aeroderivative GT (TM2500 class, ~35 MW)</t>
        </is>
      </c>
      <c r="B1518" s="12" t="inlineStr">
        <is>
          <t>TM-1</t>
        </is>
      </c>
      <c r="C1518" s="12" t="inlineStr">
        <is>
          <t>I</t>
        </is>
      </c>
      <c r="D1518" s="12" t="inlineStr">
        <is>
          <t>Motor 1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TM-1: trailer-mounted aeroderivative GT (TM2500 class, ~35 MW)</t>
        </is>
      </c>
      <c r="B1519" s="12" t="inlineStr">
        <is>
          <t>TM-1</t>
        </is>
      </c>
      <c r="C1519" s="12" t="inlineStr">
        <is>
          <t>I</t>
        </is>
      </c>
      <c r="D1519" s="12" t="inlineStr">
        <is>
          <t>Motor 2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TM-1: trailer-mounted aeroderivative GT (TM2500 class, ~35 MW)</t>
        </is>
      </c>
      <c r="B1520" s="12" t="inlineStr">
        <is>
          <t>TM-1</t>
        </is>
      </c>
      <c r="C1520" s="12" t="inlineStr">
        <is>
          <t>I</t>
        </is>
      </c>
      <c r="D1520" s="12" t="inlineStr">
        <is>
          <t>Motor 3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TM-1: trailer-mounted aeroderivative GT (TM2500 class, ~35 MW)</t>
        </is>
      </c>
      <c r="B1521" s="12" t="inlineStr">
        <is>
          <t>TM-1</t>
        </is>
      </c>
      <c r="C1521" s="12" t="inlineStr">
        <is>
          <t>I</t>
        </is>
      </c>
      <c r="D1521" s="12" t="inlineStr">
        <is>
          <t>Motor 4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TM-1: trailer-mounted aeroderivative GT (TM2500 class, ~35 MW)</t>
        </is>
      </c>
      <c r="B1522" s="12" t="inlineStr">
        <is>
          <t>TM-1</t>
        </is>
      </c>
      <c r="C1522" s="12" t="inlineStr">
        <is>
          <t>I</t>
        </is>
      </c>
      <c r="D1522" s="12" t="inlineStr">
        <is>
          <t>Motor 5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TM-1: trailer-mounted aeroderivative GT (TM2500 class, ~35 MW)</t>
        </is>
      </c>
      <c r="B1523" s="12" t="inlineStr">
        <is>
          <t>TM-1</t>
        </is>
      </c>
      <c r="C1523" s="12" t="inlineStr">
        <is>
          <t>I</t>
        </is>
      </c>
      <c r="D1523" s="12" t="inlineStr">
        <is>
          <t>Motor 6 of 6, 22 kW</t>
        </is>
      </c>
      <c r="E1523" s="12" t="n">
        <v>480</v>
      </c>
      <c r="F1523" s="12" t="n">
        <v>22</v>
      </c>
      <c r="G1523" s="12" t="n">
        <v>31.1</v>
      </c>
      <c r="H1523" s="12" t="inlineStr">
        <is>
          <t>MOD-LV 480 V board + 480 V : 13.8 kV step-up</t>
        </is>
      </c>
      <c r="I1523" s="12" t="inlineStr">
        <is>
          <t>LV 600 V</t>
        </is>
      </c>
      <c r="J1523" s="12" t="inlineStr">
        <is>
          <t>4/0</t>
        </is>
      </c>
      <c r="K1523" s="12" t="n">
        <v>1</v>
      </c>
    </row>
    <row r="1524">
      <c r="A1524" s="12" t="inlineStr">
        <is>
          <t>TM-2: trailer-mounted aeroderivative GT (TM2500 class, ~35 MW)</t>
        </is>
      </c>
      <c r="B1524" s="12" t="inlineStr">
        <is>
          <t>TM-2</t>
        </is>
      </c>
      <c r="C1524" s="12" t="inlineStr">
        <is>
          <t>I</t>
        </is>
      </c>
      <c r="D1524" s="12" t="inlineStr">
        <is>
          <t>Motor 1 of 6, 22 kW</t>
        </is>
      </c>
      <c r="E1524" s="12" t="n">
        <v>480</v>
      </c>
      <c r="F1524" s="12" t="n">
        <v>22</v>
      </c>
      <c r="G1524" s="12" t="n">
        <v>31.1</v>
      </c>
      <c r="H1524" s="12" t="inlineStr">
        <is>
          <t>MOD-LV 480 V board + 480 V : 13.8 kV step-up</t>
        </is>
      </c>
      <c r="I1524" s="12" t="inlineStr">
        <is>
          <t>LV 600 V</t>
        </is>
      </c>
      <c r="J1524" s="12" t="inlineStr">
        <is>
          <t>4/0</t>
        </is>
      </c>
      <c r="K1524" s="12" t="n">
        <v>1</v>
      </c>
    </row>
    <row r="1525">
      <c r="A1525" s="12" t="inlineStr">
        <is>
          <t>TM-2: trailer-mounted aeroderivative GT (TM2500 class, ~35 MW)</t>
        </is>
      </c>
      <c r="B1525" s="12" t="inlineStr">
        <is>
          <t>TM-2</t>
        </is>
      </c>
      <c r="C1525" s="12" t="inlineStr">
        <is>
          <t>I</t>
        </is>
      </c>
      <c r="D1525" s="12" t="inlineStr">
        <is>
          <t>Motor 2 of 6, 22 kW</t>
        </is>
      </c>
      <c r="E1525" s="12" t="n">
        <v>480</v>
      </c>
      <c r="F1525" s="12" t="n">
        <v>22</v>
      </c>
      <c r="G1525" s="12" t="n">
        <v>31.1</v>
      </c>
      <c r="H1525" s="12" t="inlineStr">
        <is>
          <t>MOD-LV 480 V board + 480 V : 13.8 kV step-up</t>
        </is>
      </c>
      <c r="I1525" s="12" t="inlineStr">
        <is>
          <t>LV 600 V</t>
        </is>
      </c>
      <c r="J1525" s="12" t="inlineStr">
        <is>
          <t>4/0</t>
        </is>
      </c>
      <c r="K1525" s="12" t="n">
        <v>1</v>
      </c>
    </row>
    <row r="1526">
      <c r="A1526" s="12" t="inlineStr">
        <is>
          <t>TM-2: trailer-mounted aeroderivative GT (TM2500 class, ~35 MW)</t>
        </is>
      </c>
      <c r="B1526" s="12" t="inlineStr">
        <is>
          <t>TM-2</t>
        </is>
      </c>
      <c r="C1526" s="12" t="inlineStr">
        <is>
          <t>I</t>
        </is>
      </c>
      <c r="D1526" s="12" t="inlineStr">
        <is>
          <t>Motor 3 of 6, 22 kW</t>
        </is>
      </c>
      <c r="E1526" s="12" t="n">
        <v>480</v>
      </c>
      <c r="F1526" s="12" t="n">
        <v>22</v>
      </c>
      <c r="G1526" s="12" t="n">
        <v>31.1</v>
      </c>
      <c r="H1526" s="12" t="inlineStr">
        <is>
          <t>MOD-LV 480 V board + 480 V : 13.8 kV step-up</t>
        </is>
      </c>
      <c r="I1526" s="12" t="inlineStr">
        <is>
          <t>LV 600 V</t>
        </is>
      </c>
      <c r="J1526" s="12" t="inlineStr">
        <is>
          <t>4/0</t>
        </is>
      </c>
      <c r="K1526" s="12" t="n">
        <v>1</v>
      </c>
    </row>
    <row r="1527">
      <c r="A1527" s="12" t="inlineStr">
        <is>
          <t>TM-2: trailer-mounted aeroderivative GT (TM2500 class, ~35 MW)</t>
        </is>
      </c>
      <c r="B1527" s="12" t="inlineStr">
        <is>
          <t>TM-2</t>
        </is>
      </c>
      <c r="C1527" s="12" t="inlineStr">
        <is>
          <t>I</t>
        </is>
      </c>
      <c r="D1527" s="12" t="inlineStr">
        <is>
          <t>Motor 4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TM-2: trailer-mounted aeroderivative GT (TM2500 class, ~35 MW)</t>
        </is>
      </c>
      <c r="B1528" s="12" t="inlineStr">
        <is>
          <t>TM-2</t>
        </is>
      </c>
      <c r="C1528" s="12" t="inlineStr">
        <is>
          <t>I</t>
        </is>
      </c>
      <c r="D1528" s="12" t="inlineStr">
        <is>
          <t>Motor 5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TM-2: trailer-mounted aeroderivative GT (TM2500 class, ~35 MW)</t>
        </is>
      </c>
      <c r="B1529" s="12" t="inlineStr">
        <is>
          <t>TM-2</t>
        </is>
      </c>
      <c r="C1529" s="12" t="inlineStr">
        <is>
          <t>I</t>
        </is>
      </c>
      <c r="D1529" s="12" t="inlineStr">
        <is>
          <t>Motor 6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Water-injection skid</t>
        </is>
      </c>
      <c r="B1530" s="12" t="inlineStr"/>
      <c r="C1530" s="12" t="inlineStr">
        <is>
          <t>I</t>
        </is>
      </c>
      <c r="D1530" s="12" t="inlineStr">
        <is>
          <t>LV power feeder</t>
        </is>
      </c>
      <c r="E1530" s="12" t="n">
        <v>480</v>
      </c>
      <c r="F1530" s="12" t="n">
        <v>15</v>
      </c>
      <c r="G1530" s="12" t="n">
        <v>21.2</v>
      </c>
      <c r="H1530" s="12" t="inlineStr">
        <is>
          <t>MOD-LV 480 V board + 480 V : 13.8 kV step-up</t>
        </is>
      </c>
      <c r="I1530" s="12" t="inlineStr">
        <is>
          <t>LV 600 V</t>
        </is>
      </c>
      <c r="J1530" s="12" t="inlineStr">
        <is>
          <t>3/0</t>
        </is>
      </c>
      <c r="K1530" s="12" t="n">
        <v>1</v>
      </c>
    </row>
    <row r="1531">
      <c r="A1531" s="12" t="inlineStr">
        <is>
          <t>Fuel-gas compressors 3 x 100% electric</t>
        </is>
      </c>
      <c r="B1531" s="12" t="inlineStr"/>
      <c r="C1531" s="12" t="inlineStr">
        <is>
          <t>I</t>
        </is>
      </c>
      <c r="D1531" s="12" t="inlineStr">
        <is>
          <t>Modular-yard fuel-gas compressor</t>
        </is>
      </c>
      <c r="E1531" s="12" t="n">
        <v>13800</v>
      </c>
      <c r="F1531" s="12" t="n">
        <v>1500</v>
      </c>
      <c r="G1531" s="12" t="n">
        <v>70</v>
      </c>
      <c r="H1531" s="12" t="inlineStr">
        <is>
          <t>MOD-EH: 13.8 kV modular collector e-house</t>
        </is>
      </c>
      <c r="I1531" s="12" t="inlineStr">
        <is>
          <t>MV 15 kV</t>
        </is>
      </c>
      <c r="J1531" s="12" t="inlineStr">
        <is>
          <t>2</t>
        </is>
      </c>
      <c r="K1531" s="12" t="n">
        <v>1</v>
      </c>
    </row>
    <row r="1532">
      <c r="A1532" s="12" t="inlineStr">
        <is>
          <t>Fuel-gas compressors 3 x 100% electric</t>
        </is>
      </c>
      <c r="B1532" s="12" t="inlineStr"/>
      <c r="C1532" s="12" t="inlineStr">
        <is>
          <t>I</t>
        </is>
      </c>
      <c r="D1532" s="12" t="inlineStr">
        <is>
          <t>Modular-yard fuel-gas compressor</t>
        </is>
      </c>
      <c r="E1532" s="12" t="n">
        <v>13800</v>
      </c>
      <c r="F1532" s="12" t="n">
        <v>1500</v>
      </c>
      <c r="G1532" s="12" t="n">
        <v>70</v>
      </c>
      <c r="H1532" s="12" t="inlineStr">
        <is>
          <t>MOD-EH: 13.8 kV modular collector e-house</t>
        </is>
      </c>
      <c r="I1532" s="12" t="inlineStr">
        <is>
          <t>MV 15 kV</t>
        </is>
      </c>
      <c r="J1532" s="12" t="inlineStr">
        <is>
          <t>2</t>
        </is>
      </c>
      <c r="K1532" s="12" t="n">
        <v>1</v>
      </c>
    </row>
    <row r="1533">
      <c r="A1533" s="12" t="inlineStr">
        <is>
          <t>Fuel-gas compressors 3 x 100% electric</t>
        </is>
      </c>
      <c r="B1533" s="12" t="inlineStr"/>
      <c r="C1533" s="12" t="inlineStr">
        <is>
          <t>I</t>
        </is>
      </c>
      <c r="D1533" s="12" t="inlineStr">
        <is>
          <t>Modular-yard fuel-gas compressor</t>
        </is>
      </c>
      <c r="E1533" s="12" t="n">
        <v>13800</v>
      </c>
      <c r="F1533" s="12" t="n">
        <v>1500</v>
      </c>
      <c r="G1533" s="12" t="n">
        <v>70</v>
      </c>
      <c r="H1533" s="12" t="inlineStr">
        <is>
          <t>MOD-EH: 13.8 kV modular collector e-house</t>
        </is>
      </c>
      <c r="I1533" s="12" t="inlineStr">
        <is>
          <t>MV 15 kV</t>
        </is>
      </c>
      <c r="J1533" s="12" t="inlineStr">
        <is>
          <t>2</t>
        </is>
      </c>
      <c r="K1533" s="12" t="n">
        <v>1</v>
      </c>
    </row>
    <row r="1534">
      <c r="A1534" s="12" t="inlineStr">
        <is>
          <t>MOD-EH: 13.8 kV modular collector e-house</t>
        </is>
      </c>
      <c r="B1534" s="12" t="inlineStr">
        <is>
          <t>MOD-EH</t>
        </is>
      </c>
      <c r="C1534" s="12" t="inlineStr">
        <is>
          <t>I</t>
        </is>
      </c>
      <c r="D1534" s="12" t="inlineStr">
        <is>
          <t>SC-1 PCM to MOD-EH</t>
        </is>
      </c>
      <c r="E1534" s="12" t="n">
        <v>13800</v>
      </c>
      <c r="F1534" s="12" t="n">
        <v>50000</v>
      </c>
      <c r="G1534" s="12" t="n">
        <v>2092</v>
      </c>
      <c r="H1534" s="12" t="inlineStr">
        <is>
          <t>SC-1 PCM + 15 kV GCB</t>
        </is>
      </c>
      <c r="I1534" s="12" t="inlineStr">
        <is>
          <t>MV 15 kV</t>
        </is>
      </c>
      <c r="J1534" s="12" t="inlineStr">
        <is>
          <t>750 kcmil</t>
        </is>
      </c>
      <c r="K1534" s="12" t="n">
        <v>5</v>
      </c>
    </row>
    <row r="1535">
      <c r="A1535" s="12" t="inlineStr">
        <is>
          <t>MOD-EH: 13.8 kV modular collector e-house</t>
        </is>
      </c>
      <c r="B1535" s="12" t="inlineStr">
        <is>
          <t>MOD-EH</t>
        </is>
      </c>
      <c r="C1535" s="12" t="inlineStr">
        <is>
          <t>I</t>
        </is>
      </c>
      <c r="D1535" s="12" t="inlineStr">
        <is>
          <t>SC-2 PCM to MOD-EH</t>
        </is>
      </c>
      <c r="E1535" s="12" t="n">
        <v>13800</v>
      </c>
      <c r="F1535" s="12" t="n">
        <v>50000</v>
      </c>
      <c r="G1535" s="12" t="n">
        <v>2092</v>
      </c>
      <c r="H1535" s="12" t="inlineStr">
        <is>
          <t>SC-2 PCM + 15 kV GCB</t>
        </is>
      </c>
      <c r="I1535" s="12" t="inlineStr">
        <is>
          <t>MV 15 kV</t>
        </is>
      </c>
      <c r="J1535" s="12" t="inlineStr">
        <is>
          <t>750 kcmil</t>
        </is>
      </c>
      <c r="K1535" s="12" t="n">
        <v>5</v>
      </c>
    </row>
    <row r="1536">
      <c r="A1536" s="12" t="inlineStr">
        <is>
          <t>MOD-EH: 13.8 kV modular collector e-house</t>
        </is>
      </c>
      <c r="B1536" s="12" t="inlineStr">
        <is>
          <t>MOD-EH</t>
        </is>
      </c>
      <c r="C1536" s="12" t="inlineStr">
        <is>
          <t>I</t>
        </is>
      </c>
      <c r="D1536" s="12" t="inlineStr">
        <is>
          <t>MOD-LV step-up to MOD-EH</t>
        </is>
      </c>
      <c r="E1536" s="12" t="n">
        <v>13800</v>
      </c>
      <c r="F1536" s="12" t="n">
        <v>7500</v>
      </c>
      <c r="G1536" s="12" t="n">
        <v>314</v>
      </c>
      <c r="H1536" s="12" t="inlineStr">
        <is>
          <t>MOD-LV 480 V board + 480 V : 13.8 kV step-up</t>
        </is>
      </c>
      <c r="I1536" s="12" t="inlineStr">
        <is>
          <t>MV 15 kV</t>
        </is>
      </c>
      <c r="J1536" s="12" t="inlineStr">
        <is>
          <t>500 kcmil</t>
        </is>
      </c>
      <c r="K1536" s="12" t="n">
        <v>1</v>
      </c>
    </row>
    <row r="1537">
      <c r="A1537" s="12" t="inlineStr">
        <is>
          <t>PAD-EH 13.8 kV switchgear e-house</t>
        </is>
      </c>
      <c r="B1537" s="12" t="inlineStr">
        <is>
          <t>PAD-EH</t>
        </is>
      </c>
      <c r="C1537" s="12" t="inlineStr">
        <is>
          <t>I</t>
        </is>
      </c>
      <c r="D1537" s="12" t="inlineStr">
        <is>
          <t>CONT-3 13.8 kV to PAD-EH (extension section, ground tray)</t>
        </is>
      </c>
      <c r="E1537" s="12" t="n">
        <v>13800</v>
      </c>
      <c r="F1537" s="12" t="n">
        <v>2000</v>
      </c>
      <c r="G1537" s="12" t="n">
        <v>93</v>
      </c>
      <c r="H1537" s="12" t="inlineStr">
        <is>
          <t>CONT-3: containerized gas genset 13.8 kV (40 ft)</t>
        </is>
      </c>
      <c r="I1537" s="12" t="inlineStr">
        <is>
          <t>MV 15 kV</t>
        </is>
      </c>
      <c r="J1537" s="12" t="inlineStr">
        <is>
          <t>2</t>
        </is>
      </c>
      <c r="K1537" s="12" t="n">
        <v>1</v>
      </c>
    </row>
    <row r="1538">
      <c r="A1538" s="12" t="inlineStr">
        <is>
          <t>PAD-EH 13.8 kV switchgear e-house</t>
        </is>
      </c>
      <c r="B1538" s="12" t="inlineStr">
        <is>
          <t>PAD-EH</t>
        </is>
      </c>
      <c r="C1538" s="12" t="inlineStr">
        <is>
          <t>I</t>
        </is>
      </c>
      <c r="D1538" s="12" t="inlineStr">
        <is>
          <t>CONT-4 13.8 kV to PAD-EH (extension section, ground tray)</t>
        </is>
      </c>
      <c r="E1538" s="12" t="n">
        <v>13800</v>
      </c>
      <c r="F1538" s="12" t="n">
        <v>2000</v>
      </c>
      <c r="G1538" s="12" t="n">
        <v>93</v>
      </c>
      <c r="H1538" s="12" t="inlineStr">
        <is>
          <t>CONT-4: containerized gas genset 13.8 kV (40 ft)</t>
        </is>
      </c>
      <c r="I1538" s="12" t="inlineStr">
        <is>
          <t>MV 15 kV</t>
        </is>
      </c>
      <c r="J1538" s="12" t="inlineStr">
        <is>
          <t>2</t>
        </is>
      </c>
      <c r="K1538" s="12" t="n">
        <v>1</v>
      </c>
    </row>
    <row r="1539">
      <c r="A1539" s="12" t="inlineStr">
        <is>
          <t>PAD-EH 13.8 kV switchgear e-house</t>
        </is>
      </c>
      <c r="B1539" s="12" t="inlineStr">
        <is>
          <t>PAD-EH</t>
        </is>
      </c>
      <c r="C1539" s="12" t="inlineStr">
        <is>
          <t>I</t>
        </is>
      </c>
      <c r="D1539" s="12" t="inlineStr">
        <is>
          <t>CONT-5 13.8 kV to PAD-EH (extension section, ground tray)</t>
        </is>
      </c>
      <c r="E1539" s="12" t="n">
        <v>13800</v>
      </c>
      <c r="F1539" s="12" t="n">
        <v>2000</v>
      </c>
      <c r="G1539" s="12" t="n">
        <v>93</v>
      </c>
      <c r="H1539" s="12" t="inlineStr">
        <is>
          <t>CONT-5: containerized gas genset 13.8 kV (40 ft)</t>
        </is>
      </c>
      <c r="I1539" s="12" t="inlineStr">
        <is>
          <t>MV 15 kV</t>
        </is>
      </c>
      <c r="J1539" s="12" t="inlineStr">
        <is>
          <t>2</t>
        </is>
      </c>
      <c r="K1539" s="12" t="n">
        <v>1</v>
      </c>
    </row>
    <row r="1540">
      <c r="A1540" s="12" t="inlineStr">
        <is>
          <t>PAD-EH 13.8 kV switchgear e-house</t>
        </is>
      </c>
      <c r="B1540" s="12" t="inlineStr">
        <is>
          <t>PAD-EH</t>
        </is>
      </c>
      <c r="C1540" s="12" t="inlineStr">
        <is>
          <t>I</t>
        </is>
      </c>
      <c r="D1540" s="12" t="inlineStr">
        <is>
          <t>CONT-6 13.8 kV to PAD-EH (extension section, ground tray)</t>
        </is>
      </c>
      <c r="E1540" s="12" t="n">
        <v>13800</v>
      </c>
      <c r="F1540" s="12" t="n">
        <v>2000</v>
      </c>
      <c r="G1540" s="12" t="n">
        <v>93</v>
      </c>
      <c r="H1540" s="12" t="inlineStr">
        <is>
          <t>CONT-6: containerized gas genset 13.8 kV (40 ft)</t>
        </is>
      </c>
      <c r="I1540" s="12" t="inlineStr">
        <is>
          <t>MV 15 kV</t>
        </is>
      </c>
      <c r="J1540" s="12" t="inlineStr">
        <is>
          <t>2</t>
        </is>
      </c>
      <c r="K1540" s="12" t="n">
        <v>1</v>
      </c>
    </row>
    <row r="1541">
      <c r="A1541" s="12" t="inlineStr">
        <is>
          <t>PAD-EH 13.8 kV switchgear e-house</t>
        </is>
      </c>
      <c r="B1541" s="12" t="inlineStr">
        <is>
          <t>PAD-EH</t>
        </is>
      </c>
      <c r="C1541" s="12" t="inlineStr">
        <is>
          <t>I</t>
        </is>
      </c>
      <c r="D1541" s="12" t="inlineStr">
        <is>
          <t>CONT-7 13.8 kV to PAD-EH (extension section, ground tray)</t>
        </is>
      </c>
      <c r="E1541" s="12" t="n">
        <v>13800</v>
      </c>
      <c r="F1541" s="12" t="n">
        <v>2000</v>
      </c>
      <c r="G1541" s="12" t="n">
        <v>93</v>
      </c>
      <c r="H1541" s="12" t="inlineStr">
        <is>
          <t>CONT-7: containerized gas genset 13.8 kV (40 ft)</t>
        </is>
      </c>
      <c r="I1541" s="12" t="inlineStr">
        <is>
          <t>MV 15 kV</t>
        </is>
      </c>
      <c r="J1541" s="12" t="inlineStr">
        <is>
          <t>2</t>
        </is>
      </c>
      <c r="K1541" s="12" t="n">
        <v>1</v>
      </c>
    </row>
    <row r="1542">
      <c r="A1542" s="12" t="inlineStr">
        <is>
          <t>PAD-EH 13.8 kV switchgear e-house</t>
        </is>
      </c>
      <c r="B1542" s="12" t="inlineStr">
        <is>
          <t>PAD-EH</t>
        </is>
      </c>
      <c r="C1542" s="12" t="inlineStr">
        <is>
          <t>I</t>
        </is>
      </c>
      <c r="D1542" s="12" t="inlineStr">
        <is>
          <t>CONT-8 13.8 kV to PAD-EH (extension section, ground tray)</t>
        </is>
      </c>
      <c r="E1542" s="12" t="n">
        <v>13800</v>
      </c>
      <c r="F1542" s="12" t="n">
        <v>2000</v>
      </c>
      <c r="G1542" s="12" t="n">
        <v>93</v>
      </c>
      <c r="H1542" s="12" t="inlineStr">
        <is>
          <t>CONT-8: containerized gas genset 13.8 kV (40 ft)</t>
        </is>
      </c>
      <c r="I1542" s="12" t="inlineStr">
        <is>
          <t>MV 15 kV</t>
        </is>
      </c>
      <c r="J1542" s="12" t="inlineStr">
        <is>
          <t>2</t>
        </is>
      </c>
      <c r="K1542" s="12" t="n">
        <v>1</v>
      </c>
    </row>
    <row r="1543">
      <c r="A1543" s="12" t="inlineStr">
        <is>
          <t>PAD-EH 13.8 kV switchgear e-house</t>
        </is>
      </c>
      <c r="B1543" s="12" t="inlineStr">
        <is>
          <t>PAD-EH</t>
        </is>
      </c>
      <c r="C1543" s="12" t="inlineStr">
        <is>
          <t>I</t>
        </is>
      </c>
      <c r="D1543" s="12" t="inlineStr">
        <is>
          <t>TM-1 (TM2500) generator leads to PAD-EH</t>
        </is>
      </c>
      <c r="E1543" s="12" t="n">
        <v>13800</v>
      </c>
      <c r="F1543" s="12" t="n">
        <v>35000</v>
      </c>
      <c r="G1543" s="12" t="n">
        <v>1464</v>
      </c>
      <c r="H1543" s="12" t="inlineStr">
        <is>
          <t>TM-1: trailer-mounted aeroderivative GT (TM2500 class, ~35 M</t>
        </is>
      </c>
      <c r="I1543" s="12" t="inlineStr">
        <is>
          <t>MV 15 kV</t>
        </is>
      </c>
      <c r="J1543" s="12" t="inlineStr">
        <is>
          <t>1000 kcmil</t>
        </is>
      </c>
      <c r="K1543" s="12" t="n">
        <v>3</v>
      </c>
    </row>
    <row r="1544">
      <c r="A1544" s="12" t="inlineStr">
        <is>
          <t>PAD-EH 13.8 kV switchgear e-house</t>
        </is>
      </c>
      <c r="B1544" s="12" t="inlineStr">
        <is>
          <t>PAD-EH</t>
        </is>
      </c>
      <c r="C1544" s="12" t="inlineStr">
        <is>
          <t>I</t>
        </is>
      </c>
      <c r="D1544" s="12" t="inlineStr">
        <is>
          <t>TM-2 (TM2500) generator leads to PAD-EH</t>
        </is>
      </c>
      <c r="E1544" s="12" t="n">
        <v>13800</v>
      </c>
      <c r="F1544" s="12" t="n">
        <v>35000</v>
      </c>
      <c r="G1544" s="12" t="n">
        <v>1464</v>
      </c>
      <c r="H1544" s="12" t="inlineStr">
        <is>
          <t>TM-2: trailer-mounted aeroderivative GT (TM2500 class, ~35 M</t>
        </is>
      </c>
      <c r="I1544" s="12" t="inlineStr">
        <is>
          <t>MV 15 kV</t>
        </is>
      </c>
      <c r="J1544" s="12" t="inlineStr">
        <is>
          <t>1000 kcmil</t>
        </is>
      </c>
      <c r="K1544" s="12" t="n">
        <v>3</v>
      </c>
    </row>
    <row r="1545">
      <c r="A1545" s="12" t="inlineStr">
        <is>
          <t>PCM: power control module</t>
        </is>
      </c>
      <c r="B1545" s="12" t="inlineStr"/>
      <c r="C1545" s="12" t="inlineStr">
        <is>
          <t>I</t>
        </is>
      </c>
      <c r="D1545" s="12" t="inlineStr">
        <is>
          <t>RICE-1 generator leads to the PCM</t>
        </is>
      </c>
      <c r="E1545" s="12" t="n">
        <v>13800</v>
      </c>
      <c r="F1545" s="12" t="n">
        <v>18400</v>
      </c>
      <c r="G1545" s="12" t="n">
        <v>770</v>
      </c>
      <c r="H1545" s="12" t="inlineStr">
        <is>
          <t>RICE engine-generator 1</t>
        </is>
      </c>
      <c r="I1545" s="12" t="inlineStr">
        <is>
          <t>MV 15 kV</t>
        </is>
      </c>
      <c r="J1545" s="12" t="inlineStr">
        <is>
          <t>750 kcmil</t>
        </is>
      </c>
      <c r="K1545" s="12" t="n">
        <v>2</v>
      </c>
    </row>
    <row r="1546">
      <c r="A1546" s="12" t="inlineStr">
        <is>
          <t>PCM: power control module</t>
        </is>
      </c>
      <c r="B1546" s="12" t="inlineStr"/>
      <c r="C1546" s="12" t="inlineStr">
        <is>
          <t>I</t>
        </is>
      </c>
      <c r="D1546" s="12" t="inlineStr">
        <is>
          <t>RICE-2 generator leads to the PCM</t>
        </is>
      </c>
      <c r="E1546" s="12" t="n">
        <v>13800</v>
      </c>
      <c r="F1546" s="12" t="n">
        <v>18400</v>
      </c>
      <c r="G1546" s="12" t="n">
        <v>770</v>
      </c>
      <c r="H1546" s="12" t="inlineStr">
        <is>
          <t>RICE engine-generator 2</t>
        </is>
      </c>
      <c r="I1546" s="12" t="inlineStr">
        <is>
          <t>MV 15 kV</t>
        </is>
      </c>
      <c r="J1546" s="12" t="inlineStr">
        <is>
          <t>750 kcmil</t>
        </is>
      </c>
      <c r="K1546" s="12" t="n">
        <v>2</v>
      </c>
    </row>
    <row r="1547">
      <c r="A1547" s="12" t="inlineStr">
        <is>
          <t>PCM: power control module</t>
        </is>
      </c>
      <c r="B1547" s="12" t="inlineStr"/>
      <c r="C1547" s="12" t="inlineStr">
        <is>
          <t>I</t>
        </is>
      </c>
      <c r="D1547" s="12" t="inlineStr">
        <is>
          <t>RICE-3 generator leads to the PCM</t>
        </is>
      </c>
      <c r="E1547" s="12" t="n">
        <v>13800</v>
      </c>
      <c r="F1547" s="12" t="n">
        <v>18400</v>
      </c>
      <c r="G1547" s="12" t="n">
        <v>770</v>
      </c>
      <c r="H1547" s="12" t="inlineStr">
        <is>
          <t>RICE engine-generator 3</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RICE-4 generator leads to the PCM</t>
        </is>
      </c>
      <c r="E1548" s="12" t="n">
        <v>13800</v>
      </c>
      <c r="F1548" s="12" t="n">
        <v>18400</v>
      </c>
      <c r="G1548" s="12" t="n">
        <v>770</v>
      </c>
      <c r="H1548" s="12" t="inlineStr">
        <is>
          <t>RICE engine-generator 4</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RICE-5 generator leads to the PCM</t>
        </is>
      </c>
      <c r="E1549" s="12" t="n">
        <v>13800</v>
      </c>
      <c r="F1549" s="12" t="n">
        <v>18400</v>
      </c>
      <c r="G1549" s="12" t="n">
        <v>770</v>
      </c>
      <c r="H1549" s="12" t="inlineStr">
        <is>
          <t>RICE engine-generator 5</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RICE-6 generator leads to the PCM</t>
        </is>
      </c>
      <c r="E1550" s="12" t="n">
        <v>13800</v>
      </c>
      <c r="F1550" s="12" t="n">
        <v>18400</v>
      </c>
      <c r="G1550" s="12" t="n">
        <v>770</v>
      </c>
      <c r="H1550" s="12" t="inlineStr">
        <is>
          <t>RICE engine-generator 6</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RICE-7 generator leads to the PCM</t>
        </is>
      </c>
      <c r="E1551" s="12" t="n">
        <v>13800</v>
      </c>
      <c r="F1551" s="12" t="n">
        <v>18400</v>
      </c>
      <c r="G1551" s="12" t="n">
        <v>770</v>
      </c>
      <c r="H1551" s="12" t="inlineStr">
        <is>
          <t>RICE engine-generator 7</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RICE-8 generator leads to the PCM</t>
        </is>
      </c>
      <c r="E1552" s="12" t="n">
        <v>13800</v>
      </c>
      <c r="F1552" s="12" t="n">
        <v>18400</v>
      </c>
      <c r="G1552" s="12" t="n">
        <v>770</v>
      </c>
      <c r="H1552" s="12" t="inlineStr">
        <is>
          <t>RICE engine-generator 8</t>
        </is>
      </c>
      <c r="I1552" s="12" t="inlineStr">
        <is>
          <t>MV 15 kV</t>
        </is>
      </c>
      <c r="J1552" s="12" t="inlineStr">
        <is>
          <t>750 kcmil</t>
        </is>
      </c>
      <c r="K1552" s="12" t="n">
        <v>2</v>
      </c>
    </row>
    <row r="1553">
      <c r="A1553" s="12" t="inlineStr">
        <is>
          <t>SC-1 PCM + 15 kV GCB</t>
        </is>
      </c>
      <c r="B1553" s="12" t="inlineStr"/>
      <c r="C1553" s="12" t="inlineStr">
        <is>
          <t>I</t>
        </is>
      </c>
      <c r="D1553" s="12" t="inlineStr">
        <is>
          <t>SC-1 (LM6000 class) generator leads to its PCM / GCB</t>
        </is>
      </c>
      <c r="E1553" s="12" t="n">
        <v>13800</v>
      </c>
      <c r="F1553" s="12" t="n">
        <v>50000</v>
      </c>
      <c r="G1553" s="12" t="n">
        <v>2092</v>
      </c>
      <c r="H1553" s="12" t="inlineStr">
        <is>
          <t>SC-1: aeroderivative simple-cycle unit (LM6000 class)</t>
        </is>
      </c>
      <c r="I1553" s="12" t="inlineStr">
        <is>
          <t>MV 15 kV</t>
        </is>
      </c>
      <c r="J1553" s="12" t="inlineStr">
        <is>
          <t>750 kcmil</t>
        </is>
      </c>
      <c r="K1553" s="12" t="n">
        <v>5</v>
      </c>
    </row>
    <row r="1554">
      <c r="A1554" s="12" t="inlineStr">
        <is>
          <t>SC-2 PCM + 15 kV GCB</t>
        </is>
      </c>
      <c r="B1554" s="12" t="inlineStr"/>
      <c r="C1554" s="12" t="inlineStr">
        <is>
          <t>I</t>
        </is>
      </c>
      <c r="D1554" s="12" t="inlineStr">
        <is>
          <t>SC-2 (LM6000 class) generator leads to its PCM / GCB</t>
        </is>
      </c>
      <c r="E1554" s="12" t="n">
        <v>13800</v>
      </c>
      <c r="F1554" s="12" t="n">
        <v>50000</v>
      </c>
      <c r="G1554" s="12" t="n">
        <v>2092</v>
      </c>
      <c r="H1554" s="12" t="inlineStr">
        <is>
          <t>SC-2: aeroderivative simple-cycle unit (LM6000 class)</t>
        </is>
      </c>
      <c r="I1554" s="12" t="inlineStr">
        <is>
          <t>MV 15 kV</t>
        </is>
      </c>
      <c r="J1554" s="12" t="inlineStr">
        <is>
          <t>750 kcmil</t>
        </is>
      </c>
      <c r="K1554" s="12" t="n">
        <v>5</v>
      </c>
    </row>
    <row r="1555">
      <c r="A1555" s="12" t="inlineStr">
        <is>
          <t>PAD-LV 480 V paralleling switchboard</t>
        </is>
      </c>
      <c r="B1555" s="12" t="inlineStr">
        <is>
          <t>PAD-LV</t>
        </is>
      </c>
      <c r="C1555" s="12" t="inlineStr">
        <is>
          <t>I</t>
        </is>
      </c>
      <c r="D1555" s="12" t="inlineStr">
        <is>
          <t>GEN-E 480 V to PAD-LV (Type W sets, cam-lock)</t>
        </is>
      </c>
      <c r="E1555" s="12" t="n">
        <v>480</v>
      </c>
      <c r="F1555" s="12" t="n">
        <v>2000</v>
      </c>
      <c r="G1555" s="12" t="n">
        <v>2406</v>
      </c>
      <c r="H1555" s="12" t="inlineStr">
        <is>
          <t>GEN-E: enclosed industrial gas genset 2 MW</t>
        </is>
      </c>
      <c r="I1555" s="12" t="inlineStr">
        <is>
          <t>Portable LV</t>
        </is>
      </c>
      <c r="J1555" s="12" t="inlineStr">
        <is>
          <t>4/0</t>
        </is>
      </c>
      <c r="K1555" s="12" t="n">
        <v>8</v>
      </c>
    </row>
    <row r="1556">
      <c r="A1556" s="12" t="inlineStr">
        <is>
          <t>PAD-LV 480 V paralleling switchboard</t>
        </is>
      </c>
      <c r="B1556" s="12" t="inlineStr">
        <is>
          <t>PAD-LV</t>
        </is>
      </c>
      <c r="C1556" s="12" t="inlineStr">
        <is>
          <t>I</t>
        </is>
      </c>
      <c r="D1556" s="12" t="inlineStr">
        <is>
          <t>GEN-O 480 V to PAD-LV (Type W sets, cam-lock)</t>
        </is>
      </c>
      <c r="E1556" s="12" t="n">
        <v>480</v>
      </c>
      <c r="F1556" s="12" t="n">
        <v>1000</v>
      </c>
      <c r="G1556" s="12" t="n">
        <v>1203</v>
      </c>
      <c r="H1556" s="12" t="inlineStr">
        <is>
          <t>GEN-O: open engine-generator skid</t>
        </is>
      </c>
      <c r="I1556" s="12" t="inlineStr">
        <is>
          <t>Portable LV</t>
        </is>
      </c>
      <c r="J1556" s="12" t="inlineStr">
        <is>
          <t>4/0</t>
        </is>
      </c>
      <c r="K1556" s="12" t="n">
        <v>4</v>
      </c>
    </row>
    <row r="1557">
      <c r="A1557" s="12" t="inlineStr">
        <is>
          <t>GSP-1: generator breaker / protection</t>
        </is>
      </c>
      <c r="B1557" s="12" t="inlineStr">
        <is>
          <t>GSP-1</t>
        </is>
      </c>
      <c r="C1557" s="12" t="inlineStr">
        <is>
          <t>I</t>
        </is>
      </c>
      <c r="D1557" s="12" t="inlineStr">
        <is>
          <t>CONT-1 13.8 kV leads to GSP-1</t>
        </is>
      </c>
      <c r="E1557" s="12" t="n">
        <v>13800</v>
      </c>
      <c r="F1557" s="12" t="n">
        <v>2000</v>
      </c>
      <c r="G1557" s="12" t="n">
        <v>93</v>
      </c>
      <c r="H1557" s="12" t="inlineStr">
        <is>
          <t>CONT-1: containerized genset 13.8 kV (40 ft)</t>
        </is>
      </c>
      <c r="I1557" s="12" t="inlineStr">
        <is>
          <t>Portable MV</t>
        </is>
      </c>
      <c r="J1557" s="12" t="inlineStr">
        <is>
          <t>2</t>
        </is>
      </c>
      <c r="K1557" s="12" t="n">
        <v>1</v>
      </c>
    </row>
    <row r="1558">
      <c r="A1558" s="12" t="inlineStr">
        <is>
          <t>GSP-2: generator breaker / protection</t>
        </is>
      </c>
      <c r="B1558" s="12" t="inlineStr">
        <is>
          <t>GSP-2</t>
        </is>
      </c>
      <c r="C1558" s="12" t="inlineStr">
        <is>
          <t>I</t>
        </is>
      </c>
      <c r="D1558" s="12" t="inlineStr">
        <is>
          <t>CONT-2 13.8 kV leads to GSP-2</t>
        </is>
      </c>
      <c r="E1558" s="12" t="n">
        <v>13800</v>
      </c>
      <c r="F1558" s="12" t="n">
        <v>2000</v>
      </c>
      <c r="G1558" s="12" t="n">
        <v>93</v>
      </c>
      <c r="H1558" s="12" t="inlineStr">
        <is>
          <t>CONT-2: containerized genset 13.8 kV (40 ft)</t>
        </is>
      </c>
      <c r="I1558" s="12" t="inlineStr">
        <is>
          <t>Portable MV</t>
        </is>
      </c>
      <c r="J1558" s="12" t="inlineStr">
        <is>
          <t>2</t>
        </is>
      </c>
      <c r="K1558" s="12" t="n">
        <v>1</v>
      </c>
    </row>
    <row r="1559">
      <c r="A1559" s="12" t="inlineStr">
        <is>
          <t>LB: commissioning load bank (trailer)</t>
        </is>
      </c>
      <c r="B1559" s="12" t="inlineStr">
        <is>
          <t>LB</t>
        </is>
      </c>
      <c r="C1559" s="12" t="inlineStr">
        <is>
          <t>I</t>
        </is>
      </c>
      <c r="D1559" s="12" t="inlineStr">
        <is>
          <t>PIC to commissioning load bank</t>
        </is>
      </c>
      <c r="E1559" s="12" t="n">
        <v>13800</v>
      </c>
      <c r="F1559" s="12" t="n">
        <v>2000</v>
      </c>
      <c r="G1559" s="12" t="n">
        <v>93</v>
      </c>
      <c r="H1559" s="12" t="inlineStr">
        <is>
          <t>PIC: portable input cabinet</t>
        </is>
      </c>
      <c r="I1559" s="12" t="inlineStr">
        <is>
          <t>Portable MV</t>
        </is>
      </c>
      <c r="J1559" s="12" t="inlineStr">
        <is>
          <t>2</t>
        </is>
      </c>
      <c r="K1559" s="12" t="n">
        <v>1</v>
      </c>
    </row>
    <row r="1560">
      <c r="A1560" s="12" t="inlineStr">
        <is>
          <t>PAD-EH 13.8 kV switchgear e-house</t>
        </is>
      </c>
      <c r="B1560" s="12" t="inlineStr">
        <is>
          <t>PAD-EH</t>
        </is>
      </c>
      <c r="C1560" s="12" t="inlineStr">
        <is>
          <t>I</t>
        </is>
      </c>
      <c r="D1560" s="12" t="inlineStr">
        <is>
          <t>GSP-1 to PAD-EH</t>
        </is>
      </c>
      <c r="E1560" s="12" t="n">
        <v>13800</v>
      </c>
      <c r="F1560" s="12" t="n">
        <v>2000</v>
      </c>
      <c r="G1560" s="12" t="n">
        <v>93</v>
      </c>
      <c r="H1560" s="12" t="inlineStr">
        <is>
          <t>GSP-1: generator breaker / protection</t>
        </is>
      </c>
      <c r="I1560" s="12" t="inlineStr">
        <is>
          <t>Portable MV</t>
        </is>
      </c>
      <c r="J1560" s="12" t="inlineStr">
        <is>
          <t>2</t>
        </is>
      </c>
      <c r="K1560" s="12" t="n">
        <v>1</v>
      </c>
    </row>
    <row r="1561">
      <c r="A1561" s="12" t="inlineStr">
        <is>
          <t>PAD-EH 13.8 kV switchgear e-house</t>
        </is>
      </c>
      <c r="B1561" s="12" t="inlineStr">
        <is>
          <t>PAD-EH</t>
        </is>
      </c>
      <c r="C1561" s="12" t="inlineStr">
        <is>
          <t>I</t>
        </is>
      </c>
      <c r="D1561" s="12" t="inlineStr">
        <is>
          <t>GSP-2 to PAD-EH</t>
        </is>
      </c>
      <c r="E1561" s="12" t="n">
        <v>13800</v>
      </c>
      <c r="F1561" s="12" t="n">
        <v>2000</v>
      </c>
      <c r="G1561" s="12" t="n">
        <v>93</v>
      </c>
      <c r="H1561" s="12" t="inlineStr">
        <is>
          <t>GSP-2: generator breaker / protection</t>
        </is>
      </c>
      <c r="I1561" s="12" t="inlineStr">
        <is>
          <t>Portable MV</t>
        </is>
      </c>
      <c r="J1561" s="12" t="inlineStr">
        <is>
          <t>2</t>
        </is>
      </c>
      <c r="K1561" s="12" t="n">
        <v>1</v>
      </c>
    </row>
    <row r="1562">
      <c r="A1562" s="12" t="inlineStr">
        <is>
          <t>PIC: portable input cabinet</t>
        </is>
      </c>
      <c r="B1562" s="12" t="inlineStr">
        <is>
          <t>PIC</t>
        </is>
      </c>
      <c r="C1562" s="12" t="inlineStr">
        <is>
          <t>I</t>
        </is>
      </c>
      <c r="D1562" s="12" t="inlineStr">
        <is>
          <t>MOB-1 13.8 kV to PIC through the C-L01 ramp</t>
        </is>
      </c>
      <c r="E1562" s="12" t="n">
        <v>13800</v>
      </c>
      <c r="F1562" s="12" t="n">
        <v>2000</v>
      </c>
      <c r="G1562" s="12" t="n">
        <v>93</v>
      </c>
      <c r="H1562" s="12" t="inlineStr">
        <is>
          <t>MOB-1: trailer genset</t>
        </is>
      </c>
      <c r="I1562" s="12" t="inlineStr">
        <is>
          <t>Portable MV</t>
        </is>
      </c>
      <c r="J1562" s="12" t="inlineStr">
        <is>
          <t>2</t>
        </is>
      </c>
      <c r="K1562" s="12" t="n">
        <v>1</v>
      </c>
    </row>
    <row r="1563">
      <c r="A1563" s="12" t="inlineStr">
        <is>
          <t>CHW pumps</t>
        </is>
      </c>
      <c r="B1563" s="12" t="inlineStr"/>
      <c r="C1563" s="12" t="inlineStr">
        <is>
          <t>J</t>
        </is>
      </c>
      <c r="D1563" s="12" t="inlineStr">
        <is>
          <t>Motor 1 of 4, 150 kW</t>
        </is>
      </c>
      <c r="E1563" s="12" t="n">
        <v>480</v>
      </c>
      <c r="F1563" s="12" t="n">
        <v>150</v>
      </c>
      <c r="G1563" s="12" t="n">
        <v>212.3</v>
      </c>
      <c r="H1563" s="12" t="inlineStr">
        <is>
          <t>Inlet-chilling e-house / transformer</t>
        </is>
      </c>
      <c r="I1563" s="12" t="inlineStr">
        <is>
          <t>LV 600 V</t>
        </is>
      </c>
      <c r="J1563" s="12" t="inlineStr">
        <is>
          <t>350 kcmil</t>
        </is>
      </c>
      <c r="K1563" s="12" t="n">
        <v>1</v>
      </c>
    </row>
    <row r="1564">
      <c r="A1564" s="12" t="inlineStr">
        <is>
          <t>CHW pumps</t>
        </is>
      </c>
      <c r="B1564" s="12" t="inlineStr"/>
      <c r="C1564" s="12" t="inlineStr">
        <is>
          <t>J</t>
        </is>
      </c>
      <c r="D1564" s="12" t="inlineStr">
        <is>
          <t>Motor 2 of 4, 150 kW</t>
        </is>
      </c>
      <c r="E1564" s="12" t="n">
        <v>480</v>
      </c>
      <c r="F1564" s="12" t="n">
        <v>150</v>
      </c>
      <c r="G1564" s="12" t="n">
        <v>212.3</v>
      </c>
      <c r="H1564" s="12" t="inlineStr">
        <is>
          <t>Inlet-chilling e-house / transformer</t>
        </is>
      </c>
      <c r="I1564" s="12" t="inlineStr">
        <is>
          <t>LV 600 V</t>
        </is>
      </c>
      <c r="J1564" s="12" t="inlineStr">
        <is>
          <t>350 kcmil</t>
        </is>
      </c>
      <c r="K1564" s="12" t="n">
        <v>1</v>
      </c>
    </row>
    <row r="1565">
      <c r="A1565" s="12" t="inlineStr">
        <is>
          <t>CHW pumps</t>
        </is>
      </c>
      <c r="B1565" s="12" t="inlineStr"/>
      <c r="C1565" s="12" t="inlineStr">
        <is>
          <t>J</t>
        </is>
      </c>
      <c r="D1565" s="12" t="inlineStr">
        <is>
          <t>Motor 3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4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CONDITIONAL: TES chilled-water tank</t>
        </is>
      </c>
      <c r="B1567" s="12" t="inlineStr"/>
      <c r="C1567" s="12" t="inlineStr">
        <is>
          <t>J</t>
        </is>
      </c>
      <c r="D1567" s="12" t="inlineStr">
        <is>
          <t>LV power feeder</t>
        </is>
      </c>
      <c r="E1567" s="12" t="n">
        <v>480</v>
      </c>
      <c r="F1567" s="12" t="n">
        <v>10</v>
      </c>
      <c r="G1567" s="12" t="n">
        <v>14.2</v>
      </c>
      <c r="H1567" s="12" t="inlineStr">
        <is>
          <t>Inlet-chilling e-house / transformer</t>
        </is>
      </c>
      <c r="I1567" s="12" t="inlineStr">
        <is>
          <t>LV 600 V</t>
        </is>
      </c>
      <c r="J1567" s="12" t="inlineStr">
        <is>
          <t>8</t>
        </is>
      </c>
      <c r="K1567" s="12" t="n">
        <v>1</v>
      </c>
    </row>
    <row r="1568">
      <c r="A1568" s="12" t="inlineStr">
        <is>
          <t>Chillers x6 (water-cooled)</t>
        </is>
      </c>
      <c r="B1568" s="12" t="inlineStr"/>
      <c r="C1568" s="12" t="inlineStr">
        <is>
          <t>J</t>
        </is>
      </c>
      <c r="D1568" s="12" t="inlineStr">
        <is>
          <t>Motor 1 of 6, 7 kW</t>
        </is>
      </c>
      <c r="E1568" s="12" t="n">
        <v>480</v>
      </c>
      <c r="F1568" s="12" t="n">
        <v>7</v>
      </c>
      <c r="G1568" s="12" t="n">
        <v>9.9</v>
      </c>
      <c r="H1568" s="12" t="inlineStr">
        <is>
          <t>Inlet-chilling e-house / transformer</t>
        </is>
      </c>
      <c r="I1568" s="12" t="inlineStr">
        <is>
          <t>LV 600 V</t>
        </is>
      </c>
      <c r="J1568" s="12" t="inlineStr">
        <is>
          <t>10</t>
        </is>
      </c>
      <c r="K1568" s="12" t="n">
        <v>1</v>
      </c>
    </row>
    <row r="1569">
      <c r="A1569" s="12" t="inlineStr">
        <is>
          <t>Chillers x6 (water-cooled)</t>
        </is>
      </c>
      <c r="B1569" s="12" t="inlineStr"/>
      <c r="C1569" s="12" t="inlineStr">
        <is>
          <t>J</t>
        </is>
      </c>
      <c r="D1569" s="12" t="inlineStr">
        <is>
          <t>Motor 2 of 6, 7 kW</t>
        </is>
      </c>
      <c r="E1569" s="12" t="n">
        <v>480</v>
      </c>
      <c r="F1569" s="12" t="n">
        <v>7</v>
      </c>
      <c r="G1569" s="12" t="n">
        <v>9.9</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3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4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5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6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Inlet-chilling tower (12 cells): chiller heat rejection</t>
        </is>
      </c>
      <c r="B1574" s="12" t="inlineStr"/>
      <c r="C1574" s="12" t="inlineStr">
        <is>
          <t>J</t>
        </is>
      </c>
      <c r="D1574" s="12" t="inlineStr">
        <is>
          <t>Motor 1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2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3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4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5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Motor 6 of 12, 75 kW (VFD output)</t>
        </is>
      </c>
      <c r="E1579" s="12" t="n">
        <v>480</v>
      </c>
      <c r="F1579" s="12" t="n">
        <v>75</v>
      </c>
      <c r="G1579" s="12" t="n">
        <v>106</v>
      </c>
      <c r="H1579" s="12" t="inlineStr">
        <is>
          <t>Inlet-chilling e-house / transformer</t>
        </is>
      </c>
      <c r="I1579" s="12" t="inlineStr">
        <is>
          <t>LV 600 V</t>
        </is>
      </c>
      <c r="J1579" s="12" t="inlineStr">
        <is>
          <t>2/0</t>
        </is>
      </c>
      <c r="K1579" s="12" t="n">
        <v>1</v>
      </c>
    </row>
    <row r="1580">
      <c r="A1580" s="12" t="inlineStr">
        <is>
          <t>Inlet-chilling tower (12 cells): chiller heat rejection</t>
        </is>
      </c>
      <c r="B1580" s="12" t="inlineStr"/>
      <c r="C1580" s="12" t="inlineStr">
        <is>
          <t>J</t>
        </is>
      </c>
      <c r="D1580" s="12" t="inlineStr">
        <is>
          <t>Motor 7 of 12, 75 kW (VFD output)</t>
        </is>
      </c>
      <c r="E1580" s="12" t="n">
        <v>480</v>
      </c>
      <c r="F1580" s="12" t="n">
        <v>75</v>
      </c>
      <c r="G1580" s="12" t="n">
        <v>106</v>
      </c>
      <c r="H1580" s="12" t="inlineStr">
        <is>
          <t>Inlet-chilling e-house / transformer</t>
        </is>
      </c>
      <c r="I1580" s="12" t="inlineStr">
        <is>
          <t>LV 600 V</t>
        </is>
      </c>
      <c r="J1580" s="12" t="inlineStr">
        <is>
          <t>2/0</t>
        </is>
      </c>
      <c r="K1580" s="12" t="n">
        <v>1</v>
      </c>
    </row>
    <row r="1581">
      <c r="A1581" s="12" t="inlineStr">
        <is>
          <t>Inlet-chilling tower (12 cells): chiller heat rejection</t>
        </is>
      </c>
      <c r="B1581" s="12" t="inlineStr"/>
      <c r="C1581" s="12" t="inlineStr">
        <is>
          <t>J</t>
        </is>
      </c>
      <c r="D1581" s="12" t="inlineStr">
        <is>
          <t>Motor 8 of 12, 75 kW (VFD output)</t>
        </is>
      </c>
      <c r="E1581" s="12" t="n">
        <v>480</v>
      </c>
      <c r="F1581" s="12" t="n">
        <v>75</v>
      </c>
      <c r="G1581" s="12" t="n">
        <v>106</v>
      </c>
      <c r="H1581" s="12" t="inlineStr">
        <is>
          <t>Inlet-chilling e-house / transformer</t>
        </is>
      </c>
      <c r="I1581" s="12" t="inlineStr">
        <is>
          <t>LV 600 V</t>
        </is>
      </c>
      <c r="J1581" s="12" t="inlineStr">
        <is>
          <t>2/0</t>
        </is>
      </c>
      <c r="K1581" s="12" t="n">
        <v>1</v>
      </c>
    </row>
    <row r="1582">
      <c r="A1582" s="12" t="inlineStr">
        <is>
          <t>Inlet-chilling tower (12 cells): chiller heat rejection</t>
        </is>
      </c>
      <c r="B1582" s="12" t="inlineStr"/>
      <c r="C1582" s="12" t="inlineStr">
        <is>
          <t>J</t>
        </is>
      </c>
      <c r="D1582" s="12" t="inlineStr">
        <is>
          <t>Motor 9 of 12, 75 kW (VFD output)</t>
        </is>
      </c>
      <c r="E1582" s="12" t="n">
        <v>480</v>
      </c>
      <c r="F1582" s="12" t="n">
        <v>75</v>
      </c>
      <c r="G1582" s="12" t="n">
        <v>106</v>
      </c>
      <c r="H1582" s="12" t="inlineStr">
        <is>
          <t>Inlet-chilling e-house / transformer</t>
        </is>
      </c>
      <c r="I1582" s="12" t="inlineStr">
        <is>
          <t>LV 600 V</t>
        </is>
      </c>
      <c r="J1582" s="12" t="inlineStr">
        <is>
          <t>2/0</t>
        </is>
      </c>
      <c r="K1582" s="12" t="n">
        <v>1</v>
      </c>
    </row>
    <row r="1583">
      <c r="A1583" s="12" t="inlineStr">
        <is>
          <t>Inlet-chilling tower (12 cells): chiller heat rejection</t>
        </is>
      </c>
      <c r="B1583" s="12" t="inlineStr"/>
      <c r="C1583" s="12" t="inlineStr">
        <is>
          <t>J</t>
        </is>
      </c>
      <c r="D1583" s="12" t="inlineStr">
        <is>
          <t>Motor 10 of 12, 75 kW (VFD output)</t>
        </is>
      </c>
      <c r="E1583" s="12" t="n">
        <v>480</v>
      </c>
      <c r="F1583" s="12" t="n">
        <v>75</v>
      </c>
      <c r="G1583" s="12" t="n">
        <v>106</v>
      </c>
      <c r="H1583" s="12" t="inlineStr">
        <is>
          <t>Inlet-chilling e-house / transformer</t>
        </is>
      </c>
      <c r="I1583" s="12" t="inlineStr">
        <is>
          <t>LV 600 V</t>
        </is>
      </c>
      <c r="J1583" s="12" t="inlineStr">
        <is>
          <t>2/0</t>
        </is>
      </c>
      <c r="K1583" s="12" t="n">
        <v>1</v>
      </c>
    </row>
    <row r="1584">
      <c r="A1584" s="12" t="inlineStr">
        <is>
          <t>Inlet-chilling tower (12 cells): chiller heat rejection</t>
        </is>
      </c>
      <c r="B1584" s="12" t="inlineStr"/>
      <c r="C1584" s="12" t="inlineStr">
        <is>
          <t>J</t>
        </is>
      </c>
      <c r="D1584" s="12" t="inlineStr">
        <is>
          <t>Motor 11 of 12, 75 kW (VFD output)</t>
        </is>
      </c>
      <c r="E1584" s="12" t="n">
        <v>480</v>
      </c>
      <c r="F1584" s="12" t="n">
        <v>75</v>
      </c>
      <c r="G1584" s="12" t="n">
        <v>106</v>
      </c>
      <c r="H1584" s="12" t="inlineStr">
        <is>
          <t>Inlet-chilling e-house / transformer</t>
        </is>
      </c>
      <c r="I1584" s="12" t="inlineStr">
        <is>
          <t>LV 600 V</t>
        </is>
      </c>
      <c r="J1584" s="12" t="inlineStr">
        <is>
          <t>2/0</t>
        </is>
      </c>
      <c r="K1584" s="12" t="n">
        <v>1</v>
      </c>
    </row>
    <row r="1585">
      <c r="A1585" s="12" t="inlineStr">
        <is>
          <t>Inlet-chilling tower (12 cells): chiller heat rejection</t>
        </is>
      </c>
      <c r="B1585" s="12" t="inlineStr"/>
      <c r="C1585" s="12" t="inlineStr">
        <is>
          <t>J</t>
        </is>
      </c>
      <c r="D1585" s="12" t="inlineStr">
        <is>
          <t>Motor 12 of 12, 75 kW (VFD output)</t>
        </is>
      </c>
      <c r="E1585" s="12" t="n">
        <v>480</v>
      </c>
      <c r="F1585" s="12" t="n">
        <v>75</v>
      </c>
      <c r="G1585" s="12" t="n">
        <v>106</v>
      </c>
      <c r="H1585" s="12" t="inlineStr">
        <is>
          <t>Inlet-chilling e-house / transformer</t>
        </is>
      </c>
      <c r="I1585" s="12" t="inlineStr">
        <is>
          <t>LV 600 V</t>
        </is>
      </c>
      <c r="J1585" s="12" t="inlineStr">
        <is>
          <t>2/0</t>
        </is>
      </c>
      <c r="K1585" s="12" t="n">
        <v>1</v>
      </c>
    </row>
    <row r="1586">
      <c r="A1586" s="12" t="inlineStr">
        <is>
          <t>Inlet-chilling tower (12 cells): chiller heat rejection</t>
        </is>
      </c>
      <c r="B1586" s="12" t="inlineStr"/>
      <c r="C1586" s="12" t="inlineStr">
        <is>
          <t>J</t>
        </is>
      </c>
      <c r="D1586" s="12" t="inlineStr">
        <is>
          <t>Area / platform lighting circuit 1 (12 fixtures)</t>
        </is>
      </c>
      <c r="E1586" s="12" t="n">
        <v>480</v>
      </c>
      <c r="F1586" s="12" t="n">
        <v>3</v>
      </c>
      <c r="G1586" s="12" t="n">
        <v>5</v>
      </c>
      <c r="H1586" s="12" t="inlineStr">
        <is>
          <t>Inlet-chilling e-house / transformer</t>
        </is>
      </c>
      <c r="I1586" s="12" t="inlineStr">
        <is>
          <t>LV 600 V</t>
        </is>
      </c>
      <c r="J1586" s="12" t="inlineStr">
        <is>
          <t>10</t>
        </is>
      </c>
      <c r="K1586" s="12" t="n">
        <v>1</v>
      </c>
    </row>
    <row r="1587">
      <c r="A1587" s="12" t="inlineStr">
        <is>
          <t>Inlet-chilling e-house / transformer</t>
        </is>
      </c>
      <c r="B1587" s="12" t="inlineStr"/>
      <c r="C1587" s="12" t="inlineStr">
        <is>
          <t>J</t>
        </is>
      </c>
      <c r="D1587" s="12" t="inlineStr">
        <is>
          <t>Inlet-chilling e-house / transformer</t>
        </is>
      </c>
      <c r="E1587" s="12" t="n">
        <v>13800</v>
      </c>
      <c r="F1587" s="12" t="n">
        <v>12000</v>
      </c>
      <c r="G1587" s="12" t="n">
        <v>502</v>
      </c>
      <c r="H1587" s="12" t="inlineStr">
        <is>
          <t>R1 SWGR-13.8-1 (11 x 36 in cubicles, 15 kV metal-clad)</t>
        </is>
      </c>
      <c r="I1587" s="12" t="inlineStr">
        <is>
          <t>MV 15 kV</t>
        </is>
      </c>
      <c r="J1587" s="12" t="inlineStr">
        <is>
          <t>1000 kcmil</t>
        </is>
      </c>
      <c r="K1587" s="12" t="n">
        <v>1</v>
      </c>
    </row>
    <row r="1588">
      <c r="A1588" s="12" t="inlineStr">
        <is>
          <t>CW pumps (inlet chilling)</t>
        </is>
      </c>
      <c r="B1588" s="12" t="inlineStr"/>
      <c r="C1588" s="12" t="inlineStr">
        <is>
          <t>J</t>
        </is>
      </c>
      <c r="D1588" s="12" t="inlineStr">
        <is>
          <t>Inlet-chilling CW pump 1</t>
        </is>
      </c>
      <c r="E1588" s="12" t="n">
        <v>4160</v>
      </c>
      <c r="F1588" s="12" t="n">
        <v>450</v>
      </c>
      <c r="G1588" s="12" t="n">
        <v>69</v>
      </c>
      <c r="H1588" s="12" t="inlineStr">
        <is>
          <t>Inlet-chilling e-house / transformer</t>
        </is>
      </c>
      <c r="I1588" s="12" t="inlineStr">
        <is>
          <t>MV 5 kV</t>
        </is>
      </c>
      <c r="J1588" s="12" t="inlineStr">
        <is>
          <t>2</t>
        </is>
      </c>
      <c r="K1588" s="12" t="n">
        <v>1</v>
      </c>
    </row>
    <row r="1589">
      <c r="A1589" s="12" t="inlineStr">
        <is>
          <t>CW pumps (inlet chilling)</t>
        </is>
      </c>
      <c r="B1589" s="12" t="inlineStr"/>
      <c r="C1589" s="12" t="inlineStr">
        <is>
          <t>J</t>
        </is>
      </c>
      <c r="D1589" s="12" t="inlineStr">
        <is>
          <t>Inlet-chilling CW pump 2</t>
        </is>
      </c>
      <c r="E1589" s="12" t="n">
        <v>4160</v>
      </c>
      <c r="F1589" s="12" t="n">
        <v>450</v>
      </c>
      <c r="G1589" s="12" t="n">
        <v>69</v>
      </c>
      <c r="H1589" s="12" t="inlineStr">
        <is>
          <t>Inlet-chilling e-house / transformer</t>
        </is>
      </c>
      <c r="I1589" s="12" t="inlineStr">
        <is>
          <t>MV 5 kV</t>
        </is>
      </c>
      <c r="J1589" s="12" t="inlineStr">
        <is>
          <t>2</t>
        </is>
      </c>
      <c r="K1589" s="12" t="n">
        <v>1</v>
      </c>
    </row>
    <row r="1590">
      <c r="A1590" s="12" t="inlineStr">
        <is>
          <t>CW pumps (inlet chilling)</t>
        </is>
      </c>
      <c r="B1590" s="12" t="inlineStr"/>
      <c r="C1590" s="12" t="inlineStr">
        <is>
          <t>J</t>
        </is>
      </c>
      <c r="D1590" s="12" t="inlineStr">
        <is>
          <t>Inlet-chilling CW pump 3</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4</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Chillers x6 (water-cooled)</t>
        </is>
      </c>
      <c r="B1592" s="12" t="inlineStr"/>
      <c r="C1592" s="12" t="inlineStr">
        <is>
          <t>J</t>
        </is>
      </c>
      <c r="D1592" s="12" t="inlineStr">
        <is>
          <t>Water-cooled chiller CH-1</t>
        </is>
      </c>
      <c r="E1592" s="12" t="n">
        <v>4160</v>
      </c>
      <c r="F1592" s="12" t="n">
        <v>1500</v>
      </c>
      <c r="G1592" s="12" t="n">
        <v>231</v>
      </c>
      <c r="H1592" s="12" t="inlineStr">
        <is>
          <t>Inlet-chilling e-house / transformer</t>
        </is>
      </c>
      <c r="I1592" s="12" t="inlineStr">
        <is>
          <t>MV 5 kV</t>
        </is>
      </c>
      <c r="J1592" s="12" t="inlineStr">
        <is>
          <t>250 kcmil</t>
        </is>
      </c>
      <c r="K1592" s="12" t="n">
        <v>1</v>
      </c>
    </row>
    <row r="1593">
      <c r="A1593" s="12" t="inlineStr">
        <is>
          <t>Chillers x6 (water-cooled)</t>
        </is>
      </c>
      <c r="B1593" s="12" t="inlineStr"/>
      <c r="C1593" s="12" t="inlineStr">
        <is>
          <t>J</t>
        </is>
      </c>
      <c r="D1593" s="12" t="inlineStr">
        <is>
          <t>Water-cooled chiller CH-2</t>
        </is>
      </c>
      <c r="E1593" s="12" t="n">
        <v>4160</v>
      </c>
      <c r="F1593" s="12" t="n">
        <v>1500</v>
      </c>
      <c r="G1593" s="12" t="n">
        <v>231</v>
      </c>
      <c r="H1593" s="12" t="inlineStr">
        <is>
          <t>Inlet-chilling e-house / transformer</t>
        </is>
      </c>
      <c r="I1593" s="12" t="inlineStr">
        <is>
          <t>MV 5 kV</t>
        </is>
      </c>
      <c r="J1593" s="12" t="inlineStr">
        <is>
          <t>250 kcmil</t>
        </is>
      </c>
      <c r="K1593" s="12" t="n">
        <v>1</v>
      </c>
    </row>
    <row r="1594">
      <c r="A1594" s="12" t="inlineStr">
        <is>
          <t>Chillers x6 (water-cooled)</t>
        </is>
      </c>
      <c r="B1594" s="12" t="inlineStr"/>
      <c r="C1594" s="12" t="inlineStr">
        <is>
          <t>J</t>
        </is>
      </c>
      <c r="D1594" s="12" t="inlineStr">
        <is>
          <t>Water-cooled chiller CH-3</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CH-4</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CH-5</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CH-6</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H2 19: T-H2 230/13.8 kV (about 40 MVA)</t>
        </is>
      </c>
      <c r="B1598" s="12" t="inlineStr">
        <is>
          <t>T-H2</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10</t>
        </is>
      </c>
      <c r="K1598" s="12" t="n">
        <v>1</v>
      </c>
    </row>
    <row r="1599">
      <c r="A1599" s="12" t="inlineStr">
        <is>
          <t>H2 20: 13.8 kV e-house</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21: rectifier transformer 1 (7 MVA)</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8</t>
        </is>
      </c>
      <c r="K1600" s="12" t="n">
        <v>1</v>
      </c>
    </row>
    <row r="1601">
      <c r="A1601" s="12" t="inlineStr">
        <is>
          <t>H2 21: rectifier transformer 2 (7 MVA)</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8</t>
        </is>
      </c>
      <c r="K1601" s="12" t="n">
        <v>1</v>
      </c>
    </row>
    <row r="1602">
      <c r="A1602" s="12" t="inlineStr">
        <is>
          <t>H2 21: rectifier transformer 3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4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5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22: electrolyzer building (5 x HyLYZER-1000 + 5 rectifiers)</t>
        </is>
      </c>
      <c r="B1605" s="12" t="inlineStr">
        <is>
          <t>H2-EL</t>
        </is>
      </c>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23: dry coolers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24: water purification (RO / EDI)</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25: H2 dryer / purification</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26: H2 compressor 1 (40 ft ISO)</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26: H2 compressor 2 (40 ft ISO)</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27: storage tube bank (~40 ft tubes)</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27: storage tube bank (~40 ft tubes)</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28: N2 purge supply</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29: vent stack</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30: H2 / gas blending station (plant gas yard)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4</t>
        </is>
      </c>
      <c r="K1617" s="12" t="n">
        <v>1</v>
      </c>
    </row>
    <row r="1618">
      <c r="A1618" s="12" t="inlineStr">
        <is>
          <t>H2 pipe track and cable trench, hall -&gt; dryer / compressors (N2, instr</t>
        </is>
      </c>
      <c r="B1618" s="12" t="inlineStr"/>
      <c r="C1618" s="12" t="inlineStr">
        <is>
          <t>K</t>
        </is>
      </c>
      <c r="D1618" s="12" t="inlineStr">
        <is>
          <t>Motor 1 of 2, 250 kW</t>
        </is>
      </c>
      <c r="E1618" s="12" t="n">
        <v>480</v>
      </c>
      <c r="F1618" s="12" t="n">
        <v>250</v>
      </c>
      <c r="G1618" s="12" t="n">
        <v>353.8</v>
      </c>
      <c r="H1618" s="12" t="inlineStr">
        <is>
          <t>H2 20: 13.8 kV e-house</t>
        </is>
      </c>
      <c r="I1618" s="12" t="inlineStr">
        <is>
          <t>LV 600 V</t>
        </is>
      </c>
      <c r="J1618" s="12" t="inlineStr">
        <is>
          <t>4/0</t>
        </is>
      </c>
      <c r="K1618" s="12" t="n">
        <v>2</v>
      </c>
    </row>
    <row r="1619">
      <c r="A1619" s="12" t="inlineStr">
        <is>
          <t>H2 pipe track and cable trench, hall -&gt; dryer / compressors (N2, instr</t>
        </is>
      </c>
      <c r="B1619" s="12" t="inlineStr"/>
      <c r="C1619" s="12" t="inlineStr">
        <is>
          <t>K</t>
        </is>
      </c>
      <c r="D1619" s="12" t="inlineStr">
        <is>
          <t>Motor 2 of 2, 250 kW</t>
        </is>
      </c>
      <c r="E1619" s="12" t="n">
        <v>480</v>
      </c>
      <c r="F1619" s="12" t="n">
        <v>250</v>
      </c>
      <c r="G1619" s="12" t="n">
        <v>353.8</v>
      </c>
      <c r="H1619" s="12" t="inlineStr">
        <is>
          <t>H2 20: 13.8 kV e-house</t>
        </is>
      </c>
      <c r="I1619" s="12" t="inlineStr">
        <is>
          <t>LV 600 V</t>
        </is>
      </c>
      <c r="J1619" s="12" t="inlineStr">
        <is>
          <t>4/0</t>
        </is>
      </c>
      <c r="K1619" s="12" t="n">
        <v>2</v>
      </c>
    </row>
    <row r="1620">
      <c r="A1620" s="12" t="inlineStr">
        <is>
          <t>H2 storage tube banks x4</t>
        </is>
      </c>
      <c r="B1620" s="12" t="inlineStr">
        <is>
          <t>H2-ST</t>
        </is>
      </c>
      <c r="C1620" s="12" t="inlineStr">
        <is>
          <t>K</t>
        </is>
      </c>
      <c r="D1620" s="12" t="inlineStr">
        <is>
          <t>LV power feeder</t>
        </is>
      </c>
      <c r="E1620" s="12" t="n">
        <v>480</v>
      </c>
      <c r="F1620" s="12" t="n">
        <v>15</v>
      </c>
      <c r="G1620" s="12" t="n">
        <v>21.2</v>
      </c>
      <c r="H1620" s="12" t="inlineStr">
        <is>
          <t>H2 20: 13.8 kV e-house</t>
        </is>
      </c>
      <c r="I1620" s="12" t="inlineStr">
        <is>
          <t>LV 600 V</t>
        </is>
      </c>
      <c r="J1620" s="12" t="inlineStr">
        <is>
          <t>10</t>
        </is>
      </c>
      <c r="K1620" s="12" t="n">
        <v>1</v>
      </c>
    </row>
    <row r="1621">
      <c r="A1621" s="12" t="inlineStr">
        <is>
          <t>H2R: hydrogen pipeline receiving station (pig receiver, filters, meter</t>
        </is>
      </c>
      <c r="B1621" s="12" t="inlineStr">
        <is>
          <t>H2R</t>
        </is>
      </c>
      <c r="C1621" s="12" t="inlineStr">
        <is>
          <t>K</t>
        </is>
      </c>
      <c r="D1621" s="12" t="inlineStr">
        <is>
          <t>LV power feeder</t>
        </is>
      </c>
      <c r="E1621" s="12" t="n">
        <v>480</v>
      </c>
      <c r="F1621" s="12" t="n">
        <v>15</v>
      </c>
      <c r="G1621" s="12" t="n">
        <v>21.2</v>
      </c>
      <c r="H1621" s="12" t="inlineStr">
        <is>
          <t>H2 20: 13.8 kV e-house</t>
        </is>
      </c>
      <c r="I1621" s="12" t="inlineStr">
        <is>
          <t>LV 600 V</t>
        </is>
      </c>
      <c r="J1621" s="12" t="inlineStr">
        <is>
          <t>10</t>
        </is>
      </c>
      <c r="K1621" s="12" t="n">
        <v>1</v>
      </c>
    </row>
    <row r="1622">
      <c r="A1622" s="12" t="inlineStr">
        <is>
          <t>LNG 10: truck unloading bay 1</t>
        </is>
      </c>
      <c r="B1622" s="12" t="inlineStr"/>
      <c r="C1622" s="12" t="inlineStr">
        <is>
          <t>K</t>
        </is>
      </c>
      <c r="D1622" s="12" t="inlineStr">
        <is>
          <t>Motor 1 of 1, 15 kW</t>
        </is>
      </c>
      <c r="E1622" s="12" t="n">
        <v>480</v>
      </c>
      <c r="F1622" s="12" t="n">
        <v>15</v>
      </c>
      <c r="G1622" s="12" t="n">
        <v>21.2</v>
      </c>
      <c r="H1622" s="12" t="inlineStr">
        <is>
          <t>LNG 17: LNG e-house (13.8 kV / 480 V)</t>
        </is>
      </c>
      <c r="I1622" s="12" t="inlineStr">
        <is>
          <t>LV 600 V</t>
        </is>
      </c>
      <c r="J1622" s="12" t="inlineStr">
        <is>
          <t>8</t>
        </is>
      </c>
      <c r="K1622" s="12" t="n">
        <v>1</v>
      </c>
    </row>
    <row r="1623">
      <c r="A1623" s="12" t="inlineStr">
        <is>
          <t>LNG 10: truck unloading bay 2</t>
        </is>
      </c>
      <c r="B1623" s="12" t="inlineStr"/>
      <c r="C1623" s="12" t="inlineStr">
        <is>
          <t>K</t>
        </is>
      </c>
      <c r="D1623" s="12" t="inlineStr">
        <is>
          <t>Motor 1 of 1, 15 kW</t>
        </is>
      </c>
      <c r="E1623" s="12" t="n">
        <v>480</v>
      </c>
      <c r="F1623" s="12" t="n">
        <v>15</v>
      </c>
      <c r="G1623" s="12" t="n">
        <v>21.2</v>
      </c>
      <c r="H1623" s="12" t="inlineStr">
        <is>
          <t>LNG 17: LNG e-house (13.8 kV / 480 V)</t>
        </is>
      </c>
      <c r="I1623" s="12" t="inlineStr">
        <is>
          <t>LV 600 V</t>
        </is>
      </c>
      <c r="J1623" s="12" t="inlineStr">
        <is>
          <t>10</t>
        </is>
      </c>
      <c r="K1623" s="12" t="n">
        <v>1</v>
      </c>
    </row>
    <row r="1624">
      <c r="A1624" s="12" t="inlineStr">
        <is>
          <t>LNG 10: unloading skid</t>
        </is>
      </c>
      <c r="B1624" s="12" t="inlineStr"/>
      <c r="C1624" s="12" t="inlineStr">
        <is>
          <t>K</t>
        </is>
      </c>
      <c r="D1624" s="12" t="inlineStr">
        <is>
          <t>Motor 1 of 1, 15 kW</t>
        </is>
      </c>
      <c r="E1624" s="12" t="n">
        <v>480</v>
      </c>
      <c r="F1624" s="12" t="n">
        <v>15</v>
      </c>
      <c r="G1624" s="12" t="n">
        <v>21.2</v>
      </c>
      <c r="H1624" s="12" t="inlineStr">
        <is>
          <t>LNG 17: LNG e-house (13.8 kV / 480 V)</t>
        </is>
      </c>
      <c r="I1624" s="12" t="inlineStr">
        <is>
          <t>LV 600 V</t>
        </is>
      </c>
      <c r="J1624" s="12" t="inlineStr">
        <is>
          <t>10</t>
        </is>
      </c>
      <c r="K1624" s="12" t="n">
        <v>1</v>
      </c>
    </row>
    <row r="1625">
      <c r="A1625" s="12" t="inlineStr">
        <is>
          <t>LNG 11: tank 1, Chart HS 50000 (51,780 gal)</t>
        </is>
      </c>
      <c r="B1625" s="12" t="inlineStr">
        <is>
          <t>LNG-T1</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11: tank 2, Chart HS 50000 (51,780 gal)</t>
        </is>
      </c>
      <c r="B1626" s="12" t="inlineStr">
        <is>
          <t>LNG-T2</t>
        </is>
      </c>
      <c r="C1626" s="12" t="inlineStr">
        <is>
          <t>K</t>
        </is>
      </c>
      <c r="D1626" s="12" t="inlineStr">
        <is>
          <t>LV power feeder</t>
        </is>
      </c>
      <c r="E1626" s="12" t="n">
        <v>480</v>
      </c>
      <c r="F1626" s="12" t="n">
        <v>10</v>
      </c>
      <c r="G1626" s="12" t="n">
        <v>14.2</v>
      </c>
      <c r="H1626" s="12" t="inlineStr">
        <is>
          <t>LNG 17: LNG e-house (13.8 kV / 480 V)</t>
        </is>
      </c>
      <c r="I1626" s="12" t="inlineStr">
        <is>
          <t>LV 600 V</t>
        </is>
      </c>
      <c r="J1626" s="12" t="inlineStr">
        <is>
          <t>10</t>
        </is>
      </c>
      <c r="K1626" s="12" t="n">
        <v>1</v>
      </c>
    </row>
    <row r="1627">
      <c r="A1627" s="12" t="inlineStr">
        <is>
          <t>LNG 11: tank 3, Chart HS 50000 (51,780 gal)</t>
        </is>
      </c>
      <c r="B1627" s="12" t="inlineStr">
        <is>
          <t>LNG-T3</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4, Chart HS 50000 (51,780 gal)</t>
        </is>
      </c>
      <c r="B1628" s="12" t="inlineStr">
        <is>
          <t>LNG-T4</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5, Chart HS 50000 (51,780 gal)</t>
        </is>
      </c>
      <c r="B1629" s="12" t="inlineStr">
        <is>
          <t>LNG-T5</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6, Chart HS 50000 (51,780 gal)</t>
        </is>
      </c>
      <c r="B1630" s="12" t="inlineStr">
        <is>
          <t>LNG-T6</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7, Chart HS 50000 (51,780 gal)</t>
        </is>
      </c>
      <c r="B1631" s="12" t="inlineStr">
        <is>
          <t>LNG-T7</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11: tank 8, Chart HS 50000 (51,780 gal)</t>
        </is>
      </c>
      <c r="B1632" s="12" t="inlineStr">
        <is>
          <t>LNG-T8</t>
        </is>
      </c>
      <c r="C1632" s="12" t="inlineStr">
        <is>
          <t>K</t>
        </is>
      </c>
      <c r="D1632" s="12" t="inlineStr">
        <is>
          <t>LV power feeder</t>
        </is>
      </c>
      <c r="E1632" s="12" t="n">
        <v>480</v>
      </c>
      <c r="F1632" s="12" t="n">
        <v>10</v>
      </c>
      <c r="G1632" s="12" t="n">
        <v>14.2</v>
      </c>
      <c r="H1632" s="12" t="inlineStr">
        <is>
          <t>LNG 17: LNG e-house (13.8 kV / 480 V)</t>
        </is>
      </c>
      <c r="I1632" s="12" t="inlineStr">
        <is>
          <t>LV 600 V</t>
        </is>
      </c>
      <c r="J1632" s="12" t="inlineStr">
        <is>
          <t>10</t>
        </is>
      </c>
      <c r="K1632" s="12" t="n">
        <v>1</v>
      </c>
    </row>
    <row r="1633">
      <c r="A1633" s="12" t="inlineStr">
        <is>
          <t>LNG 12: spill impoundment (NFPA 59A, to verify)</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13: send-out pumps 2 x 100%</t>
        </is>
      </c>
      <c r="B1634" s="12" t="inlineStr"/>
      <c r="C1634" s="12" t="inlineStr">
        <is>
          <t>K</t>
        </is>
      </c>
      <c r="D1634" s="12" t="inlineStr">
        <is>
          <t>Motor 1 of 1, 15 kW</t>
        </is>
      </c>
      <c r="E1634" s="12" t="n">
        <v>480</v>
      </c>
      <c r="F1634" s="12" t="n">
        <v>15</v>
      </c>
      <c r="G1634" s="12" t="n">
        <v>21.2</v>
      </c>
      <c r="H1634" s="12" t="inlineStr">
        <is>
          <t>LNG 17: LNG e-house (13.8 kV / 480 V)</t>
        </is>
      </c>
      <c r="I1634" s="12" t="inlineStr">
        <is>
          <t>LV 600 V</t>
        </is>
      </c>
      <c r="J1634" s="12" t="inlineStr">
        <is>
          <t>10</t>
        </is>
      </c>
      <c r="K1634" s="12" t="n">
        <v>1</v>
      </c>
    </row>
    <row r="1635">
      <c r="A1635" s="12" t="inlineStr">
        <is>
          <t>LNG 14: vaporizers + glycol heater</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15: boil-off gas compressor</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16: send-out metering + pressure control</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17: LNG e-house (13.8 kV / 480 V)</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18: vent stack</t>
        </is>
      </c>
      <c r="B1639" s="12" t="inlineStr"/>
      <c r="C1639" s="12" t="inlineStr">
        <is>
          <t>K</t>
        </is>
      </c>
      <c r="D1639" s="12" t="inlineStr">
        <is>
          <t>Motor 1 of 1, 15 kW</t>
        </is>
      </c>
      <c r="E1639" s="12" t="n">
        <v>480</v>
      </c>
      <c r="F1639" s="12" t="n">
        <v>15</v>
      </c>
      <c r="G1639" s="12" t="n">
        <v>21.2</v>
      </c>
      <c r="H1639" s="12" t="inlineStr">
        <is>
          <t>LNG 17: LNG e-house (13.8 kV / 480 V)</t>
        </is>
      </c>
      <c r="I1639" s="12" t="inlineStr">
        <is>
          <t>LV 600 V</t>
        </is>
      </c>
      <c r="J1639" s="12" t="inlineStr">
        <is>
          <t>10</t>
        </is>
      </c>
      <c r="K1639" s="12" t="n">
        <v>1</v>
      </c>
    </row>
    <row r="1640">
      <c r="A1640" s="12" t="inlineStr">
        <is>
          <t>LNG impoundment sump pump</t>
        </is>
      </c>
      <c r="B1640" s="12" t="inlineStr"/>
      <c r="C1640" s="12" t="inlineStr">
        <is>
          <t>K</t>
        </is>
      </c>
      <c r="D1640" s="12" t="inlineStr">
        <is>
          <t>LV power feeder</t>
        </is>
      </c>
      <c r="E1640" s="12" t="n">
        <v>480</v>
      </c>
      <c r="F1640" s="12" t="n">
        <v>15</v>
      </c>
      <c r="G1640" s="12" t="n">
        <v>21.2</v>
      </c>
      <c r="H1640" s="12" t="inlineStr">
        <is>
          <t>LNG 17: LNG e-house (13.8 kV / 480 V)</t>
        </is>
      </c>
      <c r="I1640" s="12" t="inlineStr">
        <is>
          <t>LV 600 V</t>
        </is>
      </c>
      <c r="J1640" s="12" t="inlineStr">
        <is>
          <t>8</t>
        </is>
      </c>
      <c r="K1640" s="12" t="n">
        <v>1</v>
      </c>
    </row>
    <row r="1641">
      <c r="A1641" s="12" t="inlineStr">
        <is>
          <t>M&amp;R 2: insulating joint + ESD valve</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6</t>
        </is>
      </c>
      <c r="K1641" s="12" t="n">
        <v>1</v>
      </c>
    </row>
    <row r="1642">
      <c r="A1642" s="12" t="inlineStr">
        <is>
          <t>M&amp;R 3: horizontal filter-separator</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4</t>
        </is>
      </c>
      <c r="K1642" s="12" t="n">
        <v>1</v>
      </c>
    </row>
    <row r="1643">
      <c r="A1643" s="12" t="inlineStr">
        <is>
          <t>M&amp;R 4: line heater 1 (water bath)</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4: line heater 2 (water bath)</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6</t>
        </is>
      </c>
      <c r="K1644" s="12" t="n">
        <v>1</v>
      </c>
    </row>
    <row r="1645">
      <c r="A1645" s="12" t="inlineStr">
        <is>
          <t>M&amp;R 4: line heater 3 (water bath)</t>
        </is>
      </c>
      <c r="B1645" s="12" t="inlineStr"/>
      <c r="C1645" s="12" t="inlineStr">
        <is>
          <t>K</t>
        </is>
      </c>
      <c r="D1645" s="12" t="inlineStr">
        <is>
          <t>LV power feeder</t>
        </is>
      </c>
      <c r="E1645" s="12" t="n">
        <v>480</v>
      </c>
      <c r="F1645" s="12" t="n">
        <v>15</v>
      </c>
      <c r="G1645" s="12" t="n">
        <v>21.2</v>
      </c>
      <c r="H1645" s="12" t="inlineStr">
        <is>
          <t>LNG 17: LNG e-house (13.8 kV / 480 V)</t>
        </is>
      </c>
      <c r="I1645" s="12" t="inlineStr">
        <is>
          <t>LV 600 V</t>
        </is>
      </c>
      <c r="J1645" s="12" t="inlineStr">
        <is>
          <t>6</t>
        </is>
      </c>
      <c r="K1645" s="12" t="n">
        <v>1</v>
      </c>
    </row>
    <row r="1646">
      <c r="A1646" s="12" t="inlineStr">
        <is>
          <t>M&amp;R 6: regulation / flow control building</t>
        </is>
      </c>
      <c r="B1646" s="12" t="inlineStr"/>
      <c r="C1646" s="12" t="inlineStr">
        <is>
          <t>K</t>
        </is>
      </c>
      <c r="D1646" s="12" t="inlineStr">
        <is>
          <t>LV panel / distribution feeder</t>
        </is>
      </c>
      <c r="E1646" s="12" t="n">
        <v>480</v>
      </c>
      <c r="F1646" s="12" t="n">
        <v>10</v>
      </c>
      <c r="G1646" s="12" t="n">
        <v>14.2</v>
      </c>
      <c r="H1646" s="12" t="inlineStr">
        <is>
          <t>LNG 17: LNG e-house (13.8 kV / 480 V)</t>
        </is>
      </c>
      <c r="I1646" s="12" t="inlineStr">
        <is>
          <t>LV 600 V</t>
        </is>
      </c>
      <c r="J1646" s="12" t="inlineStr">
        <is>
          <t>8</t>
        </is>
      </c>
      <c r="K1646" s="12" t="n">
        <v>1</v>
      </c>
    </row>
    <row r="1647">
      <c r="A1647" s="12" t="inlineStr">
        <is>
          <t>M&amp;R 7: gas quality + measurement building</t>
        </is>
      </c>
      <c r="B1647" s="12" t="inlineStr"/>
      <c r="C1647" s="12" t="inlineStr">
        <is>
          <t>K</t>
        </is>
      </c>
      <c r="D1647" s="12" t="inlineStr">
        <is>
          <t>LV panel / distribution feeder</t>
        </is>
      </c>
      <c r="E1647" s="12" t="n">
        <v>480</v>
      </c>
      <c r="F1647" s="12" t="n">
        <v>30</v>
      </c>
      <c r="G1647" s="12" t="n">
        <v>42.5</v>
      </c>
      <c r="H1647" s="12" t="inlineStr">
        <is>
          <t>LNG 17: LNG e-house (13.8 kV / 480 V)</t>
        </is>
      </c>
      <c r="I1647" s="12" t="inlineStr">
        <is>
          <t>LV 600 V</t>
        </is>
      </c>
      <c r="J1647" s="12" t="inlineStr">
        <is>
          <t>2</t>
        </is>
      </c>
      <c r="K1647" s="12" t="n">
        <v>1</v>
      </c>
    </row>
    <row r="1648">
      <c r="A1648" s="12" t="inlineStr">
        <is>
          <t>M&amp;R 8: condensate tank</t>
        </is>
      </c>
      <c r="B1648" s="12" t="inlineStr"/>
      <c r="C1648" s="12" t="inlineStr">
        <is>
          <t>K</t>
        </is>
      </c>
      <c r="D1648" s="12" t="inlineStr">
        <is>
          <t>LV power feeder</t>
        </is>
      </c>
      <c r="E1648" s="12" t="n">
        <v>480</v>
      </c>
      <c r="F1648" s="12" t="n">
        <v>10</v>
      </c>
      <c r="G1648" s="12" t="n">
        <v>14.2</v>
      </c>
      <c r="H1648" s="12" t="inlineStr">
        <is>
          <t>LNG 17: LNG e-house (13.8 kV / 480 V)</t>
        </is>
      </c>
      <c r="I1648" s="12" t="inlineStr">
        <is>
          <t>LV 600 V</t>
        </is>
      </c>
      <c r="J1648" s="12" t="inlineStr">
        <is>
          <t>8</t>
        </is>
      </c>
      <c r="K1648" s="12" t="n">
        <v>1</v>
      </c>
    </row>
    <row r="1649">
      <c r="A1649" s="12" t="inlineStr">
        <is>
          <t>M&amp;R 9: service panel + UPS, SCADA RTU, CP</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6</t>
        </is>
      </c>
      <c r="K1649" s="12" t="n">
        <v>1</v>
      </c>
    </row>
    <row r="1650">
      <c r="A1650" s="12" t="inlineStr">
        <is>
          <t>M&amp;R CP test station (as drawn)</t>
        </is>
      </c>
      <c r="B1650" s="12" t="inlineStr"/>
      <c r="C1650" s="12" t="inlineStr">
        <is>
          <t>K</t>
        </is>
      </c>
      <c r="D1650" s="12" t="inlineStr">
        <is>
          <t>LV power feeder</t>
        </is>
      </c>
      <c r="E1650" s="12" t="n">
        <v>480</v>
      </c>
      <c r="F1650" s="12" t="n">
        <v>15</v>
      </c>
      <c r="G1650" s="12" t="n">
        <v>21.2</v>
      </c>
      <c r="H1650" s="12" t="inlineStr">
        <is>
          <t>LNG 17: LNG e-house (13.8 kV / 480 V)</t>
        </is>
      </c>
      <c r="I1650" s="12" t="inlineStr">
        <is>
          <t>LV 600 V</t>
        </is>
      </c>
      <c r="J1650" s="12" t="inlineStr">
        <is>
          <t>6</t>
        </is>
      </c>
      <c r="K1650" s="12" t="n">
        <v>1</v>
      </c>
    </row>
    <row r="1651">
      <c r="A1651" s="12" t="inlineStr">
        <is>
          <t>M&amp;R SCADA antenna mast base (as drawn)</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8</t>
        </is>
      </c>
      <c r="K1651" s="12" t="n">
        <v>1</v>
      </c>
    </row>
    <row r="1652">
      <c r="A1652" s="12" t="inlineStr">
        <is>
          <t>H2 20: 13.8 kV e-house</t>
        </is>
      </c>
      <c r="B1652" s="12" t="inlineStr"/>
      <c r="C1652" s="12" t="inlineStr">
        <is>
          <t>K</t>
        </is>
      </c>
      <c r="D1652" s="12" t="inlineStr">
        <is>
          <t>H2 13.8 kV e-house (electrolyzers)</t>
        </is>
      </c>
      <c r="E1652" s="12" t="n">
        <v>13800</v>
      </c>
      <c r="F1652" s="12" t="n">
        <v>20000</v>
      </c>
      <c r="G1652" s="12" t="n">
        <v>837</v>
      </c>
      <c r="H1652" s="12" t="inlineStr">
        <is>
          <t>R1 SWGR-13.8-3 (11 x 36 in cubicles, 15 kV metal-clad)</t>
        </is>
      </c>
      <c r="I1652" s="12" t="inlineStr">
        <is>
          <t>MV 15 kV</t>
        </is>
      </c>
      <c r="J1652" s="12" t="inlineStr">
        <is>
          <t>750 kcmil</t>
        </is>
      </c>
      <c r="K1652" s="12" t="n">
        <v>2</v>
      </c>
    </row>
    <row r="1653">
      <c r="A1653" s="12" t="inlineStr">
        <is>
          <t>LNG 17: LNG e-house (13.8 kV / 480 V)</t>
        </is>
      </c>
      <c r="B1653" s="12" t="inlineStr"/>
      <c r="C1653" s="12" t="inlineStr">
        <is>
          <t>K</t>
        </is>
      </c>
      <c r="D1653" s="12" t="inlineStr">
        <is>
          <t>LNG e-house</t>
        </is>
      </c>
      <c r="E1653" s="12" t="n">
        <v>13800</v>
      </c>
      <c r="F1653" s="12" t="n">
        <v>5000</v>
      </c>
      <c r="G1653" s="12" t="n">
        <v>209</v>
      </c>
      <c r="H1653" s="12" t="inlineStr">
        <is>
          <t>R1 SWGR-13.8-3 (11 x 36 in cubicles, 15 kV metal-clad)</t>
        </is>
      </c>
      <c r="I1653" s="12" t="inlineStr">
        <is>
          <t>MV 15 kV</t>
        </is>
      </c>
      <c r="J1653" s="12" t="inlineStr">
        <is>
          <t>4/0</t>
        </is>
      </c>
      <c r="K1653" s="12" t="n">
        <v>1</v>
      </c>
    </row>
    <row r="1654">
      <c r="A1654" s="12" t="inlineStr">
        <is>
          <t>Small-bore piping: instrument air, service water, nitrogen, HRSG drain</t>
        </is>
      </c>
      <c r="B1654" s="12" t="inlineStr"/>
      <c r="C1654" s="12" t="inlineStr"/>
      <c r="D1654" s="12" t="inlineStr">
        <is>
          <t>Motor 1 of 2, 250 kW</t>
        </is>
      </c>
      <c r="E1654" s="12" t="n">
        <v>480</v>
      </c>
      <c r="F1654" s="12" t="n">
        <v>250</v>
      </c>
      <c r="G1654" s="12" t="n">
        <v>353.8</v>
      </c>
      <c r="H1654" s="12" t="inlineStr">
        <is>
          <t>R1 MCC-C1</t>
        </is>
      </c>
      <c r="I1654" s="12" t="inlineStr">
        <is>
          <t>LV 600 V</t>
        </is>
      </c>
      <c r="J1654" s="12" t="inlineStr">
        <is>
          <t>250 kcmil</t>
        </is>
      </c>
      <c r="K1654" s="12" t="n">
        <v>2</v>
      </c>
    </row>
    <row r="1655">
      <c r="A1655" s="12" t="inlineStr">
        <is>
          <t>Small-bore piping: instrument air, service water, nitrogen, HRSG drain</t>
        </is>
      </c>
      <c r="B1655" s="12" t="inlineStr"/>
      <c r="C1655" s="12" t="inlineStr"/>
      <c r="D1655" s="12" t="inlineStr">
        <is>
          <t>Motor 2 of 2, 250 kW</t>
        </is>
      </c>
      <c r="E1655" s="12" t="n">
        <v>480</v>
      </c>
      <c r="F1655" s="12" t="n">
        <v>250</v>
      </c>
      <c r="G1655" s="12" t="n">
        <v>353.8</v>
      </c>
      <c r="H1655" s="12" t="inlineStr">
        <is>
          <t>R1 MCC-C1</t>
        </is>
      </c>
      <c r="I1655" s="12" t="inlineStr">
        <is>
          <t>LV 600 V</t>
        </is>
      </c>
      <c r="J1655" s="12" t="inlineStr">
        <is>
          <t>250 kcmil</t>
        </is>
      </c>
      <c r="K1655"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2026-10-16T13:47:03Z</dcterms:created>
  <dcterms:modified xsi:type="dcterms:W3CDTF">2026-10-16T13:47:06Z</dcterms:modified>
</cp:coreProperties>
</file>