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Schedule'!$A$1:$AA$6271</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6270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6270</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1235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74100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189</v>
      </c>
      <c r="U4294" s="15" t="n">
        <v>58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324</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181</v>
      </c>
      <c r="U4549" s="15" t="n">
        <v>32</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181</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c r="H4583" s="12" t="inlineStr">
        <is>
          <t>MOB-1 gas regulator / meter skid (flexible hose to the trailer)</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284</v>
      </c>
      <c r="U4583" s="15" t="n">
        <v>92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MOB-1</t>
        </is>
      </c>
      <c r="H4584" s="12" t="inlineStr">
        <is>
          <t>MOB-1: trailer genset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266</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is>
          <t>MOD-EH</t>
        </is>
      </c>
      <c r="H4585" s="12" t="inlineStr">
        <is>
          <t>MOD-EH: 34.5 kV modular collector e-house (2 bus sections + 13.8 kV st</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300</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c r="H4586" s="12" t="inlineStr">
        <is>
          <t>MT-4..6 480 V switchboard</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234</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MT-4</t>
        </is>
      </c>
      <c r="H4587" s="12" t="inlineStr">
        <is>
          <t>MT-4: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318</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MT-5</t>
        </is>
      </c>
      <c r="H4588" s="12" t="inlineStr">
        <is>
          <t>MT-5: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304</v>
      </c>
      <c r="U4588" s="15" t="n">
        <v>33</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MT-6</t>
        </is>
      </c>
      <c r="H4589" s="12" t="inlineStr">
        <is>
          <t>MT-6: microturbine 1 MW (1 MW package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Duct bank</t>
        </is>
      </c>
      <c r="T4589" s="15" t="n">
        <v>234</v>
      </c>
      <c r="U4589" s="15" t="n">
        <v>38</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PCM: power control module</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Tray</t>
        </is>
      </c>
      <c r="T4590" s="15" t="n">
        <v>0</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c r="H4591" s="12" t="inlineStr">
        <is>
          <t>RICE CEMS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158</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Fire alarm / F&amp;G loop (to the local FACP / F&amp;G node)</t>
        </is>
      </c>
      <c r="E4592" s="12" t="inlineStr"/>
      <c r="F4592" s="12" t="inlineStr">
        <is>
          <t>PCM: power control module</t>
        </is>
      </c>
      <c r="G4592" s="12" t="inlineStr">
        <is>
          <t>RICE</t>
        </is>
      </c>
      <c r="H4592" s="12" t="inlineStr">
        <is>
          <t>RICE engine hall (8 engines)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57</v>
      </c>
      <c r="U4592" s="15" t="n">
        <v>83</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CEMS shelter fire alarm loop</t>
        </is>
      </c>
      <c r="E4593" s="12" t="inlineStr"/>
      <c r="F4593" s="12" t="inlineStr">
        <is>
          <t>SC-1 PCM + 15 kV GCB</t>
        </is>
      </c>
      <c r="G4593" s="12" t="inlineStr"/>
      <c r="H4593" s="12" t="inlineStr">
        <is>
          <t>SC-1 CEMS shelter</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81</v>
      </c>
      <c r="U4593" s="15" t="n">
        <v>106</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SC-1 PCM fire alarm / F&amp;G node to the plant FACP</t>
        </is>
      </c>
      <c r="E4594" s="12" t="inlineStr">
        <is>
          <t>CR</t>
        </is>
      </c>
      <c r="F4594" s="12" t="inlineStr">
        <is>
          <t>Control / admin building (main control room)</t>
        </is>
      </c>
      <c r="G4594" s="12" t="inlineStr"/>
      <c r="H4594" s="12" t="inlineStr">
        <is>
          <t>SC-1 PCM + 15 kV GCB</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4097</v>
      </c>
      <c r="U4594" s="15" t="n">
        <v>48</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Fire alarm / F&amp;G loop (to the local FACP / F&amp;G node)</t>
        </is>
      </c>
      <c r="E4595" s="12" t="inlineStr"/>
      <c r="F4595" s="12" t="inlineStr">
        <is>
          <t>SC-1 PCM + 15 kV GCB</t>
        </is>
      </c>
      <c r="G4595" s="12" t="inlineStr">
        <is>
          <t>SC-1</t>
        </is>
      </c>
      <c r="H4595" s="12" t="inlineStr">
        <is>
          <t>SC-1: aeroderivative simple-cycle unit (LM6000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Tray</t>
        </is>
      </c>
      <c r="T4595" s="15" t="n">
        <v>5</v>
      </c>
      <c r="U4595" s="15" t="n">
        <v>62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CEMS shelter fire alarm loop</t>
        </is>
      </c>
      <c r="E4596" s="12" t="inlineStr"/>
      <c r="F4596" s="12" t="inlineStr">
        <is>
          <t>SC-2 PCM + 15 kV GCB</t>
        </is>
      </c>
      <c r="G4596" s="12" t="inlineStr"/>
      <c r="H4596" s="12" t="inlineStr">
        <is>
          <t>SC-2 CEMS shelter</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74</v>
      </c>
      <c r="U4596" s="15" t="n">
        <v>112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SC-2 PCM fire alarm / F&amp;G node to the plant FACP</t>
        </is>
      </c>
      <c r="E4597" s="12" t="inlineStr">
        <is>
          <t>CR</t>
        </is>
      </c>
      <c r="F4597" s="12" t="inlineStr">
        <is>
          <t>Control / admin building (main control room)</t>
        </is>
      </c>
      <c r="G4597" s="12" t="inlineStr"/>
      <c r="H4597" s="12" t="inlineStr">
        <is>
          <t>SC-2 PCM + 15 kV GCB</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4178</v>
      </c>
      <c r="U4597" s="15" t="n">
        <v>43</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c r="F4598" s="12" t="inlineStr">
        <is>
          <t>SC-2 PCM + 15 kV GCB</t>
        </is>
      </c>
      <c r="G4598" s="12" t="inlineStr">
        <is>
          <t>SC-2</t>
        </is>
      </c>
      <c r="H4598" s="12" t="inlineStr">
        <is>
          <t>SC-2: aeroderivative simple-cycle unit (LM6000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35</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I-FA-0029</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TM-1</t>
        </is>
      </c>
      <c r="H4599" s="12" t="inlineStr">
        <is>
          <t>TM-1: trailer-mounted aeroderivative GT (TM2500 class, ~35 MW)</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437</v>
      </c>
      <c r="U4599" s="15" t="n">
        <v>39</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I-G-0001</t>
        </is>
      </c>
      <c r="B4600" s="12" t="inlineStr">
        <is>
          <t>I</t>
        </is>
      </c>
      <c r="C4600" s="12" t="inlineStr">
        <is>
          <t>Modular / portable power</t>
        </is>
      </c>
      <c r="D4600" s="12" t="inlineStr">
        <is>
          <t>L6 GB-1 block ground ring (4/0 bare Cu) + 7 taps</t>
        </is>
      </c>
      <c r="E4600" s="12" t="inlineStr">
        <is>
          <t>GBT-1</t>
        </is>
      </c>
      <c r="F4600" s="12" t="inlineStr">
        <is>
          <t>GBT-1: block GB-1 step-up 480 V : 34.5 kV, ~3 MVA pad-mount (on the 35</t>
        </is>
      </c>
      <c r="G4600" s="12" t="inlineStr">
        <is>
          <t>GBT-1</t>
        </is>
      </c>
      <c r="H4600" s="12" t="inlineStr">
        <is>
          <t>GBT-1: block GB-1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I-G-0002</t>
        </is>
      </c>
      <c r="B4601" s="12" t="inlineStr">
        <is>
          <t>I</t>
        </is>
      </c>
      <c r="C4601" s="12" t="inlineStr">
        <is>
          <t>Modular / portable power</t>
        </is>
      </c>
      <c r="D4601" s="12" t="inlineStr">
        <is>
          <t>L6 GB-2 block ground ring (4/0 bare Cu) + 7 taps</t>
        </is>
      </c>
      <c r="E4601" s="12" t="inlineStr">
        <is>
          <t>GBT-2</t>
        </is>
      </c>
      <c r="F4601" s="12" t="inlineStr">
        <is>
          <t>GBT-2: block GB-2 step-up 480 V : 34.5 kV, ~3 MVA pad-mount (on the 35</t>
        </is>
      </c>
      <c r="G4601" s="12" t="inlineStr">
        <is>
          <t>GBT-2</t>
        </is>
      </c>
      <c r="H4601" s="12" t="inlineStr">
        <is>
          <t>GBT-2: block GB-2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I-G-0003</t>
        </is>
      </c>
      <c r="B4602" s="12" t="inlineStr">
        <is>
          <t>I</t>
        </is>
      </c>
      <c r="C4602" s="12" t="inlineStr">
        <is>
          <t>Modular / portable power</t>
        </is>
      </c>
      <c r="D4602" s="12" t="inlineStr">
        <is>
          <t>L6 GB-3 block ground ring (4/0 bare Cu) + 7 taps</t>
        </is>
      </c>
      <c r="E4602" s="12" t="inlineStr">
        <is>
          <t>GBT-3</t>
        </is>
      </c>
      <c r="F4602" s="12" t="inlineStr">
        <is>
          <t>GBT-3: block GB-3 step-up 480 V : 34.5 kV, ~3 MVA pad-mount (on the 35</t>
        </is>
      </c>
      <c r="G4602" s="12" t="inlineStr">
        <is>
          <t>GBT-3</t>
        </is>
      </c>
      <c r="H4602" s="12" t="inlineStr">
        <is>
          <t>GBT-3: block GB-3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I-G-0004</t>
        </is>
      </c>
      <c r="B4603" s="12" t="inlineStr">
        <is>
          <t>I</t>
        </is>
      </c>
      <c r="C4603" s="12" t="inlineStr">
        <is>
          <t>Modular / portable power</t>
        </is>
      </c>
      <c r="D4603" s="12" t="inlineStr">
        <is>
          <t>L6 GB-4 block ground ring (4/0 bare Cu) + 7 taps</t>
        </is>
      </c>
      <c r="E4603" s="12" t="inlineStr">
        <is>
          <t>GBT-4</t>
        </is>
      </c>
      <c r="F4603" s="12" t="inlineStr">
        <is>
          <t>GBT-4: block GB-4 step-up 480 V : 34.5 kV, ~3 MVA pad-mount (on the 35</t>
        </is>
      </c>
      <c r="G4603" s="12" t="inlineStr">
        <is>
          <t>GBT-4</t>
        </is>
      </c>
      <c r="H4603" s="12" t="inlineStr">
        <is>
          <t>GBT-4: block GB-4 step-up 480 V : 34.5 kV, ~3 MVA pad-mount (on the 35</t>
        </is>
      </c>
      <c r="I4603" s="12" t="inlineStr">
        <is>
          <t>Grounding</t>
        </is>
      </c>
      <c r="J4603" s="12" t="inlineStr">
        <is>
          <t>Bare Cu 4/0 AWG, 19 strand (ground grid and equipment grounds)</t>
        </is>
      </c>
      <c r="K4603" s="12" t="inlineStr">
        <is>
          <t>BARE|1/C|4/0</t>
        </is>
      </c>
      <c r="L4603" s="12" t="inlineStr">
        <is>
          <t>1/C</t>
        </is>
      </c>
      <c r="M4603" s="12" t="inlineStr">
        <is>
          <t>4/0</t>
        </is>
      </c>
      <c r="N4603" s="12" t="n">
        <v>1</v>
      </c>
      <c r="O4603" s="12" t="n">
        <v>1</v>
      </c>
      <c r="P4603" s="12" t="n"/>
      <c r="Q4603" s="12" t="n"/>
      <c r="R4603" s="12" t="n"/>
      <c r="S4603" s="12" t="inlineStr">
        <is>
          <t>Buried</t>
        </is>
      </c>
      <c r="T4603" s="15" t="n">
        <v>236</v>
      </c>
      <c r="U4603" s="15" t="n">
        <v>0</v>
      </c>
      <c r="V4603" s="15">
        <f>ROUNDUP((T4603+U4603+2*'Read Me'!$B$13)*(1+'Read Me'!$B$12),-1)</f>
        <v/>
      </c>
      <c r="W4603" s="15">
        <f>V4603*N4603*O4603</f>
        <v/>
      </c>
      <c r="X4603" s="12">
        <f>IF(LEFT(I4603,2)="MV",2*N4603*IF(L4603="1/C",O4603,1),0)</f>
        <v/>
      </c>
      <c r="Y4603" s="12">
        <f>IF(OR(LEFT(K4603,4)="LVAX",LEFT(K4603,6)="MV15AX",LEFT(K4603,4)="CTAX",LEFT(K4603,2)="W|"),2*N4603*O4603,0)</f>
        <v/>
      </c>
      <c r="Z4603" s="12" t="inlineStr">
        <is>
          <t>ring 2 x (74 + 23) ft + 7 taps x 6 ft</t>
        </is>
      </c>
      <c r="AA4603" s="12">
        <f>N4603*O4603</f>
        <v/>
      </c>
    </row>
    <row r="4604">
      <c r="A4604" s="12" t="inlineStr">
        <is>
          <t>I-I-0001</t>
        </is>
      </c>
      <c r="B4604" s="12" t="inlineStr">
        <is>
          <t>I</t>
        </is>
      </c>
      <c r="C4604" s="12" t="inlineStr">
        <is>
          <t>Modular / portable power</t>
        </is>
      </c>
      <c r="D4604" s="12" t="inlineStr">
        <is>
          <t>AX-GSU monitoring: temperatures, gas relay, oil level</t>
        </is>
      </c>
      <c r="E4604" s="12" t="inlineStr">
        <is>
          <t>AX-1</t>
        </is>
      </c>
      <c r="F4604" s="12" t="inlineStr">
        <is>
          <t xml:space="preserve">AX-1: compact modular aeroderivative installation, LM2500XPRESS class </t>
        </is>
      </c>
      <c r="G4604" s="12" t="inlineStr">
        <is>
          <t>AX-GSU</t>
        </is>
      </c>
      <c r="H4604" s="12" t="inlineStr">
        <is>
          <t>AX-GSU: 13.8 / 34.5 kV step-up, ~45 MVA (AX-1 unit step-up)</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28</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I-I-0002</t>
        </is>
      </c>
      <c r="B4605" s="12" t="inlineStr">
        <is>
          <t>I</t>
        </is>
      </c>
      <c r="C4605" s="12" t="inlineStr">
        <is>
          <t>Modular / portable power</t>
        </is>
      </c>
      <c r="D4605" s="12" t="inlineStr">
        <is>
          <t>Analog instrument to JB JB-Aqueous ammonia (S-AI01: 6 x 1 pr (field cables)</t>
        </is>
      </c>
      <c r="E4605" s="12" t="inlineStr"/>
      <c r="F4605" s="12" t="inlineStr">
        <is>
          <t>Aqueous ammonia (SC units)</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5" t="n">
        <v>55</v>
      </c>
      <c r="U4605" s="15" t="n">
        <v>10</v>
      </c>
      <c r="V4605" s="15">
        <f>ROUNDUP((T4605+U4605+2*'Read Me'!$B$13)*(1+'Read Me'!$B$12),-1)</f>
        <v/>
      </c>
      <c r="W4605" s="15">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I-I-0003</t>
        </is>
      </c>
      <c r="B4606" s="12" t="inlineStr">
        <is>
          <t>I</t>
        </is>
      </c>
      <c r="C4606" s="12" t="inlineStr">
        <is>
          <t>Modular / portable power</t>
        </is>
      </c>
      <c r="D4606" s="12" t="inlineStr">
        <is>
          <t>Home run JB-Aqueous ammonia (S-AI01 to the control / marshalling room</t>
        </is>
      </c>
      <c r="E4606" s="12" t="inlineStr"/>
      <c r="F4606" s="12" t="inlineStr">
        <is>
          <t>SC-2 PCM + 15 kV GCB</t>
        </is>
      </c>
      <c r="G4606" s="12" t="inlineStr">
        <is>
          <t>JB-Aqueous ammonia (S-AI01</t>
        </is>
      </c>
      <c r="H4606" s="12" t="inlineStr">
        <is>
          <t>Aqueous ammonia (SC units)</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5" t="n">
        <v>0</v>
      </c>
      <c r="U4606" s="15" t="n">
        <v>98</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I-I-0004</t>
        </is>
      </c>
      <c r="B4607" s="12" t="inlineStr">
        <is>
          <t>I</t>
        </is>
      </c>
      <c r="C4607" s="12" t="inlineStr">
        <is>
          <t>Modular / portable power</t>
        </is>
      </c>
      <c r="D4607" s="12" t="inlineStr">
        <is>
          <t>Discrete device to JB JB-Aqueous ammonia (S-DI01: 6 x 1 pr (field cables)</t>
        </is>
      </c>
      <c r="E4607" s="12" t="inlineStr"/>
      <c r="F4607" s="12" t="inlineStr">
        <is>
          <t>Aqueous ammonia (SC units)</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6</v>
      </c>
      <c r="O4607" s="12" t="n">
        <v>1</v>
      </c>
      <c r="P4607" s="12" t="n"/>
      <c r="Q4607" s="12" t="n"/>
      <c r="R4607" s="12" t="n"/>
      <c r="S4607" s="12" t="inlineStr">
        <is>
          <t>Tray / conduit</t>
        </is>
      </c>
      <c r="T4607" s="15" t="n">
        <v>55</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I-I-0005</t>
        </is>
      </c>
      <c r="B4608" s="12" t="inlineStr">
        <is>
          <t>I</t>
        </is>
      </c>
      <c r="C4608" s="12" t="inlineStr">
        <is>
          <t>Modular / portable power</t>
        </is>
      </c>
      <c r="D4608" s="12" t="inlineStr">
        <is>
          <t>Home run JB-Aqueous ammonia (S-DI01 to the control / marshalling room</t>
        </is>
      </c>
      <c r="E4608" s="12" t="inlineStr"/>
      <c r="F4608" s="12" t="inlineStr">
        <is>
          <t>SC-2 PCM + 15 kV GCB</t>
        </is>
      </c>
      <c r="G4608" s="12" t="inlineStr">
        <is>
          <t>JB-Aqueous ammonia (S-DI01</t>
        </is>
      </c>
      <c r="H4608" s="12" t="inlineStr">
        <is>
          <t>Aqueous ammonia (SC units)</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0</v>
      </c>
      <c r="U4608" s="15" t="n">
        <v>98</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I-I-0006</t>
        </is>
      </c>
      <c r="B4609" s="12" t="inlineStr">
        <is>
          <t>I</t>
        </is>
      </c>
      <c r="C4609" s="12" t="inlineStr">
        <is>
          <t>Modular / portable power</t>
        </is>
      </c>
      <c r="D4609" s="12" t="inlineStr">
        <is>
          <t>Analog instrument to JB JB-Black-start genset-AI01: 20 x 1 pr (field cables)</t>
        </is>
      </c>
      <c r="E4609" s="12" t="inlineStr"/>
      <c r="F4609" s="12" t="inlineStr">
        <is>
          <t>Black-start genset (proposed; requires study)</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5" t="n">
        <v>59</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I-I-0007</t>
        </is>
      </c>
      <c r="B4610" s="12" t="inlineStr">
        <is>
          <t>I</t>
        </is>
      </c>
      <c r="C4610" s="12" t="inlineStr">
        <is>
          <t>Modular / portable power</t>
        </is>
      </c>
      <c r="D4610" s="12" t="inlineStr">
        <is>
          <t>Home run JB-Black-start genset-AI01 to the control / marshalling room</t>
        </is>
      </c>
      <c r="E4610" s="12" t="inlineStr"/>
      <c r="F4610" s="12" t="inlineStr">
        <is>
          <t>PCM: power control module</t>
        </is>
      </c>
      <c r="G4610" s="12" t="inlineStr">
        <is>
          <t>JB-Black-start genset-AI01</t>
        </is>
      </c>
      <c r="H4610" s="12" t="inlineStr">
        <is>
          <t>Black-start genset (proposed; requires study)</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590</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I-I-0008</t>
        </is>
      </c>
      <c r="B4611" s="12" t="inlineStr">
        <is>
          <t>I</t>
        </is>
      </c>
      <c r="C4611" s="12" t="inlineStr">
        <is>
          <t>Modular / portable power</t>
        </is>
      </c>
      <c r="D4611" s="12" t="inlineStr">
        <is>
          <t>Discrete device to JB JB-Black-start genset-DI01: 20 x 1 pr (field cables)</t>
        </is>
      </c>
      <c r="E4611" s="12" t="inlineStr"/>
      <c r="F4611" s="12" t="inlineStr">
        <is>
          <t>Black-start genset (proposed; requires study)</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5" t="n">
        <v>59</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I-I-0009</t>
        </is>
      </c>
      <c r="B4612" s="12" t="inlineStr">
        <is>
          <t>I</t>
        </is>
      </c>
      <c r="C4612" s="12" t="inlineStr">
        <is>
          <t>Modular / portable power</t>
        </is>
      </c>
      <c r="D4612" s="12" t="inlineStr">
        <is>
          <t>Home run JB-Black-start genset-DI01 to the control / marshalling room</t>
        </is>
      </c>
      <c r="E4612" s="12" t="inlineStr"/>
      <c r="F4612" s="12" t="inlineStr">
        <is>
          <t>PCM: power control module</t>
        </is>
      </c>
      <c r="G4612" s="12" t="inlineStr">
        <is>
          <t>JB-Black-start genset-DI01</t>
        </is>
      </c>
      <c r="H4612" s="12" t="inlineStr">
        <is>
          <t>Black-start genset (proposed; requires study)</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590</v>
      </c>
      <c r="U4612" s="15" t="n">
        <v>32</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I-I-0010</t>
        </is>
      </c>
      <c r="B4613" s="12" t="inlineStr">
        <is>
          <t>I</t>
        </is>
      </c>
      <c r="C4613" s="12" t="inlineStr">
        <is>
          <t>Modular / portable power</t>
        </is>
      </c>
      <c r="D4613" s="12" t="inlineStr">
        <is>
          <t>Analog instrument to JB JB-Black-start genset-AI01: 20 x 1 pr (field cables)</t>
        </is>
      </c>
      <c r="E4613" s="12" t="inlineStr"/>
      <c r="F4613" s="12" t="inlineStr">
        <is>
          <t>Black-start genset (proposed; requires study)</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5" t="n">
        <v>59</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I-I-0011</t>
        </is>
      </c>
      <c r="B4614" s="12" t="inlineStr">
        <is>
          <t>I</t>
        </is>
      </c>
      <c r="C4614" s="12" t="inlineStr">
        <is>
          <t>Modular / portable power</t>
        </is>
      </c>
      <c r="D4614" s="12" t="inlineStr">
        <is>
          <t>Home run JB-Black-start genset-AI01 to the control / marshalling room</t>
        </is>
      </c>
      <c r="E4614" s="12" t="inlineStr"/>
      <c r="F4614" s="12" t="inlineStr">
        <is>
          <t>PCM: power control module</t>
        </is>
      </c>
      <c r="G4614" s="12" t="inlineStr">
        <is>
          <t>JB-Black-start genset-AI01</t>
        </is>
      </c>
      <c r="H4614" s="12" t="inlineStr">
        <is>
          <t>Black-start genset (proposed; requires study)</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590</v>
      </c>
      <c r="U4614" s="15" t="n">
        <v>40</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I-I-0012</t>
        </is>
      </c>
      <c r="B4615" s="12" t="inlineStr">
        <is>
          <t>I</t>
        </is>
      </c>
      <c r="C4615" s="12" t="inlineStr">
        <is>
          <t>Modular / portable power</t>
        </is>
      </c>
      <c r="D4615" s="12" t="inlineStr">
        <is>
          <t>Discrete device to JB JB-Black-start genset-DI01: 20 x 1 pr (field cables)</t>
        </is>
      </c>
      <c r="E4615" s="12" t="inlineStr"/>
      <c r="F4615" s="12" t="inlineStr">
        <is>
          <t>Black-start genset (proposed; requires study)</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I-I-0013</t>
        </is>
      </c>
      <c r="B4616" s="12" t="inlineStr">
        <is>
          <t>I</t>
        </is>
      </c>
      <c r="C4616" s="12" t="inlineStr">
        <is>
          <t>Modular / portable power</t>
        </is>
      </c>
      <c r="D4616" s="12" t="inlineStr">
        <is>
          <t>Home run JB-Black-start genset-DI01 to the control / marshalling room</t>
        </is>
      </c>
      <c r="E4616" s="12" t="inlineStr"/>
      <c r="F4616" s="12" t="inlineStr">
        <is>
          <t>PCM: power control module</t>
        </is>
      </c>
      <c r="G4616" s="12" t="inlineStr">
        <is>
          <t>JB-Black-start genset-DI01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40</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I-I-0014</t>
        </is>
      </c>
      <c r="B4617" s="12" t="inlineStr">
        <is>
          <t>I</t>
        </is>
      </c>
      <c r="C4617" s="12" t="inlineStr">
        <is>
          <t>Modular / portable power</t>
        </is>
      </c>
      <c r="D4617" s="12" t="inlineStr">
        <is>
          <t>CGE-1 instrumentation</t>
        </is>
      </c>
      <c r="E4617" s="12" t="inlineStr">
        <is>
          <t>CGE-SWG</t>
        </is>
      </c>
      <c r="F4617" s="12" t="inlineStr">
        <is>
          <t>CGE-SWG: 13.8 kV switchgear container (engine breakers, site feeder)</t>
        </is>
      </c>
      <c r="G4617" s="12" t="inlineStr">
        <is>
          <t>CGE-1</t>
        </is>
      </c>
      <c r="H4617" s="12" t="inlineStr">
        <is>
          <t>CGE-1: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65</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I-I-0015</t>
        </is>
      </c>
      <c r="B4618" s="12" t="inlineStr">
        <is>
          <t>I</t>
        </is>
      </c>
      <c r="C4618" s="12" t="inlineStr">
        <is>
          <t>Modular / portable power</t>
        </is>
      </c>
      <c r="D4618" s="12" t="inlineStr">
        <is>
          <t>CGE-2 instrumentation</t>
        </is>
      </c>
      <c r="E4618" s="12" t="inlineStr">
        <is>
          <t>CGE-SWG</t>
        </is>
      </c>
      <c r="F4618" s="12" t="inlineStr">
        <is>
          <t>CGE-SWG: 13.8 kV switchgear container (engine breakers, site feeder)</t>
        </is>
      </c>
      <c r="G4618" s="12" t="inlineStr">
        <is>
          <t>CGE-2</t>
        </is>
      </c>
      <c r="H4618" s="12" t="inlineStr">
        <is>
          <t>CGE-2: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47</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I-I-0016</t>
        </is>
      </c>
      <c r="B4619" s="12" t="inlineStr">
        <is>
          <t>I</t>
        </is>
      </c>
      <c r="C4619" s="12" t="inlineStr">
        <is>
          <t>Modular / portable power</t>
        </is>
      </c>
      <c r="D4619" s="12" t="inlineStr">
        <is>
          <t>CGE-3 instrumentation</t>
        </is>
      </c>
      <c r="E4619" s="12" t="inlineStr">
        <is>
          <t>CGE-SWG</t>
        </is>
      </c>
      <c r="F4619" s="12" t="inlineStr">
        <is>
          <t>CGE-SWG: 13.8 kV switchgear container (engine breakers, site feeder)</t>
        </is>
      </c>
      <c r="G4619" s="12" t="inlineStr">
        <is>
          <t>CGE-3</t>
        </is>
      </c>
      <c r="H4619" s="12" t="inlineStr">
        <is>
          <t>CGE-3: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46</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I-I-0017</t>
        </is>
      </c>
      <c r="B4620" s="12" t="inlineStr">
        <is>
          <t>I</t>
        </is>
      </c>
      <c r="C4620" s="12" t="inlineStr">
        <is>
          <t>Modular / portable power</t>
        </is>
      </c>
      <c r="D4620" s="12" t="inlineStr">
        <is>
          <t>CGE-4 instrumentation</t>
        </is>
      </c>
      <c r="E4620" s="12" t="inlineStr">
        <is>
          <t>CGE-SWG</t>
        </is>
      </c>
      <c r="F4620" s="12" t="inlineStr">
        <is>
          <t>CGE-SWG: 13.8 kV switchgear container (engine breakers, site feeder)</t>
        </is>
      </c>
      <c r="G4620" s="12" t="inlineStr">
        <is>
          <t>CGE-4</t>
        </is>
      </c>
      <c r="H4620" s="12" t="inlineStr">
        <is>
          <t>CGE-4: containerized gas-engine generator ~4.4 MW, 13.8 kV (40 ft engi</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29</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I-I-0018</t>
        </is>
      </c>
      <c r="B4621" s="12" t="inlineStr">
        <is>
          <t>I</t>
        </is>
      </c>
      <c r="C4621" s="12" t="inlineStr">
        <is>
          <t>Modular / portable power</t>
        </is>
      </c>
      <c r="D4621" s="12" t="inlineStr">
        <is>
          <t>CGE-AUX monitoring: temperatures, gas relay, oil level</t>
        </is>
      </c>
      <c r="E4621" s="12" t="inlineStr">
        <is>
          <t>CGE-SWG</t>
        </is>
      </c>
      <c r="F4621" s="12" t="inlineStr">
        <is>
          <t>CGE-SWG: 13.8 kV switchgear container (engine breakers, site feeder)</t>
        </is>
      </c>
      <c r="G4621" s="12" t="inlineStr">
        <is>
          <t>CGE-AUX</t>
        </is>
      </c>
      <c r="H4621" s="12" t="inlineStr">
        <is>
          <t>CGE-AUX: 13.8 / 0.48 kV auxiliary transformer (cooling containers, rad</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12</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I-I-0019</t>
        </is>
      </c>
      <c r="B4622" s="12" t="inlineStr">
        <is>
          <t>I</t>
        </is>
      </c>
      <c r="C4622" s="12" t="inlineStr">
        <is>
          <t>Modular / portable power</t>
        </is>
      </c>
      <c r="D4622" s="12" t="inlineStr">
        <is>
          <t>CGE-GSU monitoring: temperatures, gas relay, oil level</t>
        </is>
      </c>
      <c r="E4622" s="12" t="inlineStr">
        <is>
          <t>CGE-SWG</t>
        </is>
      </c>
      <c r="F4622" s="12" t="inlineStr">
        <is>
          <t>CGE-SWG: 13.8 kV switchgear container (engine breakers, site feeder)</t>
        </is>
      </c>
      <c r="G4622" s="12" t="inlineStr">
        <is>
          <t>CGE-GSU</t>
        </is>
      </c>
      <c r="H4622" s="12" t="inlineStr">
        <is>
          <t>CGE-GSU: 13.8 / 34.5 kV step-up, ~20 MVA (containerized engines)</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10</v>
      </c>
      <c r="U4622" s="15" t="n">
        <v>32</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I-I-0020</t>
        </is>
      </c>
      <c r="B4623" s="12" t="inlineStr">
        <is>
          <t>I</t>
        </is>
      </c>
      <c r="C4623" s="12" t="inlineStr">
        <is>
          <t>Modular / portable power</t>
        </is>
      </c>
      <c r="D4623" s="12" t="inlineStr">
        <is>
          <t>CHP-1 instrumentation (incl. heat-recovery temperatures)</t>
        </is>
      </c>
      <c r="E4623" s="12" t="inlineStr">
        <is>
          <t>CHP-SWG</t>
        </is>
      </c>
      <c r="F4623" s="12" t="inlineStr">
        <is>
          <t>CHP-SWG: 13.8 kV switchgear container (4 engine breakers, site feeder)</t>
        </is>
      </c>
      <c r="G4623" s="12" t="inlineStr">
        <is>
          <t>CHP-1</t>
        </is>
      </c>
      <c r="H4623" s="12" t="inlineStr">
        <is>
          <t>CHP-1: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46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I-I-0021</t>
        </is>
      </c>
      <c r="B4624" s="12" t="inlineStr">
        <is>
          <t>I</t>
        </is>
      </c>
      <c r="C4624" s="12" t="inlineStr">
        <is>
          <t>Modular / portable power</t>
        </is>
      </c>
      <c r="D4624" s="12" t="inlineStr">
        <is>
          <t>CHP-2 instrumentation (incl. heat-recovery temperatures)</t>
        </is>
      </c>
      <c r="E4624" s="12" t="inlineStr">
        <is>
          <t>CHP-SWG</t>
        </is>
      </c>
      <c r="F4624" s="12" t="inlineStr">
        <is>
          <t>CHP-SWG: 13.8 kV switchgear container (4 engine breakers, site feeder)</t>
        </is>
      </c>
      <c r="G4624" s="12" t="inlineStr">
        <is>
          <t>CHP-2</t>
        </is>
      </c>
      <c r="H4624" s="12" t="inlineStr">
        <is>
          <t>CHP-2: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58</v>
      </c>
      <c r="U4624" s="15" t="n">
        <v>32</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I-I-0022</t>
        </is>
      </c>
      <c r="B4625" s="12" t="inlineStr">
        <is>
          <t>I</t>
        </is>
      </c>
      <c r="C4625" s="12" t="inlineStr">
        <is>
          <t>Modular / portable power</t>
        </is>
      </c>
      <c r="D4625" s="12" t="inlineStr">
        <is>
          <t>CHP-3 instrumentation (incl. heat-recovery temperatures)</t>
        </is>
      </c>
      <c r="E4625" s="12" t="inlineStr">
        <is>
          <t>CHP-SWG</t>
        </is>
      </c>
      <c r="F4625" s="12" t="inlineStr">
        <is>
          <t>CHP-SWG: 13.8 kV switchgear container (4 engine breakers, site feeder)</t>
        </is>
      </c>
      <c r="G4625" s="12" t="inlineStr">
        <is>
          <t>CHP-3</t>
        </is>
      </c>
      <c r="H4625" s="12" t="inlineStr">
        <is>
          <t>CHP-3: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33</v>
      </c>
      <c r="U4625" s="15" t="n">
        <v>33</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I-I-0023</t>
        </is>
      </c>
      <c r="B4626" s="12" t="inlineStr">
        <is>
          <t>I</t>
        </is>
      </c>
      <c r="C4626" s="12" t="inlineStr">
        <is>
          <t>Modular / portable power</t>
        </is>
      </c>
      <c r="D4626" s="12" t="inlineStr">
        <is>
          <t>CHP-4 instrumentation (incl. heat-recovery temperatures)</t>
        </is>
      </c>
      <c r="E4626" s="12" t="inlineStr">
        <is>
          <t>CHP-SWG</t>
        </is>
      </c>
      <c r="F4626" s="12" t="inlineStr">
        <is>
          <t>CHP-SWG: 13.8 kV switchgear container (4 engine breakers, site feeder)</t>
        </is>
      </c>
      <c r="G4626" s="12" t="inlineStr">
        <is>
          <t>CHP-4</t>
        </is>
      </c>
      <c r="H4626" s="12" t="inlineStr">
        <is>
          <t>CHP-4: gas-engine generator ~2.5 MW with exhaust heat recovery, 13.8 k</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20</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I-I-0024</t>
        </is>
      </c>
      <c r="B4627" s="12" t="inlineStr">
        <is>
          <t>I</t>
        </is>
      </c>
      <c r="C4627" s="12" t="inlineStr">
        <is>
          <t>Modular / portable power</t>
        </is>
      </c>
      <c r="D4627" s="12" t="inlineStr">
        <is>
          <t>CHP-AUX monitoring: temperatures, gas relay, oil level</t>
        </is>
      </c>
      <c r="E4627" s="12" t="inlineStr">
        <is>
          <t>CHP-SWG</t>
        </is>
      </c>
      <c r="F4627" s="12" t="inlineStr">
        <is>
          <t>CHP-SWG: 13.8 kV switchgear container (4 engine breakers, site feeder)</t>
        </is>
      </c>
      <c r="G4627" s="12" t="inlineStr">
        <is>
          <t>CHP-AUX</t>
        </is>
      </c>
      <c r="H4627" s="12" t="inlineStr">
        <is>
          <t>CHP-AUX: 13.8 / 0.48 kV, 750 kVA auxiliary pad-mount (engine auxiliari</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I-I-0025</t>
        </is>
      </c>
      <c r="B4628" s="12" t="inlineStr">
        <is>
          <t>I</t>
        </is>
      </c>
      <c r="C4628" s="12" t="inlineStr">
        <is>
          <t>Modular / portable power</t>
        </is>
      </c>
      <c r="D4628" s="12" t="inlineStr">
        <is>
          <t>CHP-HR heat-recovery instrumentation (flows, temperatures, valves)</t>
        </is>
      </c>
      <c r="E4628" s="12" t="inlineStr">
        <is>
          <t>CHP-SWG</t>
        </is>
      </c>
      <c r="F4628" s="12" t="inlineStr">
        <is>
          <t>CHP-SWG: 13.8 kV switchgear container (4 engine breakers, site feeder)</t>
        </is>
      </c>
      <c r="G4628" s="12" t="inlineStr">
        <is>
          <t>CHP-HR</t>
        </is>
      </c>
      <c r="H4628" s="12" t="inlineStr">
        <is>
          <t>CHP-HR: exhaust heat-recovery rack (4 exhaust heat exchangers and stac</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40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I-I-0026</t>
        </is>
      </c>
      <c r="B4629" s="12" t="inlineStr">
        <is>
          <t>I</t>
        </is>
      </c>
      <c r="C4629" s="12" t="inlineStr">
        <is>
          <t>Modular / portable power</t>
        </is>
      </c>
      <c r="D4629" s="12" t="inlineStr">
        <is>
          <t>Instrumentation</t>
        </is>
      </c>
      <c r="E4629" s="12" t="inlineStr"/>
      <c r="F4629" s="12" t="inlineStr">
        <is>
          <t>PCM: power control module</t>
        </is>
      </c>
      <c r="G4629" s="12" t="inlineStr"/>
      <c r="H4629" s="12" t="inlineStr">
        <is>
          <t>CONDITIONAL: BESS black-start alternative</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I-I-0027</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I-I-0028</t>
        </is>
      </c>
      <c r="B4631" s="12" t="inlineStr">
        <is>
          <t>I</t>
        </is>
      </c>
      <c r="C4631" s="12" t="inlineStr">
        <is>
          <t>Modular / portable power</t>
        </is>
      </c>
      <c r="D4631" s="12" t="inlineStr">
        <is>
          <t>Thermocouples</t>
        </is>
      </c>
      <c r="E4631" s="12" t="inlineStr"/>
      <c r="F4631" s="12" t="inlineStr">
        <is>
          <t>PCM: power control module</t>
        </is>
      </c>
      <c r="G4631" s="12" t="inlineStr"/>
      <c r="H4631" s="12" t="inlineStr">
        <is>
          <t>CONDITIONAL: BESS black-start alternative</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5" t="n">
        <v>516</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I-I-0029</t>
        </is>
      </c>
      <c r="B4632" s="12" t="inlineStr">
        <is>
          <t>I</t>
        </is>
      </c>
      <c r="C4632" s="12" t="inlineStr">
        <is>
          <t>Modular / portable power</t>
        </is>
      </c>
      <c r="D4632" s="12" t="inlineStr">
        <is>
          <t>Instrumentation</t>
        </is>
      </c>
      <c r="E4632" s="12" t="inlineStr"/>
      <c r="F4632" s="12" t="inlineStr">
        <is>
          <t>SC-1 PCM + 15 kV GCB</t>
        </is>
      </c>
      <c r="G4632" s="12" t="inlineStr"/>
      <c r="H4632" s="12" t="inlineStr">
        <is>
          <t>CONDITIONAL: SC-1 inlet chiller / evaporative cooler</t>
        </is>
      </c>
      <c r="I4632" s="12" t="inlineStr">
        <is>
          <t>Instrumentation</t>
        </is>
      </c>
      <c r="J4632" s="12" t="inlineStr">
        <is>
          <t>Instrumentation PLTC / TC-ER 300 V, #18 twisted shielded pairs, overall shield</t>
        </is>
      </c>
      <c r="K4632" s="12" t="inlineStr">
        <is>
          <t>PLTC|4 pr|18</t>
        </is>
      </c>
      <c r="L4632" s="12" t="inlineStr">
        <is>
          <t>4 pr</t>
        </is>
      </c>
      <c r="M4632" s="12" t="inlineStr">
        <is>
          <t>18</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I-I-0030</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I-I-0031</t>
        </is>
      </c>
      <c r="B4634" s="12" t="inlineStr">
        <is>
          <t>I</t>
        </is>
      </c>
      <c r="C4634" s="12" t="inlineStr">
        <is>
          <t>Modular / portable power</t>
        </is>
      </c>
      <c r="D4634" s="12" t="inlineStr">
        <is>
          <t>Thermocouples</t>
        </is>
      </c>
      <c r="E4634" s="12" t="inlineStr"/>
      <c r="F4634" s="12" t="inlineStr">
        <is>
          <t>SC-1 PCM + 15 kV GCB</t>
        </is>
      </c>
      <c r="G4634" s="12" t="inlineStr"/>
      <c r="H4634" s="12" t="inlineStr">
        <is>
          <t>CONDITIONAL: SC-1 inlet chiller / evaporative cooler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Duct bank</t>
        </is>
      </c>
      <c r="T4634" s="15" t="n">
        <v>270</v>
      </c>
      <c r="U4634" s="15" t="n">
        <v>78</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I-I-0032</t>
        </is>
      </c>
      <c r="B4635" s="12" t="inlineStr">
        <is>
          <t>I</t>
        </is>
      </c>
      <c r="C4635" s="12" t="inlineStr">
        <is>
          <t>Modular / portable power</t>
        </is>
      </c>
      <c r="D4635" s="12" t="inlineStr">
        <is>
          <t>Instrumentation</t>
        </is>
      </c>
      <c r="E4635" s="12" t="inlineStr"/>
      <c r="F4635" s="12" t="inlineStr">
        <is>
          <t>SC-2 PCM + 15 kV GCB</t>
        </is>
      </c>
      <c r="G4635" s="12" t="inlineStr"/>
      <c r="H4635" s="12" t="inlineStr">
        <is>
          <t>CONDITIONAL: SC-2 inlet chiller / evaporative cooler</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I-I-0033</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I-I-0034</t>
        </is>
      </c>
      <c r="B4637" s="12" t="inlineStr">
        <is>
          <t>I</t>
        </is>
      </c>
      <c r="C4637" s="12" t="inlineStr">
        <is>
          <t>Modular / portable power</t>
        </is>
      </c>
      <c r="D4637" s="12" t="inlineStr">
        <is>
          <t>Thermocouples</t>
        </is>
      </c>
      <c r="E4637" s="12" t="inlineStr"/>
      <c r="F4637" s="12" t="inlineStr">
        <is>
          <t>SC-2 PCM + 15 kV GCB</t>
        </is>
      </c>
      <c r="G4637" s="12" t="inlineStr"/>
      <c r="H4637" s="12" t="inlineStr">
        <is>
          <t>CONDITIONAL: SC-2 inlet chiller / evaporative cooler</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10</v>
      </c>
      <c r="U4637" s="15" t="n">
        <v>106</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I-I-0035</t>
        </is>
      </c>
      <c r="B4638" s="12" t="inlineStr">
        <is>
          <t>I</t>
        </is>
      </c>
      <c r="C4638" s="12" t="inlineStr">
        <is>
          <t>Modular / portable power</t>
        </is>
      </c>
      <c r="D4638" s="12" t="inlineStr">
        <is>
          <t>Analog instrument to JB JB-Demin tank + trail-AI01: 4 x 1 pr (field cables)</t>
        </is>
      </c>
      <c r="E4638" s="12" t="inlineStr"/>
      <c r="F4638" s="12" t="inlineStr">
        <is>
          <t>Demin tank + trailer pad</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4</v>
      </c>
      <c r="O4638" s="12" t="n">
        <v>1</v>
      </c>
      <c r="P4638" s="12" t="n"/>
      <c r="Q4638" s="12" t="n"/>
      <c r="R4638" s="12" t="n"/>
      <c r="S4638" s="12" t="inlineStr">
        <is>
          <t>Tray / conduit</t>
        </is>
      </c>
      <c r="T4638" s="15" t="n">
        <v>78</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I-I-0036</t>
        </is>
      </c>
      <c r="B4639" s="12" t="inlineStr">
        <is>
          <t>I</t>
        </is>
      </c>
      <c r="C4639" s="12" t="inlineStr">
        <is>
          <t>Modular / portable power</t>
        </is>
      </c>
      <c r="D4639" s="12" t="inlineStr">
        <is>
          <t>Home run JB-Demin tank + trail-AI01 to the control / marshalling room</t>
        </is>
      </c>
      <c r="E4639" s="12" t="inlineStr"/>
      <c r="F4639" s="12" t="inlineStr">
        <is>
          <t>SC-2 PCM + 15 kV GCB</t>
        </is>
      </c>
      <c r="G4639" s="12" t="inlineStr">
        <is>
          <t>JB-Demin tank + trail-AI01</t>
        </is>
      </c>
      <c r="H4639" s="12" t="inlineStr">
        <is>
          <t>Demin tank + trailer pad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5" t="n">
        <v>8</v>
      </c>
      <c r="U4639" s="15" t="n">
        <v>64</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I-I-0037</t>
        </is>
      </c>
      <c r="B4640" s="12" t="inlineStr">
        <is>
          <t>I</t>
        </is>
      </c>
      <c r="C4640" s="12" t="inlineStr">
        <is>
          <t>Modular / portable power</t>
        </is>
      </c>
      <c r="D4640" s="12" t="inlineStr">
        <is>
          <t>Discrete device to JB JB-Demin tank + trail-DI01: 4 x 1 pr (field cables)</t>
        </is>
      </c>
      <c r="E4640" s="12" t="inlineStr"/>
      <c r="F4640" s="12" t="inlineStr">
        <is>
          <t>Demin tank + trailer pad</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4</v>
      </c>
      <c r="O4640" s="12" t="n">
        <v>1</v>
      </c>
      <c r="P4640" s="12" t="n"/>
      <c r="Q4640" s="12" t="n"/>
      <c r="R4640" s="12" t="n"/>
      <c r="S4640" s="12" t="inlineStr">
        <is>
          <t>Tray / conduit</t>
        </is>
      </c>
      <c r="T4640" s="15" t="n">
        <v>78</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I-I-0038</t>
        </is>
      </c>
      <c r="B4641" s="12" t="inlineStr">
        <is>
          <t>I</t>
        </is>
      </c>
      <c r="C4641" s="12" t="inlineStr">
        <is>
          <t>Modular / portable power</t>
        </is>
      </c>
      <c r="D4641" s="12" t="inlineStr">
        <is>
          <t>Home run JB-Demin tank + trail-DI01 to the control / marshalling room</t>
        </is>
      </c>
      <c r="E4641" s="12" t="inlineStr"/>
      <c r="F4641" s="12" t="inlineStr">
        <is>
          <t>SC-2 PCM + 15 kV GCB</t>
        </is>
      </c>
      <c r="G4641" s="12" t="inlineStr">
        <is>
          <t>JB-Demin tank + trail-DI01</t>
        </is>
      </c>
      <c r="H4641" s="12" t="inlineStr">
        <is>
          <t>Demin tank + trailer pad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8</v>
      </c>
      <c r="U4641" s="15" t="n">
        <v>64</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I-I-0039</t>
        </is>
      </c>
      <c r="B4642" s="12" t="inlineStr">
        <is>
          <t>I</t>
        </is>
      </c>
      <c r="C4642" s="12" t="inlineStr">
        <is>
          <t>Modular / portable power</t>
        </is>
      </c>
      <c r="D4642" s="12" t="inlineStr">
        <is>
          <t>Instrumentation</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Instrumentation PLTC / TC-ER 300 V, #18 twisted shielded pairs, overall shield</t>
        </is>
      </c>
      <c r="K4642" s="12" t="inlineStr">
        <is>
          <t>PLTC|4 pr|18</t>
        </is>
      </c>
      <c r="L4642" s="12" t="inlineStr">
        <is>
          <t>4 pr</t>
        </is>
      </c>
      <c r="M4642" s="12" t="inlineStr">
        <is>
          <t>18</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I-I-0040</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I-I-0041</t>
        </is>
      </c>
      <c r="B4644" s="12" t="inlineStr">
        <is>
          <t>I</t>
        </is>
      </c>
      <c r="C4644" s="12" t="inlineStr">
        <is>
          <t>Modular / portable power</t>
        </is>
      </c>
      <c r="D4644" s="12" t="inlineStr">
        <is>
          <t>Thermocouples</t>
        </is>
      </c>
      <c r="E4644" s="12" t="inlineStr">
        <is>
          <t>PAD-EH</t>
        </is>
      </c>
      <c r="F4644" s="12" t="inlineStr">
        <is>
          <t>PAD-EH 13.8 kV switchgear e-house</t>
        </is>
      </c>
      <c r="G4644" s="12" t="inlineStr"/>
      <c r="H4644" s="12" t="inlineStr">
        <is>
          <t>FC-5..8 inverter / AC cabinet / desulfurizer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Surface</t>
        </is>
      </c>
      <c r="T4644" s="15" t="n">
        <v>198</v>
      </c>
      <c r="U4644" s="15" t="n">
        <v>32</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I-I-0042</t>
        </is>
      </c>
      <c r="B4645" s="12" t="inlineStr">
        <is>
          <t>I</t>
        </is>
      </c>
      <c r="C4645" s="12" t="inlineStr">
        <is>
          <t>Modular / portable power</t>
        </is>
      </c>
      <c r="D4645" s="12" t="inlineStr">
        <is>
          <t>Analog instrument to JB JB-FC-5-AI01: 10 x 1 pr (field cables)</t>
        </is>
      </c>
      <c r="E4645" s="12" t="inlineStr">
        <is>
          <t>FC-5</t>
        </is>
      </c>
      <c r="F4645" s="12" t="inlineStr">
        <is>
          <t>FC-5: SOFC module (200-300 kW class)</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10</v>
      </c>
      <c r="O4645" s="12" t="n">
        <v>1</v>
      </c>
      <c r="P4645" s="12" t="n"/>
      <c r="Q4645" s="12" t="n"/>
      <c r="R4645" s="12" t="n"/>
      <c r="S4645" s="12" t="inlineStr">
        <is>
          <t>Tray / conduit</t>
        </is>
      </c>
      <c r="T4645" s="15" t="n">
        <v>45</v>
      </c>
      <c r="U4645" s="15" t="n">
        <v>10</v>
      </c>
      <c r="V4645" s="15">
        <f>ROUNDUP((T4645+U4645+2*'Read Me'!$B$13)*(1+'Read Me'!$B$12),-1)</f>
        <v/>
      </c>
      <c r="W4645" s="15">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I-I-0043</t>
        </is>
      </c>
      <c r="B4646" s="12" t="inlineStr">
        <is>
          <t>I</t>
        </is>
      </c>
      <c r="C4646" s="12" t="inlineStr">
        <is>
          <t>Modular / portable power</t>
        </is>
      </c>
      <c r="D4646" s="12" t="inlineStr">
        <is>
          <t>Home run JB-FC-5-AI01 to the control / marshalling room</t>
        </is>
      </c>
      <c r="E4646" s="12" t="inlineStr">
        <is>
          <t>PAD-EH</t>
        </is>
      </c>
      <c r="F4646" s="12" t="inlineStr">
        <is>
          <t>PAD-EH 13.8 kV switchgear e-house</t>
        </is>
      </c>
      <c r="G4646" s="12" t="inlineStr">
        <is>
          <t>JB-FC-5-AI01</t>
        </is>
      </c>
      <c r="H4646" s="12" t="inlineStr">
        <is>
          <t>FC-5: SOFC module (200-300 kW class)</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Surface</t>
        </is>
      </c>
      <c r="T4646" s="15" t="n">
        <v>251</v>
      </c>
      <c r="U4646" s="15" t="n">
        <v>44</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I-I-0044</t>
        </is>
      </c>
      <c r="B4647" s="12" t="inlineStr">
        <is>
          <t>I</t>
        </is>
      </c>
      <c r="C4647" s="12" t="inlineStr">
        <is>
          <t>Modular / portable power</t>
        </is>
      </c>
      <c r="D4647" s="12" t="inlineStr">
        <is>
          <t>Discrete device to JB JB-FC-5-DI01: 10 x 1 pr (field cables)</t>
        </is>
      </c>
      <c r="E4647" s="12" t="inlineStr">
        <is>
          <t>FC-5</t>
        </is>
      </c>
      <c r="F4647" s="12" t="inlineStr">
        <is>
          <t>FC-5: SOFC module (200-300 kW class)</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10</v>
      </c>
      <c r="O4647" s="12" t="n">
        <v>1</v>
      </c>
      <c r="P4647" s="12" t="n"/>
      <c r="Q4647" s="12" t="n"/>
      <c r="R4647" s="12" t="n"/>
      <c r="S4647" s="12" t="inlineStr">
        <is>
          <t>Tray / conduit</t>
        </is>
      </c>
      <c r="T4647" s="15" t="n">
        <v>45</v>
      </c>
      <c r="U4647" s="15" t="n">
        <v>10</v>
      </c>
      <c r="V4647" s="15">
        <f>ROUNDUP((T4647+U4647+2*'Read Me'!$B$13)*(1+'Read Me'!$B$12),-1)</f>
        <v/>
      </c>
      <c r="W4647" s="15">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I-I-0045</t>
        </is>
      </c>
      <c r="B4648" s="12" t="inlineStr">
        <is>
          <t>I</t>
        </is>
      </c>
      <c r="C4648" s="12" t="inlineStr">
        <is>
          <t>Modular / portable power</t>
        </is>
      </c>
      <c r="D4648" s="12" t="inlineStr">
        <is>
          <t>Home run JB-FC-5-DI01 to the control / marshalling room</t>
        </is>
      </c>
      <c r="E4648" s="12" t="inlineStr">
        <is>
          <t>PAD-EH</t>
        </is>
      </c>
      <c r="F4648" s="12" t="inlineStr">
        <is>
          <t>PAD-EH 13.8 kV switchgear e-house</t>
        </is>
      </c>
      <c r="G4648" s="12" t="inlineStr">
        <is>
          <t>JB-FC-5-DI01</t>
        </is>
      </c>
      <c r="H4648" s="12" t="inlineStr">
        <is>
          <t>FC-5: SOFC module (200-300 kW class)</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Surface</t>
        </is>
      </c>
      <c r="T4648" s="15" t="n">
        <v>251</v>
      </c>
      <c r="U4648" s="15" t="n">
        <v>44</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I-I-0046</t>
        </is>
      </c>
      <c r="B4649" s="12" t="inlineStr">
        <is>
          <t>I</t>
        </is>
      </c>
      <c r="C4649" s="12" t="inlineStr">
        <is>
          <t>Modular / portable power</t>
        </is>
      </c>
      <c r="D4649" s="12" t="inlineStr">
        <is>
          <t>Analog instrument to JB JB-FC-6-AI01: 10 x 1 pr (field cables)</t>
        </is>
      </c>
      <c r="E4649" s="12" t="inlineStr">
        <is>
          <t>FC-6</t>
        </is>
      </c>
      <c r="F4649" s="12" t="inlineStr">
        <is>
          <t>FC-6: SOFC module (200-300 kW class)</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5" t="n">
        <v>45</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I-I-0047</t>
        </is>
      </c>
      <c r="B4650" s="12" t="inlineStr">
        <is>
          <t>I</t>
        </is>
      </c>
      <c r="C4650" s="12" t="inlineStr">
        <is>
          <t>Modular / portable power</t>
        </is>
      </c>
      <c r="D4650" s="12" t="inlineStr">
        <is>
          <t>Home run JB-FC-6-AI01 to the control / marshalling room</t>
        </is>
      </c>
      <c r="E4650" s="12" t="inlineStr">
        <is>
          <t>PAD-EH</t>
        </is>
      </c>
      <c r="F4650" s="12" t="inlineStr">
        <is>
          <t>PAD-EH 13.8 kV switchgear e-house</t>
        </is>
      </c>
      <c r="G4650" s="12" t="inlineStr">
        <is>
          <t>JB-FC-6-AI01</t>
        </is>
      </c>
      <c r="H4650" s="12" t="inlineStr">
        <is>
          <t>FC-6: SOFC module (200-300 kW class)</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5" t="n">
        <v>251</v>
      </c>
      <c r="U4650" s="15" t="n">
        <v>37</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I-I-0048</t>
        </is>
      </c>
      <c r="B4651" s="12" t="inlineStr">
        <is>
          <t>I</t>
        </is>
      </c>
      <c r="C4651" s="12" t="inlineStr">
        <is>
          <t>Modular / portable power</t>
        </is>
      </c>
      <c r="D4651" s="12" t="inlineStr">
        <is>
          <t>Discrete device to JB JB-FC-6-DI01: 10 x 1 pr (field cables)</t>
        </is>
      </c>
      <c r="E4651" s="12" t="inlineStr">
        <is>
          <t>FC-6</t>
        </is>
      </c>
      <c r="F4651" s="12" t="inlineStr">
        <is>
          <t>FC-6: SOFC module (200-300 kW class)</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I-I-0049</t>
        </is>
      </c>
      <c r="B4652" s="12" t="inlineStr">
        <is>
          <t>I</t>
        </is>
      </c>
      <c r="C4652" s="12" t="inlineStr">
        <is>
          <t>Modular / portable power</t>
        </is>
      </c>
      <c r="D4652" s="12" t="inlineStr">
        <is>
          <t>Home run JB-FC-6-DI01 to the control / marshalling room</t>
        </is>
      </c>
      <c r="E4652" s="12" t="inlineStr">
        <is>
          <t>PAD-EH</t>
        </is>
      </c>
      <c r="F4652" s="12" t="inlineStr">
        <is>
          <t>PAD-EH 13.8 kV switchgear e-house</t>
        </is>
      </c>
      <c r="G4652" s="12" t="inlineStr">
        <is>
          <t>JB-FC-6-DI01</t>
        </is>
      </c>
      <c r="H4652" s="12" t="inlineStr">
        <is>
          <t>FC-6: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251</v>
      </c>
      <c r="U4652" s="15" t="n">
        <v>37</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I-I-0050</t>
        </is>
      </c>
      <c r="B4653" s="12" t="inlineStr">
        <is>
          <t>I</t>
        </is>
      </c>
      <c r="C4653" s="12" t="inlineStr">
        <is>
          <t>Modular / portable power</t>
        </is>
      </c>
      <c r="D4653" s="12" t="inlineStr">
        <is>
          <t>Analog instrument to JB JB-FC-7-AI01: 10 x 1 pr (field cables)</t>
        </is>
      </c>
      <c r="E4653" s="12" t="inlineStr">
        <is>
          <t>FC-7</t>
        </is>
      </c>
      <c r="F4653" s="12" t="inlineStr">
        <is>
          <t>FC-7: SOFC module (200-300 kW class)</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I-I-0051</t>
        </is>
      </c>
      <c r="B4654" s="12" t="inlineStr">
        <is>
          <t>I</t>
        </is>
      </c>
      <c r="C4654" s="12" t="inlineStr">
        <is>
          <t>Modular / portable power</t>
        </is>
      </c>
      <c r="D4654" s="12" t="inlineStr">
        <is>
          <t>Home run JB-FC-7-AI01 to the control / marshalling room</t>
        </is>
      </c>
      <c r="E4654" s="12" t="inlineStr">
        <is>
          <t>PAD-EH</t>
        </is>
      </c>
      <c r="F4654" s="12" t="inlineStr">
        <is>
          <t>PAD-EH 13.8 kV switchgear e-house</t>
        </is>
      </c>
      <c r="G4654" s="12" t="inlineStr">
        <is>
          <t>JB-FC-7-AI01</t>
        </is>
      </c>
      <c r="H4654" s="12" t="inlineStr">
        <is>
          <t>FC-7: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239</v>
      </c>
      <c r="U4654" s="15" t="n">
        <v>37</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I-I-0052</t>
        </is>
      </c>
      <c r="B4655" s="12" t="inlineStr">
        <is>
          <t>I</t>
        </is>
      </c>
      <c r="C4655" s="12" t="inlineStr">
        <is>
          <t>Modular / portable power</t>
        </is>
      </c>
      <c r="D4655" s="12" t="inlineStr">
        <is>
          <t>Discrete device to JB JB-FC-7-DI01: 10 x 1 pr (field cables)</t>
        </is>
      </c>
      <c r="E4655" s="12" t="inlineStr">
        <is>
          <t>FC-7</t>
        </is>
      </c>
      <c r="F4655" s="12" t="inlineStr">
        <is>
          <t>FC-7: SOFC module (200-300 kW class)</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I-I-0053</t>
        </is>
      </c>
      <c r="B4656" s="12" t="inlineStr">
        <is>
          <t>I</t>
        </is>
      </c>
      <c r="C4656" s="12" t="inlineStr">
        <is>
          <t>Modular / portable power</t>
        </is>
      </c>
      <c r="D4656" s="12" t="inlineStr">
        <is>
          <t>Home run JB-FC-7-DI01 to the control / marshalling room</t>
        </is>
      </c>
      <c r="E4656" s="12" t="inlineStr">
        <is>
          <t>PAD-EH</t>
        </is>
      </c>
      <c r="F4656" s="12" t="inlineStr">
        <is>
          <t>PAD-EH 13.8 kV switchgear e-house</t>
        </is>
      </c>
      <c r="G4656" s="12" t="inlineStr">
        <is>
          <t>JB-FC-7-DI01</t>
        </is>
      </c>
      <c r="H4656" s="12" t="inlineStr">
        <is>
          <t>FC-7: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239</v>
      </c>
      <c r="U4656" s="15" t="n">
        <v>37</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I-I-0054</t>
        </is>
      </c>
      <c r="B4657" s="12" t="inlineStr">
        <is>
          <t>I</t>
        </is>
      </c>
      <c r="C4657" s="12" t="inlineStr">
        <is>
          <t>Modular / portable power</t>
        </is>
      </c>
      <c r="D4657" s="12" t="inlineStr">
        <is>
          <t>Analog instrument to JB JB-FC-8-AI01: 10 x 1 pr (field cables)</t>
        </is>
      </c>
      <c r="E4657" s="12" t="inlineStr">
        <is>
          <t>FC-8</t>
        </is>
      </c>
      <c r="F4657" s="12" t="inlineStr">
        <is>
          <t>FC-8: SOFC module (200-300 kW class)</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I-I-0055</t>
        </is>
      </c>
      <c r="B4658" s="12" t="inlineStr">
        <is>
          <t>I</t>
        </is>
      </c>
      <c r="C4658" s="12" t="inlineStr">
        <is>
          <t>Modular / portable power</t>
        </is>
      </c>
      <c r="D4658" s="12" t="inlineStr">
        <is>
          <t>Home run JB-FC-8-AI01 to the control / marshalling room</t>
        </is>
      </c>
      <c r="E4658" s="12" t="inlineStr">
        <is>
          <t>PAD-EH</t>
        </is>
      </c>
      <c r="F4658" s="12" t="inlineStr">
        <is>
          <t>PAD-EH 13.8 kV switchgear e-house</t>
        </is>
      </c>
      <c r="G4658" s="12" t="inlineStr">
        <is>
          <t>JB-FC-8-AI01</t>
        </is>
      </c>
      <c r="H4658" s="12" t="inlineStr">
        <is>
          <t>FC-8: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210</v>
      </c>
      <c r="U4658" s="15" t="n">
        <v>39</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I-I-0056</t>
        </is>
      </c>
      <c r="B4659" s="12" t="inlineStr">
        <is>
          <t>I</t>
        </is>
      </c>
      <c r="C4659" s="12" t="inlineStr">
        <is>
          <t>Modular / portable power</t>
        </is>
      </c>
      <c r="D4659" s="12" t="inlineStr">
        <is>
          <t>Discrete device to JB JB-FC-8-DI01: 10 x 1 pr (field cables)</t>
        </is>
      </c>
      <c r="E4659" s="12" t="inlineStr">
        <is>
          <t>FC-8</t>
        </is>
      </c>
      <c r="F4659" s="12" t="inlineStr">
        <is>
          <t>FC-8: SOFC module (200-300 kW class)</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I-I-0057</t>
        </is>
      </c>
      <c r="B4660" s="12" t="inlineStr">
        <is>
          <t>I</t>
        </is>
      </c>
      <c r="C4660" s="12" t="inlineStr">
        <is>
          <t>Modular / portable power</t>
        </is>
      </c>
      <c r="D4660" s="12" t="inlineStr">
        <is>
          <t>Home run JB-FC-8-DI01 to the control / marshalling room</t>
        </is>
      </c>
      <c r="E4660" s="12" t="inlineStr">
        <is>
          <t>PAD-EH</t>
        </is>
      </c>
      <c r="F4660" s="12" t="inlineStr">
        <is>
          <t>PAD-EH 13.8 kV switchgear e-house</t>
        </is>
      </c>
      <c r="G4660" s="12" t="inlineStr">
        <is>
          <t>JB-FC-8-DI01</t>
        </is>
      </c>
      <c r="H4660" s="12" t="inlineStr">
        <is>
          <t>FC-8: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210</v>
      </c>
      <c r="U4660" s="15" t="n">
        <v>39</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I-I-0058</t>
        </is>
      </c>
      <c r="B4661" s="12" t="inlineStr">
        <is>
          <t>I</t>
        </is>
      </c>
      <c r="C4661" s="12" t="inlineStr">
        <is>
          <t>Modular / portable power</t>
        </is>
      </c>
      <c r="D4661" s="12" t="inlineStr">
        <is>
          <t>Analog instrument to JB JB-Fuel-gas compresso-AI01: 20 x 1 pr (field cables)</t>
        </is>
      </c>
      <c r="E4661" s="12" t="inlineStr"/>
      <c r="F4661" s="12" t="inlineStr">
        <is>
          <t>Fuel-gas compressors 3 x 100% electric</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ITC|1 pr|16</t>
        </is>
      </c>
      <c r="L4661" s="12" t="inlineStr">
        <is>
          <t>1 pr</t>
        </is>
      </c>
      <c r="M4661" s="12" t="inlineStr">
        <is>
          <t>16</t>
        </is>
      </c>
      <c r="N4661" s="12" t="n">
        <v>20</v>
      </c>
      <c r="O4661" s="12" t="n">
        <v>1</v>
      </c>
      <c r="P4661" s="12" t="n"/>
      <c r="Q4661" s="12" t="n"/>
      <c r="R4661" s="12" t="n"/>
      <c r="S4661" s="12" t="inlineStr">
        <is>
          <t>Tray / conduit</t>
        </is>
      </c>
      <c r="T4661" s="15" t="n">
        <v>103</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I-I-0059</t>
        </is>
      </c>
      <c r="B4662" s="12" t="inlineStr">
        <is>
          <t>I</t>
        </is>
      </c>
      <c r="C4662" s="12" t="inlineStr">
        <is>
          <t>Modular / portable power</t>
        </is>
      </c>
      <c r="D4662" s="12" t="inlineStr">
        <is>
          <t>Home run JB-Fuel-gas compresso-AI01 to the control / marshalling room</t>
        </is>
      </c>
      <c r="E4662" s="12" t="inlineStr"/>
      <c r="F4662" s="12" t="inlineStr">
        <is>
          <t>SC-2 PCM + 15 kV GCB</t>
        </is>
      </c>
      <c r="G4662" s="12" t="inlineStr">
        <is>
          <t>JB-Fuel-gas compresso-AI01</t>
        </is>
      </c>
      <c r="H4662" s="12" t="inlineStr">
        <is>
          <t>Fuel-gas compressors 3 x 100% electric</t>
        </is>
      </c>
      <c r="I4662" s="12" t="inlineStr">
        <is>
          <t>Instrumentation</t>
        </is>
      </c>
      <c r="J4662" s="12" t="inlineStr">
        <is>
          <t>Instrumentation ITC / PLTC, IS, #18 shielded pairs, blue jacket</t>
        </is>
      </c>
      <c r="K4662" s="12" t="inlineStr">
        <is>
          <t>ITC|24 pr|18</t>
        </is>
      </c>
      <c r="L4662" s="12" t="inlineStr">
        <is>
          <t>24 pr</t>
        </is>
      </c>
      <c r="M4662" s="12" t="inlineStr">
        <is>
          <t>18</t>
        </is>
      </c>
      <c r="N4662" s="12" t="n">
        <v>1</v>
      </c>
      <c r="O4662" s="12" t="n">
        <v>1</v>
      </c>
      <c r="P4662" s="12" t="n"/>
      <c r="Q4662" s="12" t="n"/>
      <c r="R4662" s="12" t="n"/>
      <c r="S4662" s="12" t="inlineStr">
        <is>
          <t>Duct bank</t>
        </is>
      </c>
      <c r="T4662" s="15" t="n">
        <v>8</v>
      </c>
      <c r="U4662" s="15" t="n">
        <v>108</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I-I-0060</t>
        </is>
      </c>
      <c r="B4663" s="12" t="inlineStr">
        <is>
          <t>I</t>
        </is>
      </c>
      <c r="C4663" s="12" t="inlineStr">
        <is>
          <t>Modular / portable power</t>
        </is>
      </c>
      <c r="D4663" s="12" t="inlineStr">
        <is>
          <t>Analog instrument to JB JB-Fuel-gas compresso-AI02: 10 x 1 pr (field cables)</t>
        </is>
      </c>
      <c r="E4663" s="12" t="inlineStr"/>
      <c r="F4663" s="12" t="inlineStr">
        <is>
          <t>Fuel-gas compressors 3 x 100% electric</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ITC|1 pr|16</t>
        </is>
      </c>
      <c r="L4663" s="12" t="inlineStr">
        <is>
          <t>1 pr</t>
        </is>
      </c>
      <c r="M4663" s="12" t="inlineStr">
        <is>
          <t>16</t>
        </is>
      </c>
      <c r="N4663" s="12" t="n">
        <v>10</v>
      </c>
      <c r="O4663" s="12" t="n">
        <v>1</v>
      </c>
      <c r="P4663" s="12" t="n"/>
      <c r="Q4663" s="12" t="n"/>
      <c r="R4663" s="12" t="n"/>
      <c r="S4663" s="12" t="inlineStr">
        <is>
          <t>Tray / conduit</t>
        </is>
      </c>
      <c r="T4663" s="15" t="n">
        <v>103</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I-I-0061</t>
        </is>
      </c>
      <c r="B4664" s="12" t="inlineStr">
        <is>
          <t>I</t>
        </is>
      </c>
      <c r="C4664" s="12" t="inlineStr">
        <is>
          <t>Modular / portable power</t>
        </is>
      </c>
      <c r="D4664" s="12" t="inlineStr">
        <is>
          <t>Home run JB-Fuel-gas compresso-AI02 to the control / marshalling room</t>
        </is>
      </c>
      <c r="E4664" s="12" t="inlineStr"/>
      <c r="F4664" s="12" t="inlineStr">
        <is>
          <t>SC-2 PCM + 15 kV GCB</t>
        </is>
      </c>
      <c r="G4664" s="12" t="inlineStr">
        <is>
          <t>JB-Fuel-gas compresso-AI02</t>
        </is>
      </c>
      <c r="H4664" s="12" t="inlineStr">
        <is>
          <t>Fuel-gas compressors 3 x 100% electric</t>
        </is>
      </c>
      <c r="I4664" s="12" t="inlineStr">
        <is>
          <t>Instrumentation</t>
        </is>
      </c>
      <c r="J4664" s="12" t="inlineStr">
        <is>
          <t>Instrumentation ITC / PLTC, IS, #18 shielded pairs, blue jacket</t>
        </is>
      </c>
      <c r="K4664" s="12" t="inlineStr">
        <is>
          <t>ITC|24 pr|18</t>
        </is>
      </c>
      <c r="L4664" s="12" t="inlineStr">
        <is>
          <t>24 pr</t>
        </is>
      </c>
      <c r="M4664" s="12" t="inlineStr">
        <is>
          <t>18</t>
        </is>
      </c>
      <c r="N4664" s="12" t="n">
        <v>1</v>
      </c>
      <c r="O4664" s="12" t="n">
        <v>1</v>
      </c>
      <c r="P4664" s="12" t="n"/>
      <c r="Q4664" s="12" t="n"/>
      <c r="R4664" s="12" t="n"/>
      <c r="S4664" s="12" t="inlineStr">
        <is>
          <t>Duct bank</t>
        </is>
      </c>
      <c r="T4664" s="15" t="n">
        <v>8</v>
      </c>
      <c r="U4664" s="15" t="n">
        <v>108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I-I-0062</t>
        </is>
      </c>
      <c r="B4665" s="12" t="inlineStr">
        <is>
          <t>I</t>
        </is>
      </c>
      <c r="C4665" s="12" t="inlineStr">
        <is>
          <t>Modular / portable power</t>
        </is>
      </c>
      <c r="D4665" s="12" t="inlineStr">
        <is>
          <t>Discrete device to JB JB-Fuel-gas compresso-DI01: 20 x 1 pr (field cables)</t>
        </is>
      </c>
      <c r="E4665" s="12" t="inlineStr"/>
      <c r="F4665" s="12" t="inlineStr">
        <is>
          <t>Fuel-gas compressors 3 x 100% electric</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ITC|1 pr|16</t>
        </is>
      </c>
      <c r="L4665" s="12" t="inlineStr">
        <is>
          <t>1 pr</t>
        </is>
      </c>
      <c r="M4665" s="12" t="inlineStr">
        <is>
          <t>16</t>
        </is>
      </c>
      <c r="N4665" s="12" t="n">
        <v>20</v>
      </c>
      <c r="O4665" s="12" t="n">
        <v>1</v>
      </c>
      <c r="P4665" s="12" t="n"/>
      <c r="Q4665" s="12" t="n"/>
      <c r="R4665" s="12" t="n"/>
      <c r="S4665" s="12" t="inlineStr">
        <is>
          <t>Tray / conduit</t>
        </is>
      </c>
      <c r="T4665" s="15" t="n">
        <v>103</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I-I-0063</t>
        </is>
      </c>
      <c r="B4666" s="12" t="inlineStr">
        <is>
          <t>I</t>
        </is>
      </c>
      <c r="C4666" s="12" t="inlineStr">
        <is>
          <t>Modular / portable power</t>
        </is>
      </c>
      <c r="D4666" s="12" t="inlineStr">
        <is>
          <t>Home run JB-Fuel-gas compresso-DI01 to the control / marshalling room</t>
        </is>
      </c>
      <c r="E4666" s="12" t="inlineStr"/>
      <c r="F4666" s="12" t="inlineStr">
        <is>
          <t>SC-2 PCM + 15 kV GCB</t>
        </is>
      </c>
      <c r="G4666" s="12" t="inlineStr">
        <is>
          <t>JB-Fuel-gas compresso-DI01</t>
        </is>
      </c>
      <c r="H4666" s="12" t="inlineStr">
        <is>
          <t>Fuel-gas compressors 3 x 100% electric</t>
        </is>
      </c>
      <c r="I4666" s="12" t="inlineStr">
        <is>
          <t>Instrumentation</t>
        </is>
      </c>
      <c r="J4666" s="12" t="inlineStr">
        <is>
          <t>Instrumentation ITC / PLTC, IS, #18 shielded pairs, blue jacket</t>
        </is>
      </c>
      <c r="K4666" s="12" t="inlineStr">
        <is>
          <t>ITC|24 pr|18</t>
        </is>
      </c>
      <c r="L4666" s="12" t="inlineStr">
        <is>
          <t>24 pr</t>
        </is>
      </c>
      <c r="M4666" s="12" t="inlineStr">
        <is>
          <t>18</t>
        </is>
      </c>
      <c r="N4666" s="12" t="n">
        <v>1</v>
      </c>
      <c r="O4666" s="12" t="n">
        <v>1</v>
      </c>
      <c r="P4666" s="12" t="n"/>
      <c r="Q4666" s="12" t="n"/>
      <c r="R4666" s="12" t="n"/>
      <c r="S4666" s="12" t="inlineStr">
        <is>
          <t>Duct bank</t>
        </is>
      </c>
      <c r="T4666" s="15" t="n">
        <v>8</v>
      </c>
      <c r="U4666" s="15" t="n">
        <v>108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I-I-0064</t>
        </is>
      </c>
      <c r="B4667" s="12" t="inlineStr">
        <is>
          <t>I</t>
        </is>
      </c>
      <c r="C4667" s="12" t="inlineStr">
        <is>
          <t>Modular / portable power</t>
        </is>
      </c>
      <c r="D4667" s="12" t="inlineStr">
        <is>
          <t>RTD to JB JB-Fuel-gas compresso-RTD01: 10 x 1 tri (field cables)</t>
        </is>
      </c>
      <c r="E4667" s="12" t="inlineStr"/>
      <c r="F4667" s="12" t="inlineStr">
        <is>
          <t>Fuel-gas compressors 3 x 100% electric</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I-I-0065</t>
        </is>
      </c>
      <c r="B4668" s="12" t="inlineStr">
        <is>
          <t>I</t>
        </is>
      </c>
      <c r="C4668" s="12" t="inlineStr">
        <is>
          <t>Modular / portable power</t>
        </is>
      </c>
      <c r="D4668" s="12" t="inlineStr">
        <is>
          <t>Home run JB-Fuel-gas compresso-RTD01 to the control / marshalling room</t>
        </is>
      </c>
      <c r="E4668" s="12" t="inlineStr"/>
      <c r="F4668" s="12" t="inlineStr">
        <is>
          <t>SC-2 PCM + 15 kV GCB</t>
        </is>
      </c>
      <c r="G4668" s="12" t="inlineStr">
        <is>
          <t>JB-Fuel-gas compresso-RTD01</t>
        </is>
      </c>
      <c r="H4668" s="12" t="inlineStr">
        <is>
          <t>Fuel-gas compressors 3 x 100% electric</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I-I-0066</t>
        </is>
      </c>
      <c r="B4669" s="12" t="inlineStr">
        <is>
          <t>I</t>
        </is>
      </c>
      <c r="C4669" s="12" t="inlineStr">
        <is>
          <t>Modular / portable power</t>
        </is>
      </c>
      <c r="D4669" s="12" t="inlineStr">
        <is>
          <t>RTD to JB JB-Fuel-gas compresso-RTD02: 2 x 1 tri (field cables)</t>
        </is>
      </c>
      <c r="E4669" s="12" t="inlineStr"/>
      <c r="F4669" s="12" t="inlineStr">
        <is>
          <t>Fuel-gas compressors 3 x 100% electric</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I-I-0067</t>
        </is>
      </c>
      <c r="B4670" s="12" t="inlineStr">
        <is>
          <t>I</t>
        </is>
      </c>
      <c r="C4670" s="12" t="inlineStr">
        <is>
          <t>Modular / portable power</t>
        </is>
      </c>
      <c r="D4670" s="12" t="inlineStr">
        <is>
          <t>Home run JB-Fuel-gas compresso-RTD02 to the control / marshalling room</t>
        </is>
      </c>
      <c r="E4670" s="12" t="inlineStr"/>
      <c r="F4670" s="12" t="inlineStr">
        <is>
          <t>SC-2 PCM + 15 kV GCB</t>
        </is>
      </c>
      <c r="G4670" s="12" t="inlineStr">
        <is>
          <t>JB-Fuel-gas compresso-RTD02</t>
        </is>
      </c>
      <c r="H4670" s="12" t="inlineStr">
        <is>
          <t>Fuel-gas compressors 3 x 100% electric</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I-I-0068</t>
        </is>
      </c>
      <c r="B4671" s="12" t="inlineStr">
        <is>
          <t>I</t>
        </is>
      </c>
      <c r="C4671" s="12" t="inlineStr">
        <is>
          <t>Modular / portable power</t>
        </is>
      </c>
      <c r="D4671" s="12" t="inlineStr">
        <is>
          <t>L7 GB-1.1 instrumentation: gas pressure, temperatures</t>
        </is>
      </c>
      <c r="E4671" s="12" t="inlineStr">
        <is>
          <t>GBC-1</t>
        </is>
      </c>
      <c r="F4671" s="12" t="inlineStr">
        <is>
          <t xml:space="preserve">GBC-1: block GB-1 generator collector box, 480 V outdoor switchboard, </t>
        </is>
      </c>
      <c r="G4671" s="12" t="inlineStr">
        <is>
          <t>GB-1.1</t>
        </is>
      </c>
      <c r="H4671" s="12" t="inlineStr">
        <is>
          <t>GB-1.1: modular gas genset 500 kW, 480 V (block GB-1, unit 1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44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I-I-0069</t>
        </is>
      </c>
      <c r="B4672" s="12" t="inlineStr">
        <is>
          <t>I</t>
        </is>
      </c>
      <c r="C4672" s="12" t="inlineStr">
        <is>
          <t>Modular / portable power</t>
        </is>
      </c>
      <c r="D4672" s="12" t="inlineStr">
        <is>
          <t>L7 GB-1.2 instrumentation: gas pressure, temperatures</t>
        </is>
      </c>
      <c r="E4672" s="12" t="inlineStr">
        <is>
          <t>GBC-1</t>
        </is>
      </c>
      <c r="F4672" s="12" t="inlineStr">
        <is>
          <t xml:space="preserve">GBC-1: block GB-1 generator collector box, 480 V outdoor switchboard, </t>
        </is>
      </c>
      <c r="G4672" s="12" t="inlineStr">
        <is>
          <t>GB-1.2</t>
        </is>
      </c>
      <c r="H4672" s="12" t="inlineStr">
        <is>
          <t>GB-1.2: modular gas genset 500 kW, 480 V (block GB-1, unit 2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34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I-I-0070</t>
        </is>
      </c>
      <c r="B4673" s="12" t="inlineStr">
        <is>
          <t>I</t>
        </is>
      </c>
      <c r="C4673" s="12" t="inlineStr">
        <is>
          <t>Modular / portable power</t>
        </is>
      </c>
      <c r="D4673" s="12" t="inlineStr">
        <is>
          <t>L7 GB-1.3 instrumentation: gas pressure, temperatures</t>
        </is>
      </c>
      <c r="E4673" s="12" t="inlineStr">
        <is>
          <t>GBC-1</t>
        </is>
      </c>
      <c r="F4673" s="12" t="inlineStr">
        <is>
          <t xml:space="preserve">GBC-1: block GB-1 generator collector box, 480 V outdoor switchboard, </t>
        </is>
      </c>
      <c r="G4673" s="12" t="inlineStr">
        <is>
          <t>GB-1.3</t>
        </is>
      </c>
      <c r="H4673" s="12" t="inlineStr">
        <is>
          <t>GB-1.3: modular gas genset 500 kW, 480 V (block GB-1, unit 3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24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I-I-0071</t>
        </is>
      </c>
      <c r="B4674" s="12" t="inlineStr">
        <is>
          <t>I</t>
        </is>
      </c>
      <c r="C4674" s="12" t="inlineStr">
        <is>
          <t>Modular / portable power</t>
        </is>
      </c>
      <c r="D4674" s="12" t="inlineStr">
        <is>
          <t>L7 GB-1.4 instrumentation: gas pressure, temperatures</t>
        </is>
      </c>
      <c r="E4674" s="12" t="inlineStr">
        <is>
          <t>GBC-1</t>
        </is>
      </c>
      <c r="F4674" s="12" t="inlineStr">
        <is>
          <t xml:space="preserve">GBC-1: block GB-1 generator collector box, 480 V outdoor switchboard, </t>
        </is>
      </c>
      <c r="G4674" s="12" t="inlineStr">
        <is>
          <t>GB-1.4</t>
        </is>
      </c>
      <c r="H4674" s="12" t="inlineStr">
        <is>
          <t>GB-1.4: modular gas genset 500 kW, 480 V (block GB-1, unit 4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14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I-I-0072</t>
        </is>
      </c>
      <c r="B4675" s="12" t="inlineStr">
        <is>
          <t>I</t>
        </is>
      </c>
      <c r="C4675" s="12" t="inlineStr">
        <is>
          <t>Modular / portable power</t>
        </is>
      </c>
      <c r="D4675" s="12" t="inlineStr">
        <is>
          <t>L7 GB-1.5 instrumentation: gas pressure, temperatures</t>
        </is>
      </c>
      <c r="E4675" s="12" t="inlineStr">
        <is>
          <t>GBC-1</t>
        </is>
      </c>
      <c r="F4675" s="12" t="inlineStr">
        <is>
          <t xml:space="preserve">GBC-1: block GB-1 generator collector box, 480 V outdoor switchboard, </t>
        </is>
      </c>
      <c r="G4675" s="12" t="inlineStr">
        <is>
          <t>GB-1.5</t>
        </is>
      </c>
      <c r="H4675" s="12" t="inlineStr">
        <is>
          <t>GB-1.5: modular gas genset 500 kW, 480 V (block GB-1, unit 5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Tray</t>
        </is>
      </c>
      <c r="T4675" s="15" t="n">
        <v>0</v>
      </c>
      <c r="U4675" s="15" t="n">
        <v>30</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I-I-0073</t>
        </is>
      </c>
      <c r="B4676" s="12" t="inlineStr">
        <is>
          <t>I</t>
        </is>
      </c>
      <c r="C4676" s="12" t="inlineStr">
        <is>
          <t>Modular / portable power</t>
        </is>
      </c>
      <c r="D4676" s="12" t="inlineStr">
        <is>
          <t>L7 GB-2.1 instrumentation: gas pressure, temperatures</t>
        </is>
      </c>
      <c r="E4676" s="12" t="inlineStr">
        <is>
          <t>GBC-2</t>
        </is>
      </c>
      <c r="F4676" s="12" t="inlineStr">
        <is>
          <t xml:space="preserve">GBC-2: block GB-2 generator collector box, 480 V outdoor switchboard, </t>
        </is>
      </c>
      <c r="G4676" s="12" t="inlineStr">
        <is>
          <t>GB-2.1</t>
        </is>
      </c>
      <c r="H4676" s="12" t="inlineStr">
        <is>
          <t>GB-2.1: modular gas genset 500 kW, 480 V (block GB-2, unit 1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44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I-I-0074</t>
        </is>
      </c>
      <c r="B4677" s="12" t="inlineStr">
        <is>
          <t>I</t>
        </is>
      </c>
      <c r="C4677" s="12" t="inlineStr">
        <is>
          <t>Modular / portable power</t>
        </is>
      </c>
      <c r="D4677" s="12" t="inlineStr">
        <is>
          <t>L7 GB-2.2 instrumentation: gas pressure, temperatures</t>
        </is>
      </c>
      <c r="E4677" s="12" t="inlineStr">
        <is>
          <t>GBC-2</t>
        </is>
      </c>
      <c r="F4677" s="12" t="inlineStr">
        <is>
          <t xml:space="preserve">GBC-2: block GB-2 generator collector box, 480 V outdoor switchboard, </t>
        </is>
      </c>
      <c r="G4677" s="12" t="inlineStr">
        <is>
          <t>GB-2.2</t>
        </is>
      </c>
      <c r="H4677" s="12" t="inlineStr">
        <is>
          <t>GB-2.2: modular gas genset 500 kW, 480 V (block GB-2, unit 2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34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I-I-0075</t>
        </is>
      </c>
      <c r="B4678" s="12" t="inlineStr">
        <is>
          <t>I</t>
        </is>
      </c>
      <c r="C4678" s="12" t="inlineStr">
        <is>
          <t>Modular / portable power</t>
        </is>
      </c>
      <c r="D4678" s="12" t="inlineStr">
        <is>
          <t>L7 GB-2.3 instrumentation: gas pressure, temperatures</t>
        </is>
      </c>
      <c r="E4678" s="12" t="inlineStr">
        <is>
          <t>GBC-2</t>
        </is>
      </c>
      <c r="F4678" s="12" t="inlineStr">
        <is>
          <t xml:space="preserve">GBC-2: block GB-2 generator collector box, 480 V outdoor switchboard, </t>
        </is>
      </c>
      <c r="G4678" s="12" t="inlineStr">
        <is>
          <t>GB-2.3</t>
        </is>
      </c>
      <c r="H4678" s="12" t="inlineStr">
        <is>
          <t>GB-2.3: modular gas genset 500 kW, 480 V (block GB-2, unit 3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24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I-I-0076</t>
        </is>
      </c>
      <c r="B4679" s="12" t="inlineStr">
        <is>
          <t>I</t>
        </is>
      </c>
      <c r="C4679" s="12" t="inlineStr">
        <is>
          <t>Modular / portable power</t>
        </is>
      </c>
      <c r="D4679" s="12" t="inlineStr">
        <is>
          <t>L7 GB-2.4 instrumentation: gas pressure, temperatures</t>
        </is>
      </c>
      <c r="E4679" s="12" t="inlineStr">
        <is>
          <t>GBC-2</t>
        </is>
      </c>
      <c r="F4679" s="12" t="inlineStr">
        <is>
          <t xml:space="preserve">GBC-2: block GB-2 generator collector box, 480 V outdoor switchboard, </t>
        </is>
      </c>
      <c r="G4679" s="12" t="inlineStr">
        <is>
          <t>GB-2.4</t>
        </is>
      </c>
      <c r="H4679" s="12" t="inlineStr">
        <is>
          <t>GB-2.4: modular gas genset 500 kW, 480 V (block GB-2, unit 4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14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I-I-0077</t>
        </is>
      </c>
      <c r="B4680" s="12" t="inlineStr">
        <is>
          <t>I</t>
        </is>
      </c>
      <c r="C4680" s="12" t="inlineStr">
        <is>
          <t>Modular / portable power</t>
        </is>
      </c>
      <c r="D4680" s="12" t="inlineStr">
        <is>
          <t>L7 GB-2.5 instrumentation: gas pressure, temperatures</t>
        </is>
      </c>
      <c r="E4680" s="12" t="inlineStr">
        <is>
          <t>GBC-2</t>
        </is>
      </c>
      <c r="F4680" s="12" t="inlineStr">
        <is>
          <t xml:space="preserve">GBC-2: block GB-2 generator collector box, 480 V outdoor switchboard, </t>
        </is>
      </c>
      <c r="G4680" s="12" t="inlineStr">
        <is>
          <t>GB-2.5</t>
        </is>
      </c>
      <c r="H4680" s="12" t="inlineStr">
        <is>
          <t>GB-2.5: modular gas genset 500 kW, 480 V (block GB-2, unit 5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5" t="n">
        <v>0</v>
      </c>
      <c r="U4680" s="15" t="n">
        <v>30</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I-I-0078</t>
        </is>
      </c>
      <c r="B4681" s="12" t="inlineStr">
        <is>
          <t>I</t>
        </is>
      </c>
      <c r="C4681" s="12" t="inlineStr">
        <is>
          <t>Modular / portable power</t>
        </is>
      </c>
      <c r="D4681" s="12" t="inlineStr">
        <is>
          <t>L7 GB-3.1 instrumentation: gas pressure, temperatures</t>
        </is>
      </c>
      <c r="E4681" s="12" t="inlineStr">
        <is>
          <t>GBC-3</t>
        </is>
      </c>
      <c r="F4681" s="12" t="inlineStr">
        <is>
          <t xml:space="preserve">GBC-3: block GB-3 generator collector box, 480 V outdoor switchboard, </t>
        </is>
      </c>
      <c r="G4681" s="12" t="inlineStr">
        <is>
          <t>GB-3.1</t>
        </is>
      </c>
      <c r="H4681" s="12" t="inlineStr">
        <is>
          <t>GB-3.1: modular gas genset 500 kW, 480 V (block GB-3, unit 1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44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I-I-0079</t>
        </is>
      </c>
      <c r="B4682" s="12" t="inlineStr">
        <is>
          <t>I</t>
        </is>
      </c>
      <c r="C4682" s="12" t="inlineStr">
        <is>
          <t>Modular / portable power</t>
        </is>
      </c>
      <c r="D4682" s="12" t="inlineStr">
        <is>
          <t>L7 GB-3.2 instrumentation: gas pressure, temperatures</t>
        </is>
      </c>
      <c r="E4682" s="12" t="inlineStr">
        <is>
          <t>GBC-3</t>
        </is>
      </c>
      <c r="F4682" s="12" t="inlineStr">
        <is>
          <t xml:space="preserve">GBC-3: block GB-3 generator collector box, 480 V outdoor switchboard, </t>
        </is>
      </c>
      <c r="G4682" s="12" t="inlineStr">
        <is>
          <t>GB-3.2</t>
        </is>
      </c>
      <c r="H4682" s="12" t="inlineStr">
        <is>
          <t>GB-3.2: modular gas genset 500 kW, 480 V (block GB-3, unit 2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34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I-I-0080</t>
        </is>
      </c>
      <c r="B4683" s="12" t="inlineStr">
        <is>
          <t>I</t>
        </is>
      </c>
      <c r="C4683" s="12" t="inlineStr">
        <is>
          <t>Modular / portable power</t>
        </is>
      </c>
      <c r="D4683" s="12" t="inlineStr">
        <is>
          <t>L7 GB-3.3 instrumentation: gas pressure, temperatures</t>
        </is>
      </c>
      <c r="E4683" s="12" t="inlineStr">
        <is>
          <t>GBC-3</t>
        </is>
      </c>
      <c r="F4683" s="12" t="inlineStr">
        <is>
          <t xml:space="preserve">GBC-3: block GB-3 generator collector box, 480 V outdoor switchboard, </t>
        </is>
      </c>
      <c r="G4683" s="12" t="inlineStr">
        <is>
          <t>GB-3.3</t>
        </is>
      </c>
      <c r="H4683" s="12" t="inlineStr">
        <is>
          <t>GB-3.3: modular gas genset 500 kW, 480 V (block GB-3, unit 3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24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I-I-0081</t>
        </is>
      </c>
      <c r="B4684" s="12" t="inlineStr">
        <is>
          <t>I</t>
        </is>
      </c>
      <c r="C4684" s="12" t="inlineStr">
        <is>
          <t>Modular / portable power</t>
        </is>
      </c>
      <c r="D4684" s="12" t="inlineStr">
        <is>
          <t>L7 GB-3.4 instrumentation: gas pressure, temperatures</t>
        </is>
      </c>
      <c r="E4684" s="12" t="inlineStr">
        <is>
          <t>GBC-3</t>
        </is>
      </c>
      <c r="F4684" s="12" t="inlineStr">
        <is>
          <t xml:space="preserve">GBC-3: block GB-3 generator collector box, 480 V outdoor switchboard, </t>
        </is>
      </c>
      <c r="G4684" s="12" t="inlineStr">
        <is>
          <t>GB-3.4</t>
        </is>
      </c>
      <c r="H4684" s="12" t="inlineStr">
        <is>
          <t>GB-3.4: modular gas genset 500 kW, 480 V (block GB-3, unit 4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14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I-I-0082</t>
        </is>
      </c>
      <c r="B4685" s="12" t="inlineStr">
        <is>
          <t>I</t>
        </is>
      </c>
      <c r="C4685" s="12" t="inlineStr">
        <is>
          <t>Modular / portable power</t>
        </is>
      </c>
      <c r="D4685" s="12" t="inlineStr">
        <is>
          <t>L7 GB-3.5 instrumentation: gas pressure, temperatures</t>
        </is>
      </c>
      <c r="E4685" s="12" t="inlineStr">
        <is>
          <t>GBC-3</t>
        </is>
      </c>
      <c r="F4685" s="12" t="inlineStr">
        <is>
          <t xml:space="preserve">GBC-3: block GB-3 generator collector box, 480 V outdoor switchboard, </t>
        </is>
      </c>
      <c r="G4685" s="12" t="inlineStr">
        <is>
          <t>GB-3.5</t>
        </is>
      </c>
      <c r="H4685" s="12" t="inlineStr">
        <is>
          <t>GB-3.5: modular gas genset 500 kW, 480 V (block GB-3, unit 5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Tray</t>
        </is>
      </c>
      <c r="T4685" s="15" t="n">
        <v>0</v>
      </c>
      <c r="U4685" s="15" t="n">
        <v>30</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I-I-0083</t>
        </is>
      </c>
      <c r="B4686" s="12" t="inlineStr">
        <is>
          <t>I</t>
        </is>
      </c>
      <c r="C4686" s="12" t="inlineStr">
        <is>
          <t>Modular / portable power</t>
        </is>
      </c>
      <c r="D4686" s="12" t="inlineStr">
        <is>
          <t>L7 GB-4.1 instrumentation: gas pressure, temperatures</t>
        </is>
      </c>
      <c r="E4686" s="12" t="inlineStr">
        <is>
          <t>GBC-4</t>
        </is>
      </c>
      <c r="F4686" s="12" t="inlineStr">
        <is>
          <t xml:space="preserve">GBC-4: block GB-4 generator collector box, 480 V outdoor switchboard, </t>
        </is>
      </c>
      <c r="G4686" s="12" t="inlineStr">
        <is>
          <t>GB-4.1</t>
        </is>
      </c>
      <c r="H4686" s="12" t="inlineStr">
        <is>
          <t>GB-4.1: modular gas genset 500 kW, 480 V (block GB-4, unit 1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36</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I-I-0084</t>
        </is>
      </c>
      <c r="B4687" s="12" t="inlineStr">
        <is>
          <t>I</t>
        </is>
      </c>
      <c r="C4687" s="12" t="inlineStr">
        <is>
          <t>Modular / portable power</t>
        </is>
      </c>
      <c r="D4687" s="12" t="inlineStr">
        <is>
          <t>L7 GB-4.2 instrumentation: gas pressure, temperatures</t>
        </is>
      </c>
      <c r="E4687" s="12" t="inlineStr">
        <is>
          <t>GBC-4</t>
        </is>
      </c>
      <c r="F4687" s="12" t="inlineStr">
        <is>
          <t xml:space="preserve">GBC-4: block GB-4 generator collector box, 480 V outdoor switchboard, </t>
        </is>
      </c>
      <c r="G4687" s="12" t="inlineStr">
        <is>
          <t>GB-4.2</t>
        </is>
      </c>
      <c r="H4687" s="12" t="inlineStr">
        <is>
          <t>GB-4.2: modular gas genset 500 kW, 480 V (block GB-4, unit 2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34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I-I-0085</t>
        </is>
      </c>
      <c r="B4688" s="12" t="inlineStr">
        <is>
          <t>I</t>
        </is>
      </c>
      <c r="C4688" s="12" t="inlineStr">
        <is>
          <t>Modular / portable power</t>
        </is>
      </c>
      <c r="D4688" s="12" t="inlineStr">
        <is>
          <t>L7 GB-4.3 instrumentation: gas pressure, temperatures</t>
        </is>
      </c>
      <c r="E4688" s="12" t="inlineStr">
        <is>
          <t>GBC-4</t>
        </is>
      </c>
      <c r="F4688" s="12" t="inlineStr">
        <is>
          <t xml:space="preserve">GBC-4: block GB-4 generator collector box, 480 V outdoor switchboard, </t>
        </is>
      </c>
      <c r="G4688" s="12" t="inlineStr">
        <is>
          <t>GB-4.3</t>
        </is>
      </c>
      <c r="H4688" s="12" t="inlineStr">
        <is>
          <t>GB-4.3: modular gas genset 500 kW, 480 V (block GB-4, unit 3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24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I-I-0086</t>
        </is>
      </c>
      <c r="B4689" s="12" t="inlineStr">
        <is>
          <t>I</t>
        </is>
      </c>
      <c r="C4689" s="12" t="inlineStr">
        <is>
          <t>Modular / portable power</t>
        </is>
      </c>
      <c r="D4689" s="12" t="inlineStr">
        <is>
          <t>L7 GB-4.4 instrumentation: gas pressure, temperatures</t>
        </is>
      </c>
      <c r="E4689" s="12" t="inlineStr">
        <is>
          <t>GBC-4</t>
        </is>
      </c>
      <c r="F4689" s="12" t="inlineStr">
        <is>
          <t xml:space="preserve">GBC-4: block GB-4 generator collector box, 480 V outdoor switchboard, </t>
        </is>
      </c>
      <c r="G4689" s="12" t="inlineStr">
        <is>
          <t>GB-4.4</t>
        </is>
      </c>
      <c r="H4689" s="12" t="inlineStr">
        <is>
          <t>GB-4.4: modular gas genset 500 kW, 480 V (block GB-4, unit 4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14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I-I-0087</t>
        </is>
      </c>
      <c r="B4690" s="12" t="inlineStr">
        <is>
          <t>I</t>
        </is>
      </c>
      <c r="C4690" s="12" t="inlineStr">
        <is>
          <t>Modular / portable power</t>
        </is>
      </c>
      <c r="D4690" s="12" t="inlineStr">
        <is>
          <t>L7 GB-4.5 instrumentation: gas pressure, temperatures</t>
        </is>
      </c>
      <c r="E4690" s="12" t="inlineStr">
        <is>
          <t>GBC-4</t>
        </is>
      </c>
      <c r="F4690" s="12" t="inlineStr">
        <is>
          <t xml:space="preserve">GBC-4: block GB-4 generator collector box, 480 V outdoor switchboard, </t>
        </is>
      </c>
      <c r="G4690" s="12" t="inlineStr">
        <is>
          <t>GB-4.5</t>
        </is>
      </c>
      <c r="H4690" s="12" t="inlineStr">
        <is>
          <t>GB-4.5: modular gas genset 500 kW, 480 V (block GB-4, unit 5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Tray</t>
        </is>
      </c>
      <c r="T4690" s="15" t="n">
        <v>0</v>
      </c>
      <c r="U4690" s="15" t="n">
        <v>30</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I-I-0088</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I-I-0089</t>
        </is>
      </c>
      <c r="B4692" s="12" t="inlineStr">
        <is>
          <t>I</t>
        </is>
      </c>
      <c r="C4692" s="12" t="inlineStr">
        <is>
          <t>Modular / portable power</t>
        </is>
      </c>
      <c r="D4692" s="12" t="inlineStr">
        <is>
          <t>Instrumentation</t>
        </is>
      </c>
      <c r="E4692" s="12" t="inlineStr"/>
      <c r="F4692" s="12" t="inlineStr">
        <is>
          <t>PCM: power control module</t>
        </is>
      </c>
      <c r="G4692" s="12" t="inlineStr"/>
      <c r="H4692" s="12" t="inlineStr">
        <is>
          <t>Gas conditioning skid</t>
        </is>
      </c>
      <c r="I4692" s="12" t="inlineStr">
        <is>
          <t>Instrumentation</t>
        </is>
      </c>
      <c r="J4692" s="12" t="inlineStr">
        <is>
          <t>Instrumentation ITC / PLTC, IS, #18 shielded pairs, blue jacket</t>
        </is>
      </c>
      <c r="K4692" s="12" t="inlineStr">
        <is>
          <t>ITC|12 pr|18</t>
        </is>
      </c>
      <c r="L4692" s="12" t="inlineStr">
        <is>
          <t>12 pr</t>
        </is>
      </c>
      <c r="M4692" s="12" t="inlineStr">
        <is>
          <t>18</t>
        </is>
      </c>
      <c r="N4692" s="12" t="n">
        <v>1</v>
      </c>
      <c r="O4692" s="12" t="n">
        <v>1</v>
      </c>
      <c r="P4692" s="12" t="n"/>
      <c r="Q4692" s="12" t="n"/>
      <c r="R4692" s="12" t="n"/>
      <c r="S4692" s="12" t="inlineStr">
        <is>
          <t>Duct bank</t>
        </is>
      </c>
      <c r="T4692" s="15" t="n">
        <v>258</v>
      </c>
      <c r="U4692" s="15" t="n">
        <v>172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I-I-0090</t>
        </is>
      </c>
      <c r="B4693" s="12" t="inlineStr">
        <is>
          <t>I</t>
        </is>
      </c>
      <c r="C4693" s="12" t="inlineStr">
        <is>
          <t>Modular / portable power</t>
        </is>
      </c>
      <c r="D4693" s="12" t="inlineStr">
        <is>
          <t>IG-GSU monitoring: temperatures, gas relay, oil level</t>
        </is>
      </c>
      <c r="E4693" s="12" t="inlineStr">
        <is>
          <t>IG-1</t>
        </is>
      </c>
      <c r="F4693" s="12" t="inlineStr">
        <is>
          <t>IG-1: industrial gas-turbine installation, SGT-800 / H-25 class (~50 M</t>
        </is>
      </c>
      <c r="G4693" s="12" t="inlineStr">
        <is>
          <t>IG-GSU</t>
        </is>
      </c>
      <c r="H4693" s="12" t="inlineStr">
        <is>
          <t>IG-GSU: 13.8 / 34.5 kV step-up, ~60 MVA (IG-1 unit step-up)</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Duct bank</t>
        </is>
      </c>
      <c r="T4693" s="15" t="n">
        <v>26</v>
      </c>
      <c r="U4693" s="15" t="n">
        <v>32</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I-I-0091</t>
        </is>
      </c>
      <c r="B4694" s="12" t="inlineStr">
        <is>
          <t>I</t>
        </is>
      </c>
      <c r="C4694" s="12" t="inlineStr">
        <is>
          <t>Modular / portable power</t>
        </is>
      </c>
      <c r="D4694" s="12" t="inlineStr">
        <is>
          <t>Analog instrument to JB JB-MOB-1 gas regulato-AI01: 20 x 1 pr (field cables)</t>
        </is>
      </c>
      <c r="E4694" s="12" t="inlineStr"/>
      <c r="F4694" s="12" t="inlineStr">
        <is>
          <t>MOB-1 gas regulator / meter skid (flexible hose to the trailer)</t>
        </is>
      </c>
      <c r="G4694" s="12" t="inlineStr">
        <is>
          <t>JB-MOB-1 gas regulato-AI01</t>
        </is>
      </c>
      <c r="H4694" s="12" t="inlineStr">
        <is>
          <t>MOB-1 gas regulator / meter skid (flexible hose to the trailer)</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5" t="n">
        <v>40</v>
      </c>
      <c r="U4694" s="15" t="n">
        <v>10</v>
      </c>
      <c r="V4694" s="15">
        <f>ROUNDUP((T4694+U4694+2*'Read Me'!$B$13)*(1+'Read Me'!$B$12),-1)</f>
        <v/>
      </c>
      <c r="W4694" s="15">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I-I-0092</t>
        </is>
      </c>
      <c r="B4695" s="12" t="inlineStr">
        <is>
          <t>I</t>
        </is>
      </c>
      <c r="C4695" s="12" t="inlineStr">
        <is>
          <t>Modular / portable power</t>
        </is>
      </c>
      <c r="D4695" s="12" t="inlineStr">
        <is>
          <t>Home run JB-MOB-1 gas regulato-AI01 to the control / marshalling room</t>
        </is>
      </c>
      <c r="E4695" s="12" t="inlineStr">
        <is>
          <t>PAD-EH</t>
        </is>
      </c>
      <c r="F4695" s="12" t="inlineStr">
        <is>
          <t>PAD-EH 13.8 kV switchgear e-house</t>
        </is>
      </c>
      <c r="G4695" s="12" t="inlineStr">
        <is>
          <t>JB-MOB-1 gas regulato-AI01</t>
        </is>
      </c>
      <c r="H4695" s="12" t="inlineStr">
        <is>
          <t>MOB-1 gas regulator / meter skid (flexible hose to the trailer)</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5" t="n">
        <v>284</v>
      </c>
      <c r="U4695" s="15" t="n">
        <v>92</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I-I-0093</t>
        </is>
      </c>
      <c r="B4696" s="12" t="inlineStr">
        <is>
          <t>I</t>
        </is>
      </c>
      <c r="C4696" s="12" t="inlineStr">
        <is>
          <t>Modular / portable power</t>
        </is>
      </c>
      <c r="D4696" s="12" t="inlineStr">
        <is>
          <t>Discrete device to JB JB-MOB-1 gas regulato-DI01: 20 x 1 pr (field cables)</t>
        </is>
      </c>
      <c r="E4696" s="12" t="inlineStr"/>
      <c r="F4696" s="12" t="inlineStr">
        <is>
          <t>MOB-1 gas regulator / meter skid (flexible hose to the trailer)</t>
        </is>
      </c>
      <c r="G4696" s="12" t="inlineStr">
        <is>
          <t>JB-MOB-1 gas regulato-DI01</t>
        </is>
      </c>
      <c r="H4696" s="12" t="inlineStr">
        <is>
          <t>MOB-1 gas regulator / meter skid (flexible hose to the trailer)</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5" t="n">
        <v>40</v>
      </c>
      <c r="U4696" s="15" t="n">
        <v>10</v>
      </c>
      <c r="V4696" s="15">
        <f>ROUNDUP((T4696+U4696+2*'Read Me'!$B$13)*(1+'Read Me'!$B$12),-1)</f>
        <v/>
      </c>
      <c r="W4696" s="15">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I-I-0094</t>
        </is>
      </c>
      <c r="B4697" s="12" t="inlineStr">
        <is>
          <t>I</t>
        </is>
      </c>
      <c r="C4697" s="12" t="inlineStr">
        <is>
          <t>Modular / portable power</t>
        </is>
      </c>
      <c r="D4697" s="12" t="inlineStr">
        <is>
          <t>Home run JB-MOB-1 gas regulato-DI01 to the control / marshalling room</t>
        </is>
      </c>
      <c r="E4697" s="12" t="inlineStr">
        <is>
          <t>PAD-EH</t>
        </is>
      </c>
      <c r="F4697" s="12" t="inlineStr">
        <is>
          <t>PAD-EH 13.8 kV switchgear e-house</t>
        </is>
      </c>
      <c r="G4697" s="12" t="inlineStr">
        <is>
          <t>JB-MOB-1 gas regulato-DI01</t>
        </is>
      </c>
      <c r="H4697" s="12" t="inlineStr">
        <is>
          <t>MOB-1 gas regulator / meter skid (flexible hose to the trailer)</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5" t="n">
        <v>284</v>
      </c>
      <c r="U4697" s="15" t="n">
        <v>92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I-I-0095</t>
        </is>
      </c>
      <c r="B4698" s="12" t="inlineStr">
        <is>
          <t>I</t>
        </is>
      </c>
      <c r="C4698" s="12" t="inlineStr">
        <is>
          <t>Modular / portable power</t>
        </is>
      </c>
      <c r="D4698" s="12" t="inlineStr">
        <is>
          <t>Analog instrument to JB JB-MOB-1-AI01: 20 x 1 pr (field cables)</t>
        </is>
      </c>
      <c r="E4698" s="12" t="inlineStr">
        <is>
          <t>MOB-1</t>
        </is>
      </c>
      <c r="F4698" s="12" t="inlineStr">
        <is>
          <t>MOB-1: trailer genset</t>
        </is>
      </c>
      <c r="G4698" s="12" t="inlineStr">
        <is>
          <t>JB-MOB-1-AI01</t>
        </is>
      </c>
      <c r="H4698" s="12" t="inlineStr">
        <is>
          <t>MOB-1: trailer genset</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5" t="n">
        <v>66</v>
      </c>
      <c r="U4698" s="15" t="n">
        <v>10</v>
      </c>
      <c r="V4698" s="15">
        <f>ROUNDUP((T4698+U4698+2*'Read Me'!$B$13)*(1+'Read Me'!$B$12),-1)</f>
        <v/>
      </c>
      <c r="W4698" s="15">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I-I-0096</t>
        </is>
      </c>
      <c r="B4699" s="12" t="inlineStr">
        <is>
          <t>I</t>
        </is>
      </c>
      <c r="C4699" s="12" t="inlineStr">
        <is>
          <t>Modular / portable power</t>
        </is>
      </c>
      <c r="D4699" s="12" t="inlineStr">
        <is>
          <t>Home run JB-MOB-1-AI01 to the control / marshalling room</t>
        </is>
      </c>
      <c r="E4699" s="12" t="inlineStr">
        <is>
          <t>PAD-EH</t>
        </is>
      </c>
      <c r="F4699" s="12" t="inlineStr">
        <is>
          <t>PAD-EH 13.8 kV switchgear e-house</t>
        </is>
      </c>
      <c r="G4699" s="12" t="inlineStr">
        <is>
          <t>JB-MOB-1-AI01</t>
        </is>
      </c>
      <c r="H4699" s="12" t="inlineStr">
        <is>
          <t>MOB-1: trailer genset</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5" t="n">
        <v>266</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I-I-0097</t>
        </is>
      </c>
      <c r="B4700" s="12" t="inlineStr">
        <is>
          <t>I</t>
        </is>
      </c>
      <c r="C4700" s="12" t="inlineStr">
        <is>
          <t>Modular / portable power</t>
        </is>
      </c>
      <c r="D4700" s="12" t="inlineStr">
        <is>
          <t>Discrete device to JB JB-MOB-1-DI01: 20 x 1 pr (field cables)</t>
        </is>
      </c>
      <c r="E4700" s="12" t="inlineStr">
        <is>
          <t>MOB-1</t>
        </is>
      </c>
      <c r="F4700" s="12" t="inlineStr">
        <is>
          <t>MOB-1: trailer genset</t>
        </is>
      </c>
      <c r="G4700" s="12" t="inlineStr">
        <is>
          <t>JB-MOB-1-DI01</t>
        </is>
      </c>
      <c r="H4700" s="12" t="inlineStr">
        <is>
          <t>MOB-1: trailer genset</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5" t="n">
        <v>66</v>
      </c>
      <c r="U4700" s="15" t="n">
        <v>10</v>
      </c>
      <c r="V4700" s="15">
        <f>ROUNDUP((T4700+U4700+2*'Read Me'!$B$13)*(1+'Read Me'!$B$12),-1)</f>
        <v/>
      </c>
      <c r="W4700" s="15">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I-I-0098</t>
        </is>
      </c>
      <c r="B4701" s="12" t="inlineStr">
        <is>
          <t>I</t>
        </is>
      </c>
      <c r="C4701" s="12" t="inlineStr">
        <is>
          <t>Modular / portable power</t>
        </is>
      </c>
      <c r="D4701" s="12" t="inlineStr">
        <is>
          <t>Home run JB-MOB-1-DI01 to the control / marshalling room</t>
        </is>
      </c>
      <c r="E4701" s="12" t="inlineStr">
        <is>
          <t>PAD-EH</t>
        </is>
      </c>
      <c r="F4701" s="12" t="inlineStr">
        <is>
          <t>PAD-EH 13.8 kV switchgear e-house</t>
        </is>
      </c>
      <c r="G4701" s="12" t="inlineStr">
        <is>
          <t>JB-MOB-1-DI01</t>
        </is>
      </c>
      <c r="H4701" s="12" t="inlineStr">
        <is>
          <t>MOB-1: trailer genset</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5" t="n">
        <v>266</v>
      </c>
      <c r="U4701" s="15" t="n">
        <v>32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I-I-0099</t>
        </is>
      </c>
      <c r="B4702" s="12" t="inlineStr">
        <is>
          <t>I</t>
        </is>
      </c>
      <c r="C4702" s="12" t="inlineStr">
        <is>
          <t>Modular / portable power</t>
        </is>
      </c>
      <c r="D4702" s="12" t="inlineStr">
        <is>
          <t>MOD-GT1 monitoring: temperatures, gas relay, oil level</t>
        </is>
      </c>
      <c r="E4702" s="12" t="inlineStr">
        <is>
          <t>MOD-EH</t>
        </is>
      </c>
      <c r="F4702" s="12" t="inlineStr">
        <is>
          <t>MOD-EH: 34.5 kV modular collector e-house (2 bus sections + 13.8 kV st</t>
        </is>
      </c>
      <c r="G4702" s="12" t="inlineStr">
        <is>
          <t>MOD-GT1</t>
        </is>
      </c>
      <c r="H4702" s="12" t="inlineStr">
        <is>
          <t>MOD-GT1: 34.5 kV zigzag grounding transformer, MOD-EH bus 1</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Riser</t>
        </is>
      </c>
      <c r="T4702" s="15" t="n">
        <v>4</v>
      </c>
      <c r="U4702" s="15" t="n">
        <v>32</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I-I-0100</t>
        </is>
      </c>
      <c r="B4703" s="12" t="inlineStr">
        <is>
          <t>I</t>
        </is>
      </c>
      <c r="C4703" s="12" t="inlineStr">
        <is>
          <t>Modular / portable power</t>
        </is>
      </c>
      <c r="D4703" s="12" t="inlineStr">
        <is>
          <t>MOD-GT2 monitoring: temperatures, gas relay, oil level</t>
        </is>
      </c>
      <c r="E4703" s="12" t="inlineStr">
        <is>
          <t>MOD-EH</t>
        </is>
      </c>
      <c r="F4703" s="12" t="inlineStr">
        <is>
          <t>MOD-EH: 34.5 kV modular collector e-house (2 bus sections + 13.8 kV st</t>
        </is>
      </c>
      <c r="G4703" s="12" t="inlineStr">
        <is>
          <t>MOD-GT2</t>
        </is>
      </c>
      <c r="H4703" s="12" t="inlineStr">
        <is>
          <t>MOD-GT2: 34.5 kV zigzag grounding transformer, MOD-EH bus 2</t>
        </is>
      </c>
      <c r="I4703" s="12" t="inlineStr">
        <is>
          <t>Instrumentation</t>
        </is>
      </c>
      <c r="J4703" s="12" t="inlineStr">
        <is>
          <t>Instrumentation ITC / PLTC, IS, #18 shielded pairs, blue jacket</t>
        </is>
      </c>
      <c r="K4703" s="12" t="inlineStr">
        <is>
          <t>ITC|4 pr|18</t>
        </is>
      </c>
      <c r="L4703" s="12" t="inlineStr">
        <is>
          <t>4 pr</t>
        </is>
      </c>
      <c r="M4703" s="12" t="inlineStr">
        <is>
          <t>18</t>
        </is>
      </c>
      <c r="N4703" s="12" t="n">
        <v>1</v>
      </c>
      <c r="O4703" s="12" t="n">
        <v>1</v>
      </c>
      <c r="P4703" s="12" t="n"/>
      <c r="Q4703" s="12" t="n"/>
      <c r="R4703" s="12" t="n"/>
      <c r="S4703" s="12" t="inlineStr">
        <is>
          <t>Riser</t>
        </is>
      </c>
      <c r="T4703" s="15" t="n">
        <v>4</v>
      </c>
      <c r="U4703" s="15" t="n">
        <v>32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I-I-0101</t>
        </is>
      </c>
      <c r="B4704" s="12" t="inlineStr">
        <is>
          <t>I</t>
        </is>
      </c>
      <c r="C4704" s="12" t="inlineStr">
        <is>
          <t>Modular / portable power</t>
        </is>
      </c>
      <c r="D4704" s="12" t="inlineStr">
        <is>
          <t>Instrumentation</t>
        </is>
      </c>
      <c r="E4704" s="12" t="inlineStr"/>
      <c r="F4704" s="12" t="inlineStr">
        <is>
          <t>PCM: power control module</t>
        </is>
      </c>
      <c r="G4704" s="12" t="inlineStr"/>
      <c r="H4704" s="12" t="inlineStr">
        <is>
          <t>MOD-LV 480 V board + 480 V : 13.8 kV step-up</t>
        </is>
      </c>
      <c r="I4704" s="12" t="inlineStr">
        <is>
          <t>Instrumentation</t>
        </is>
      </c>
      <c r="J4704" s="12" t="inlineStr">
        <is>
          <t>Instrumentation PLTC / TC-ER 300 V, #18 twisted shielded pairs, overall shield</t>
        </is>
      </c>
      <c r="K4704" s="12" t="inlineStr">
        <is>
          <t>PLTC|4 pr|18</t>
        </is>
      </c>
      <c r="L4704" s="12" t="inlineStr">
        <is>
          <t>4 pr</t>
        </is>
      </c>
      <c r="M4704" s="12" t="inlineStr">
        <is>
          <t>18</t>
        </is>
      </c>
      <c r="N4704" s="12" t="n">
        <v>1</v>
      </c>
      <c r="O4704" s="12" t="n">
        <v>1</v>
      </c>
      <c r="P4704" s="12" t="n"/>
      <c r="Q4704" s="12" t="n"/>
      <c r="R4704" s="12" t="n"/>
      <c r="S4704" s="12" t="inlineStr">
        <is>
          <t>Duct bank</t>
        </is>
      </c>
      <c r="T4704" s="15" t="n">
        <v>723</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I-I-0102</t>
        </is>
      </c>
      <c r="B4705" s="12" t="inlineStr">
        <is>
          <t>I</t>
        </is>
      </c>
      <c r="C4705" s="12" t="inlineStr">
        <is>
          <t>Modular / portable power</t>
        </is>
      </c>
      <c r="D4705" s="12" t="inlineStr">
        <is>
          <t>MOD-SST monitoring: temperatures, gas relay, oil level</t>
        </is>
      </c>
      <c r="E4705" s="12" t="inlineStr">
        <is>
          <t>MOD-EH</t>
        </is>
      </c>
      <c r="F4705" s="12" t="inlineStr">
        <is>
          <t>MOD-EH: 34.5 kV modular collector e-house (2 bus sections + 13.8 kV st</t>
        </is>
      </c>
      <c r="G4705" s="12" t="inlineStr">
        <is>
          <t>MOD-SST</t>
        </is>
      </c>
      <c r="H4705" s="12" t="inlineStr">
        <is>
          <t>MOD-SST: 34.5 / 13.8 kV station-service transformer, ~10 MVA (yard sta</t>
        </is>
      </c>
      <c r="I4705" s="12" t="inlineStr">
        <is>
          <t>Instrumentation</t>
        </is>
      </c>
      <c r="J4705" s="12" t="inlineStr">
        <is>
          <t>Instrumentation ITC / PLTC, IS, #18 shielded pairs, blue jacket</t>
        </is>
      </c>
      <c r="K4705" s="12" t="inlineStr">
        <is>
          <t>ITC|4 pr|18</t>
        </is>
      </c>
      <c r="L4705" s="12" t="inlineStr">
        <is>
          <t>4 pr</t>
        </is>
      </c>
      <c r="M4705" s="12" t="inlineStr">
        <is>
          <t>18</t>
        </is>
      </c>
      <c r="N4705" s="12" t="n">
        <v>1</v>
      </c>
      <c r="O4705" s="12" t="n">
        <v>1</v>
      </c>
      <c r="P4705" s="12" t="n"/>
      <c r="Q4705" s="12" t="n"/>
      <c r="R4705" s="12" t="n"/>
      <c r="S4705" s="12" t="inlineStr">
        <is>
          <t>Duct bank</t>
        </is>
      </c>
      <c r="T4705" s="15" t="n">
        <v>237</v>
      </c>
      <c r="U4705" s="15" t="n">
        <v>32</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I-I-0103</t>
        </is>
      </c>
      <c r="B4706" s="12" t="inlineStr">
        <is>
          <t>I</t>
        </is>
      </c>
      <c r="C4706" s="12" t="inlineStr">
        <is>
          <t>Modular / portable power</t>
        </is>
      </c>
      <c r="D4706" s="12" t="inlineStr">
        <is>
          <t>Analog instrument to JB JB-MT-4..6 480 V swit-AI01: 6 x 1 pr (field cables)</t>
        </is>
      </c>
      <c r="E4706" s="12" t="inlineStr"/>
      <c r="F4706" s="12" t="inlineStr">
        <is>
          <t>MT-4..6 480 V switchboard</t>
        </is>
      </c>
      <c r="G4706" s="12" t="inlineStr">
        <is>
          <t>JB-MT-4..6 480 V swit-AI01</t>
        </is>
      </c>
      <c r="H4706" s="12" t="inlineStr">
        <is>
          <t>MT-4..6 480 V switchboard</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6</v>
      </c>
      <c r="O4706" s="12" t="n">
        <v>1</v>
      </c>
      <c r="P4706" s="12" t="n"/>
      <c r="Q4706" s="12" t="n"/>
      <c r="R4706" s="12" t="n"/>
      <c r="S4706" s="12" t="inlineStr">
        <is>
          <t>Tray / conduit</t>
        </is>
      </c>
      <c r="T4706" s="15" t="n">
        <v>44</v>
      </c>
      <c r="U4706" s="15" t="n">
        <v>10</v>
      </c>
      <c r="V4706" s="15">
        <f>ROUNDUP((T4706+U4706+2*'Read Me'!$B$13)*(1+'Read Me'!$B$12),-1)</f>
        <v/>
      </c>
      <c r="W4706" s="15">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I-I-0104</t>
        </is>
      </c>
      <c r="B4707" s="12" t="inlineStr">
        <is>
          <t>I</t>
        </is>
      </c>
      <c r="C4707" s="12" t="inlineStr">
        <is>
          <t>Modular / portable power</t>
        </is>
      </c>
      <c r="D4707" s="12" t="inlineStr">
        <is>
          <t>Home run JB-MT-4..6 480 V swit-AI01 to the control / marshalling room</t>
        </is>
      </c>
      <c r="E4707" s="12" t="inlineStr">
        <is>
          <t>PAD-EH</t>
        </is>
      </c>
      <c r="F4707" s="12" t="inlineStr">
        <is>
          <t>PAD-EH 13.8 kV switchgear e-house</t>
        </is>
      </c>
      <c r="G4707" s="12" t="inlineStr">
        <is>
          <t>JB-MT-4..6 480 V swit-AI01</t>
        </is>
      </c>
      <c r="H4707" s="12" t="inlineStr">
        <is>
          <t>MT-4..6 480 V switchboard</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5" t="n">
        <v>234</v>
      </c>
      <c r="U4707" s="15" t="n">
        <v>37</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I-I-0105</t>
        </is>
      </c>
      <c r="B4708" s="12" t="inlineStr">
        <is>
          <t>I</t>
        </is>
      </c>
      <c r="C4708" s="12" t="inlineStr">
        <is>
          <t>Modular / portable power</t>
        </is>
      </c>
      <c r="D4708" s="12" t="inlineStr">
        <is>
          <t>Discrete device to JB JB-MT-4..6 480 V swit-DI01: 6 x 1 pr (field cables)</t>
        </is>
      </c>
      <c r="E4708" s="12" t="inlineStr"/>
      <c r="F4708" s="12" t="inlineStr">
        <is>
          <t>MT-4..6 480 V switchboard</t>
        </is>
      </c>
      <c r="G4708" s="12" t="inlineStr">
        <is>
          <t>JB-MT-4..6 480 V swit-DI01</t>
        </is>
      </c>
      <c r="H4708" s="12" t="inlineStr">
        <is>
          <t>MT-4..6 480 V switchboard</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6</v>
      </c>
      <c r="O4708" s="12" t="n">
        <v>1</v>
      </c>
      <c r="P4708" s="12" t="n"/>
      <c r="Q4708" s="12" t="n"/>
      <c r="R4708" s="12" t="n"/>
      <c r="S4708" s="12" t="inlineStr">
        <is>
          <t>Tray / conduit</t>
        </is>
      </c>
      <c r="T4708" s="15" t="n">
        <v>44</v>
      </c>
      <c r="U4708" s="15" t="n">
        <v>10</v>
      </c>
      <c r="V4708" s="15">
        <f>ROUNDUP((T4708+U4708+2*'Read Me'!$B$13)*(1+'Read Me'!$B$12),-1)</f>
        <v/>
      </c>
      <c r="W4708" s="15">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I-I-0106</t>
        </is>
      </c>
      <c r="B4709" s="12" t="inlineStr">
        <is>
          <t>I</t>
        </is>
      </c>
      <c r="C4709" s="12" t="inlineStr">
        <is>
          <t>Modular / portable power</t>
        </is>
      </c>
      <c r="D4709" s="12" t="inlineStr">
        <is>
          <t>Home run JB-MT-4..6 480 V swit-DI01 to the control / marshalling room</t>
        </is>
      </c>
      <c r="E4709" s="12" t="inlineStr">
        <is>
          <t>PAD-EH</t>
        </is>
      </c>
      <c r="F4709" s="12" t="inlineStr">
        <is>
          <t>PAD-EH 13.8 kV switchgear e-house</t>
        </is>
      </c>
      <c r="G4709" s="12" t="inlineStr">
        <is>
          <t>JB-MT-4..6 480 V swit-DI01</t>
        </is>
      </c>
      <c r="H4709" s="12" t="inlineStr">
        <is>
          <t>MT-4..6 480 V switchboard</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5" t="n">
        <v>234</v>
      </c>
      <c r="U4709" s="15" t="n">
        <v>37</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I-I-0107</t>
        </is>
      </c>
      <c r="B4710" s="12" t="inlineStr">
        <is>
          <t>I</t>
        </is>
      </c>
      <c r="C4710" s="12" t="inlineStr">
        <is>
          <t>Modular / portable power</t>
        </is>
      </c>
      <c r="D4710" s="12" t="inlineStr">
        <is>
          <t>Analog instrument to JB JB-MT-4-AI01: 6 x 1 pr (field cables)</t>
        </is>
      </c>
      <c r="E4710" s="12" t="inlineStr">
        <is>
          <t>MT-4</t>
        </is>
      </c>
      <c r="F4710" s="12" t="inlineStr">
        <is>
          <t>MT-4: microturbine 1 MW (1 MW package class)</t>
        </is>
      </c>
      <c r="G4710" s="12" t="inlineStr">
        <is>
          <t>JB-MT-4-AI01</t>
        </is>
      </c>
      <c r="H4710" s="12" t="inlineStr">
        <is>
          <t>MT-4: microturbine 1 MW (1 MW package class)</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6</v>
      </c>
      <c r="O4710" s="12" t="n">
        <v>1</v>
      </c>
      <c r="P4710" s="12" t="n"/>
      <c r="Q4710" s="12" t="n"/>
      <c r="R4710" s="12" t="n"/>
      <c r="S4710" s="12" t="inlineStr">
        <is>
          <t>Tray / conduit</t>
        </is>
      </c>
      <c r="T4710" s="15" t="n">
        <v>47</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I-I-0108</t>
        </is>
      </c>
      <c r="B4711" s="12" t="inlineStr">
        <is>
          <t>I</t>
        </is>
      </c>
      <c r="C4711" s="12" t="inlineStr">
        <is>
          <t>Modular / portable power</t>
        </is>
      </c>
      <c r="D4711" s="12" t="inlineStr">
        <is>
          <t>Home run JB-MT-4-AI01 to the control / marshalling room</t>
        </is>
      </c>
      <c r="E4711" s="12" t="inlineStr">
        <is>
          <t>PAD-EH</t>
        </is>
      </c>
      <c r="F4711" s="12" t="inlineStr">
        <is>
          <t>PAD-EH 13.8 kV switchgear e-house</t>
        </is>
      </c>
      <c r="G4711" s="12" t="inlineStr">
        <is>
          <t>JB-MT-4-AI01</t>
        </is>
      </c>
      <c r="H4711" s="12" t="inlineStr">
        <is>
          <t>MT-4: microturbine 1 MW (1 MW package class)</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318</v>
      </c>
      <c r="U4711" s="15" t="n">
        <v>33</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I-I-0109</t>
        </is>
      </c>
      <c r="B4712" s="12" t="inlineStr">
        <is>
          <t>I</t>
        </is>
      </c>
      <c r="C4712" s="12" t="inlineStr">
        <is>
          <t>Modular / portable power</t>
        </is>
      </c>
      <c r="D4712" s="12" t="inlineStr">
        <is>
          <t>Discrete device to JB JB-MT-4-DI01: 6 x 1 pr (field cables)</t>
        </is>
      </c>
      <c r="E4712" s="12" t="inlineStr">
        <is>
          <t>MT-4</t>
        </is>
      </c>
      <c r="F4712" s="12" t="inlineStr">
        <is>
          <t>MT-4: microturbine 1 MW (1 MW package class)</t>
        </is>
      </c>
      <c r="G4712" s="12" t="inlineStr">
        <is>
          <t>JB-MT-4-DI01</t>
        </is>
      </c>
      <c r="H4712" s="12" t="inlineStr">
        <is>
          <t>MT-4: microturbine 1 MW (1 MW package class)</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47</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I-I-0110</t>
        </is>
      </c>
      <c r="B4713" s="12" t="inlineStr">
        <is>
          <t>I</t>
        </is>
      </c>
      <c r="C4713" s="12" t="inlineStr">
        <is>
          <t>Modular / portable power</t>
        </is>
      </c>
      <c r="D4713" s="12" t="inlineStr">
        <is>
          <t>Home run JB-MT-4-DI01 to the control / marshalling room</t>
        </is>
      </c>
      <c r="E4713" s="12" t="inlineStr">
        <is>
          <t>PAD-EH</t>
        </is>
      </c>
      <c r="F4713" s="12" t="inlineStr">
        <is>
          <t>PAD-EH 13.8 kV switchgear e-house</t>
        </is>
      </c>
      <c r="G4713" s="12" t="inlineStr">
        <is>
          <t>JB-MT-4-DI01</t>
        </is>
      </c>
      <c r="H4713" s="12" t="inlineStr">
        <is>
          <t>MT-4: microturbine 1 MW (1 MW package class)</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318</v>
      </c>
      <c r="U4713" s="15" t="n">
        <v>33</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I-I-0111</t>
        </is>
      </c>
      <c r="B4714" s="12" t="inlineStr">
        <is>
          <t>I</t>
        </is>
      </c>
      <c r="C4714" s="12" t="inlineStr">
        <is>
          <t>Modular / portable power</t>
        </is>
      </c>
      <c r="D4714" s="12" t="inlineStr">
        <is>
          <t>Analog instrument to JB JB-MT-5-AI01: 6 x 1 pr (field cables)</t>
        </is>
      </c>
      <c r="E4714" s="12" t="inlineStr">
        <is>
          <t>MT-5</t>
        </is>
      </c>
      <c r="F4714" s="12" t="inlineStr">
        <is>
          <t>MT-5: microturbine 1 MW (1 MW package class)</t>
        </is>
      </c>
      <c r="G4714" s="12" t="inlineStr">
        <is>
          <t>JB-MT-5-AI01</t>
        </is>
      </c>
      <c r="H4714" s="12" t="inlineStr">
        <is>
          <t>MT-5: microturbine 1 MW (1 MW package class)</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47</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I-I-0112</t>
        </is>
      </c>
      <c r="B4715" s="12" t="inlineStr">
        <is>
          <t>I</t>
        </is>
      </c>
      <c r="C4715" s="12" t="inlineStr">
        <is>
          <t>Modular / portable power</t>
        </is>
      </c>
      <c r="D4715" s="12" t="inlineStr">
        <is>
          <t>Home run JB-MT-5-AI01 to the control / marshalling room</t>
        </is>
      </c>
      <c r="E4715" s="12" t="inlineStr">
        <is>
          <t>PAD-EH</t>
        </is>
      </c>
      <c r="F4715" s="12" t="inlineStr">
        <is>
          <t>PAD-EH 13.8 kV switchgear e-house</t>
        </is>
      </c>
      <c r="G4715" s="12" t="inlineStr">
        <is>
          <t>JB-MT-5-AI01</t>
        </is>
      </c>
      <c r="H4715" s="12" t="inlineStr">
        <is>
          <t>MT-5: microturbine 1 MW (1 MW package class)</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304</v>
      </c>
      <c r="U4715" s="15" t="n">
        <v>33</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I-I-0113</t>
        </is>
      </c>
      <c r="B4716" s="12" t="inlineStr">
        <is>
          <t>I</t>
        </is>
      </c>
      <c r="C4716" s="12" t="inlineStr">
        <is>
          <t>Modular / portable power</t>
        </is>
      </c>
      <c r="D4716" s="12" t="inlineStr">
        <is>
          <t>Discrete device to JB JB-MT-5-DI01: 6 x 1 pr (field cables)</t>
        </is>
      </c>
      <c r="E4716" s="12" t="inlineStr">
        <is>
          <t>MT-5</t>
        </is>
      </c>
      <c r="F4716" s="12" t="inlineStr">
        <is>
          <t>MT-5: microturbine 1 MW (1 MW package class)</t>
        </is>
      </c>
      <c r="G4716" s="12" t="inlineStr">
        <is>
          <t>JB-MT-5-DI01</t>
        </is>
      </c>
      <c r="H4716" s="12" t="inlineStr">
        <is>
          <t>MT-5: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I-I-0114</t>
        </is>
      </c>
      <c r="B4717" s="12" t="inlineStr">
        <is>
          <t>I</t>
        </is>
      </c>
      <c r="C4717" s="12" t="inlineStr">
        <is>
          <t>Modular / portable power</t>
        </is>
      </c>
      <c r="D4717" s="12" t="inlineStr">
        <is>
          <t>Home run JB-MT-5-DI01 to the control / marshalling room</t>
        </is>
      </c>
      <c r="E4717" s="12" t="inlineStr">
        <is>
          <t>PAD-EH</t>
        </is>
      </c>
      <c r="F4717" s="12" t="inlineStr">
        <is>
          <t>PAD-EH 13.8 kV switchgear e-house</t>
        </is>
      </c>
      <c r="G4717" s="12" t="inlineStr">
        <is>
          <t>JB-MT-5-DI01</t>
        </is>
      </c>
      <c r="H4717" s="12" t="inlineStr">
        <is>
          <t>MT-5: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304</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I-I-0115</t>
        </is>
      </c>
      <c r="B4718" s="12" t="inlineStr">
        <is>
          <t>I</t>
        </is>
      </c>
      <c r="C4718" s="12" t="inlineStr">
        <is>
          <t>Modular / portable power</t>
        </is>
      </c>
      <c r="D4718" s="12" t="inlineStr">
        <is>
          <t>Analog instrument to JB JB-MT-6-AI01: 6 x 1 pr (field cables)</t>
        </is>
      </c>
      <c r="E4718" s="12" t="inlineStr">
        <is>
          <t>MT-6</t>
        </is>
      </c>
      <c r="F4718" s="12" t="inlineStr">
        <is>
          <t>MT-6: microturbine 1 MW (1 MW package class)</t>
        </is>
      </c>
      <c r="G4718" s="12" t="inlineStr">
        <is>
          <t>JB-MT-6-AI01</t>
        </is>
      </c>
      <c r="H4718" s="12" t="inlineStr">
        <is>
          <t>MT-6: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I-I-0116</t>
        </is>
      </c>
      <c r="B4719" s="12" t="inlineStr">
        <is>
          <t>I</t>
        </is>
      </c>
      <c r="C4719" s="12" t="inlineStr">
        <is>
          <t>Modular / portable power</t>
        </is>
      </c>
      <c r="D4719" s="12" t="inlineStr">
        <is>
          <t>Home run JB-MT-6-AI01 to the control / marshalling room</t>
        </is>
      </c>
      <c r="E4719" s="12" t="inlineStr">
        <is>
          <t>PAD-EH</t>
        </is>
      </c>
      <c r="F4719" s="12" t="inlineStr">
        <is>
          <t>PAD-EH 13.8 kV switchgear e-house</t>
        </is>
      </c>
      <c r="G4719" s="12" t="inlineStr">
        <is>
          <t>JB-MT-6-AI01</t>
        </is>
      </c>
      <c r="H4719" s="12" t="inlineStr">
        <is>
          <t>MT-6: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234</v>
      </c>
      <c r="U4719" s="15" t="n">
        <v>38</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I-I-0117</t>
        </is>
      </c>
      <c r="B4720" s="12" t="inlineStr">
        <is>
          <t>I</t>
        </is>
      </c>
      <c r="C4720" s="12" t="inlineStr">
        <is>
          <t>Modular / portable power</t>
        </is>
      </c>
      <c r="D4720" s="12" t="inlineStr">
        <is>
          <t>Discrete device to JB JB-MT-6-DI01: 6 x 1 pr (field cables)</t>
        </is>
      </c>
      <c r="E4720" s="12" t="inlineStr">
        <is>
          <t>MT-6</t>
        </is>
      </c>
      <c r="F4720" s="12" t="inlineStr">
        <is>
          <t>MT-6: microturbine 1 MW (1 MW package class)</t>
        </is>
      </c>
      <c r="G4720" s="12" t="inlineStr">
        <is>
          <t>JB-MT-6-DI01</t>
        </is>
      </c>
      <c r="H4720" s="12" t="inlineStr">
        <is>
          <t>MT-6: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I-I-0118</t>
        </is>
      </c>
      <c r="B4721" s="12" t="inlineStr">
        <is>
          <t>I</t>
        </is>
      </c>
      <c r="C4721" s="12" t="inlineStr">
        <is>
          <t>Modular / portable power</t>
        </is>
      </c>
      <c r="D4721" s="12" t="inlineStr">
        <is>
          <t>Home run JB-MT-6-DI01 to the control / marshalling room</t>
        </is>
      </c>
      <c r="E4721" s="12" t="inlineStr">
        <is>
          <t>PAD-EH</t>
        </is>
      </c>
      <c r="F4721" s="12" t="inlineStr">
        <is>
          <t>PAD-EH 13.8 kV switchgear e-house</t>
        </is>
      </c>
      <c r="G4721" s="12" t="inlineStr">
        <is>
          <t>JB-MT-6-DI01</t>
        </is>
      </c>
      <c r="H4721" s="12" t="inlineStr">
        <is>
          <t>MT-6: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234</v>
      </c>
      <c r="U4721" s="15" t="n">
        <v>38</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I-I-0119</t>
        </is>
      </c>
      <c r="B4722" s="12" t="inlineStr">
        <is>
          <t>I</t>
        </is>
      </c>
      <c r="C4722" s="12" t="inlineStr">
        <is>
          <t>Modular / portable power</t>
        </is>
      </c>
      <c r="D4722" s="12" t="inlineStr">
        <is>
          <t>MT-TX monitoring: temperatures, gas relay, oil level</t>
        </is>
      </c>
      <c r="E4722" s="12" t="inlineStr"/>
      <c r="F4722" s="12" t="inlineStr">
        <is>
          <t>MT-4..6 480 V switchboard</t>
        </is>
      </c>
      <c r="G4722" s="12" t="inlineStr">
        <is>
          <t>MT-TX</t>
        </is>
      </c>
      <c r="H4722" s="12" t="inlineStr">
        <is>
          <t>MT-TX: 480 V : 13.8 kV, ~3.75 MVA pad-mount (microturbine site)</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0</v>
      </c>
      <c r="U4722" s="15" t="n">
        <v>36</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I-I-0120</t>
        </is>
      </c>
      <c r="B4723" s="12" t="inlineStr">
        <is>
          <t>I</t>
        </is>
      </c>
      <c r="C4723" s="12" t="inlineStr">
        <is>
          <t>Modular / portable power</t>
        </is>
      </c>
      <c r="D4723" s="12" t="inlineStr">
        <is>
          <t>MTG-1 instrumentation</t>
        </is>
      </c>
      <c r="E4723" s="12" t="inlineStr">
        <is>
          <t>MTG-SWG</t>
        </is>
      </c>
      <c r="F4723" s="12" t="inlineStr">
        <is>
          <t>MTG-SWG: 13.8 kV switchgear e-house (2 generator breakers, site feeder</t>
        </is>
      </c>
      <c r="G4723" s="12" t="inlineStr">
        <is>
          <t>MTG-1</t>
        </is>
      </c>
      <c r="H4723" s="12" t="inlineStr">
        <is>
          <t xml:space="preserve">MTG-1: mid-size industrial gas-turbine generator package ~16 MW, 13.8 </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37</v>
      </c>
      <c r="U4723" s="15" t="n">
        <v>34</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I-I-0121</t>
        </is>
      </c>
      <c r="B4724" s="12" t="inlineStr">
        <is>
          <t>I</t>
        </is>
      </c>
      <c r="C4724" s="12" t="inlineStr">
        <is>
          <t>Modular / portable power</t>
        </is>
      </c>
      <c r="D4724" s="12" t="inlineStr">
        <is>
          <t>MTG-2 instrumentation</t>
        </is>
      </c>
      <c r="E4724" s="12" t="inlineStr">
        <is>
          <t>MTG-SWG</t>
        </is>
      </c>
      <c r="F4724" s="12" t="inlineStr">
        <is>
          <t>MTG-SWG: 13.8 kV switchgear e-house (2 generator breakers, site feeder</t>
        </is>
      </c>
      <c r="G4724" s="12" t="inlineStr">
        <is>
          <t>MTG-2</t>
        </is>
      </c>
      <c r="H4724" s="12" t="inlineStr">
        <is>
          <t xml:space="preserve">MTG-2: mid-size industrial gas-turbine generator package ~16 MW, 13.8 </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Duct bank</t>
        </is>
      </c>
      <c r="T4724" s="15" t="n">
        <v>7</v>
      </c>
      <c r="U4724" s="15" t="n">
        <v>34</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I-I-0122</t>
        </is>
      </c>
      <c r="B4725" s="12" t="inlineStr">
        <is>
          <t>I</t>
        </is>
      </c>
      <c r="C4725" s="12" t="inlineStr">
        <is>
          <t>Modular / portable power</t>
        </is>
      </c>
      <c r="D4725" s="12" t="inlineStr">
        <is>
          <t>MTG-AUX monitoring: temperatures, gas relay, oil level</t>
        </is>
      </c>
      <c r="E4725" s="12" t="inlineStr">
        <is>
          <t>MTG-SWG</t>
        </is>
      </c>
      <c r="F4725" s="12" t="inlineStr">
        <is>
          <t>MTG-SWG: 13.8 kV switchgear e-house (2 generator breakers, site feeder</t>
        </is>
      </c>
      <c r="G4725" s="12" t="inlineStr">
        <is>
          <t>MTG-AUX</t>
        </is>
      </c>
      <c r="H4725" s="12" t="inlineStr">
        <is>
          <t>MTG-AUX: 13.8 / 0.48 kV auxiliary transformer</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Duct bank</t>
        </is>
      </c>
      <c r="T4725" s="15" t="n">
        <v>34</v>
      </c>
      <c r="U4725" s="15" t="n">
        <v>32</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I-I-0123</t>
        </is>
      </c>
      <c r="B4726" s="12" t="inlineStr">
        <is>
          <t>I</t>
        </is>
      </c>
      <c r="C4726" s="12" t="inlineStr">
        <is>
          <t>Modular / portable power</t>
        </is>
      </c>
      <c r="D4726" s="12" t="inlineStr">
        <is>
          <t>MTG-FG skid instrumentation (IS)</t>
        </is>
      </c>
      <c r="E4726" s="12" t="inlineStr">
        <is>
          <t>MTG-CB</t>
        </is>
      </c>
      <c r="F4726" s="12" t="inlineStr">
        <is>
          <t>MTG-CB: control and MCC building (unit controls, 480 V MCC)</t>
        </is>
      </c>
      <c r="G4726" s="12" t="inlineStr">
        <is>
          <t>MTG-FG</t>
        </is>
      </c>
      <c r="H4726" s="12" t="inlineStr">
        <is>
          <t>MTG-FG: fuel-gas conditioning skid (scrubber, filter-separator, heater</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Duct bank</t>
        </is>
      </c>
      <c r="T4726" s="15" t="n">
        <v>36</v>
      </c>
      <c r="U4726" s="15" t="n">
        <v>102</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I-I-0124</t>
        </is>
      </c>
      <c r="B4727" s="12" t="inlineStr">
        <is>
          <t>I</t>
        </is>
      </c>
      <c r="C4727" s="12" t="inlineStr">
        <is>
          <t>Modular / portable power</t>
        </is>
      </c>
      <c r="D4727" s="12" t="inlineStr">
        <is>
          <t>MTG-GSU monitoring: temperatures, gas relay, oil level</t>
        </is>
      </c>
      <c r="E4727" s="12" t="inlineStr">
        <is>
          <t>MTG-SWG</t>
        </is>
      </c>
      <c r="F4727" s="12" t="inlineStr">
        <is>
          <t>MTG-SWG: 13.8 kV switchgear e-house (2 generator breakers, site feeder</t>
        </is>
      </c>
      <c r="G4727" s="12" t="inlineStr">
        <is>
          <t>MTG-GSU</t>
        </is>
      </c>
      <c r="H4727" s="12" t="inlineStr">
        <is>
          <t>MTG-GSU: 13.8 / 34.5 kV step-up, ~40 MVA (mid-size turbines)</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Duct bank</t>
        </is>
      </c>
      <c r="T4727" s="15" t="n">
        <v>12</v>
      </c>
      <c r="U4727" s="15" t="n">
        <v>32</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I-I-0125</t>
        </is>
      </c>
      <c r="B4728" s="12" t="inlineStr">
        <is>
          <t>I</t>
        </is>
      </c>
      <c r="C4728" s="12" t="inlineStr">
        <is>
          <t>Modular / portable power</t>
        </is>
      </c>
      <c r="D4728" s="12" t="inlineStr">
        <is>
          <t>PAD-GSU monitoring: temperatures, gas relay, oil level</t>
        </is>
      </c>
      <c r="E4728" s="12" t="inlineStr">
        <is>
          <t>PAD-EH</t>
        </is>
      </c>
      <c r="F4728" s="12" t="inlineStr">
        <is>
          <t>PAD-EH 13.8 kV switchgear e-house</t>
        </is>
      </c>
      <c r="G4728" s="12" t="inlineStr">
        <is>
          <t>PAD-GSU</t>
        </is>
      </c>
      <c r="H4728" s="12" t="inlineStr">
        <is>
          <t>PAD-GSU: 13.8 / 34.5 kV step-up, ~60 MVA (PAD-EH: TM-1, CHP site, MT-T</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44</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I-I-0126</t>
        </is>
      </c>
      <c r="B4729" s="12" t="inlineStr">
        <is>
          <t>I</t>
        </is>
      </c>
      <c r="C4729" s="12" t="inlineStr">
        <is>
          <t>Modular / portable power</t>
        </is>
      </c>
      <c r="D4729" s="12" t="inlineStr">
        <is>
          <t>PGS-1 instrumentation</t>
        </is>
      </c>
      <c r="E4729" s="12" t="inlineStr">
        <is>
          <t>PGS-SWG</t>
        </is>
      </c>
      <c r="F4729" s="12" t="inlineStr">
        <is>
          <t>PGS-SWG: 480 V paralleling switchgear (8 generator breakers, 2 transfo</t>
        </is>
      </c>
      <c r="G4729" s="12" t="inlineStr">
        <is>
          <t>PGS-1</t>
        </is>
      </c>
      <c r="H4729" s="12" t="inlineStr">
        <is>
          <t>PGS-1: enclosed gas genset 1 MW, 480 V (paralleled, unit 1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Riser</t>
        </is>
      </c>
      <c r="T4729" s="15" t="n">
        <v>4</v>
      </c>
      <c r="U4729" s="15" t="n">
        <v>27</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I-I-0127</t>
        </is>
      </c>
      <c r="B4730" s="12" t="inlineStr">
        <is>
          <t>I</t>
        </is>
      </c>
      <c r="C4730" s="12" t="inlineStr">
        <is>
          <t>Modular / portable power</t>
        </is>
      </c>
      <c r="D4730" s="12" t="inlineStr">
        <is>
          <t>PGS-2 instrumentation</t>
        </is>
      </c>
      <c r="E4730" s="12" t="inlineStr">
        <is>
          <t>PGS-SWG</t>
        </is>
      </c>
      <c r="F4730" s="12" t="inlineStr">
        <is>
          <t>PGS-SWG: 480 V paralleling switchgear (8 generator breakers, 2 transfo</t>
        </is>
      </c>
      <c r="G4730" s="12" t="inlineStr">
        <is>
          <t>PGS-2</t>
        </is>
      </c>
      <c r="H4730" s="12" t="inlineStr">
        <is>
          <t>PGS-2: enclosed gas genset 1 MW, 480 V (paralleled, unit 2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Riser</t>
        </is>
      </c>
      <c r="T4730" s="15" t="n">
        <v>4</v>
      </c>
      <c r="U4730" s="15" t="n">
        <v>27</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I-I-0128</t>
        </is>
      </c>
      <c r="B4731" s="12" t="inlineStr">
        <is>
          <t>I</t>
        </is>
      </c>
      <c r="C4731" s="12" t="inlineStr">
        <is>
          <t>Modular / portable power</t>
        </is>
      </c>
      <c r="D4731" s="12" t="inlineStr">
        <is>
          <t>PGS-3 instrumentation</t>
        </is>
      </c>
      <c r="E4731" s="12" t="inlineStr">
        <is>
          <t>PGS-SWG</t>
        </is>
      </c>
      <c r="F4731" s="12" t="inlineStr">
        <is>
          <t>PGS-SWG: 480 V paralleling switchgear (8 generator breakers, 2 transfo</t>
        </is>
      </c>
      <c r="G4731" s="12" t="inlineStr">
        <is>
          <t>PGS-3</t>
        </is>
      </c>
      <c r="H4731" s="12" t="inlineStr">
        <is>
          <t>PGS-3: enclosed gas genset 1 MW, 480 V (paralleled, unit 3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Riser</t>
        </is>
      </c>
      <c r="T4731" s="15" t="n">
        <v>4</v>
      </c>
      <c r="U4731" s="15" t="n">
        <v>27</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I-I-0129</t>
        </is>
      </c>
      <c r="B4732" s="12" t="inlineStr">
        <is>
          <t>I</t>
        </is>
      </c>
      <c r="C4732" s="12" t="inlineStr">
        <is>
          <t>Modular / portable power</t>
        </is>
      </c>
      <c r="D4732" s="12" t="inlineStr">
        <is>
          <t>PGS-4 instrumentation</t>
        </is>
      </c>
      <c r="E4732" s="12" t="inlineStr">
        <is>
          <t>PGS-SWG</t>
        </is>
      </c>
      <c r="F4732" s="12" t="inlineStr">
        <is>
          <t>PGS-SWG: 480 V paralleling switchgear (8 generator breakers, 2 transfo</t>
        </is>
      </c>
      <c r="G4732" s="12" t="inlineStr">
        <is>
          <t>PGS-4</t>
        </is>
      </c>
      <c r="H4732" s="12" t="inlineStr">
        <is>
          <t>PGS-4: enclosed gas genset 1 MW, 480 V (paralleled, unit 4 of 8)</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Riser</t>
        </is>
      </c>
      <c r="T4732" s="15" t="n">
        <v>4</v>
      </c>
      <c r="U4732" s="15" t="n">
        <v>27</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I-I-0130</t>
        </is>
      </c>
      <c r="B4733" s="12" t="inlineStr">
        <is>
          <t>I</t>
        </is>
      </c>
      <c r="C4733" s="12" t="inlineStr">
        <is>
          <t>Modular / portable power</t>
        </is>
      </c>
      <c r="D4733" s="12" t="inlineStr">
        <is>
          <t>PGS-5 instrumentation</t>
        </is>
      </c>
      <c r="E4733" s="12" t="inlineStr">
        <is>
          <t>PGS-SWG</t>
        </is>
      </c>
      <c r="F4733" s="12" t="inlineStr">
        <is>
          <t>PGS-SWG: 480 V paralleling switchgear (8 generator breakers, 2 transfo</t>
        </is>
      </c>
      <c r="G4733" s="12" t="inlineStr">
        <is>
          <t>PGS-5</t>
        </is>
      </c>
      <c r="H4733" s="12" t="inlineStr">
        <is>
          <t>PGS-5: enclosed gas genset 1 MW, 480 V (paralleled, unit 5 of 8)</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16</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I-I-0131</t>
        </is>
      </c>
      <c r="B4734" s="12" t="inlineStr">
        <is>
          <t>I</t>
        </is>
      </c>
      <c r="C4734" s="12" t="inlineStr">
        <is>
          <t>Modular / portable power</t>
        </is>
      </c>
      <c r="D4734" s="12" t="inlineStr">
        <is>
          <t>PGS-6 instrumentation</t>
        </is>
      </c>
      <c r="E4734" s="12" t="inlineStr">
        <is>
          <t>PGS-SWG</t>
        </is>
      </c>
      <c r="F4734" s="12" t="inlineStr">
        <is>
          <t>PGS-SWG: 480 V paralleling switchgear (8 generator breakers, 2 transfo</t>
        </is>
      </c>
      <c r="G4734" s="12" t="inlineStr">
        <is>
          <t>PGS-6</t>
        </is>
      </c>
      <c r="H4734" s="12" t="inlineStr">
        <is>
          <t>PGS-6: enclosed gas genset 1 MW, 480 V (paralleled, unit 6 of 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28</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I-I-0132</t>
        </is>
      </c>
      <c r="B4735" s="12" t="inlineStr">
        <is>
          <t>I</t>
        </is>
      </c>
      <c r="C4735" s="12" t="inlineStr">
        <is>
          <t>Modular / portable power</t>
        </is>
      </c>
      <c r="D4735" s="12" t="inlineStr">
        <is>
          <t>PGS-7 instrumentation</t>
        </is>
      </c>
      <c r="E4735" s="12" t="inlineStr">
        <is>
          <t>PGS-SWG</t>
        </is>
      </c>
      <c r="F4735" s="12" t="inlineStr">
        <is>
          <t>PGS-SWG: 480 V paralleling switchgear (8 generator breakers, 2 transfo</t>
        </is>
      </c>
      <c r="G4735" s="12" t="inlineStr">
        <is>
          <t>PGS-7</t>
        </is>
      </c>
      <c r="H4735" s="12" t="inlineStr">
        <is>
          <t>PGS-7: enclosed gas genset 1 MW, 480 V (paralleled, unit 7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40</v>
      </c>
      <c r="U4735" s="15" t="n">
        <v>32</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I-I-0133</t>
        </is>
      </c>
      <c r="B4736" s="12" t="inlineStr">
        <is>
          <t>I</t>
        </is>
      </c>
      <c r="C4736" s="12" t="inlineStr">
        <is>
          <t>Modular / portable power</t>
        </is>
      </c>
      <c r="D4736" s="12" t="inlineStr">
        <is>
          <t>PGS-8 instrumentation</t>
        </is>
      </c>
      <c r="E4736" s="12" t="inlineStr">
        <is>
          <t>PGS-SWG</t>
        </is>
      </c>
      <c r="F4736" s="12" t="inlineStr">
        <is>
          <t>PGS-SWG: 480 V paralleling switchgear (8 generator breakers, 2 transfo</t>
        </is>
      </c>
      <c r="G4736" s="12" t="inlineStr">
        <is>
          <t>PGS-8</t>
        </is>
      </c>
      <c r="H4736" s="12" t="inlineStr">
        <is>
          <t>PGS-8: enclosed gas genset 1 MW, 480 V (paralleled, unit 8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52</v>
      </c>
      <c r="U4736" s="15" t="n">
        <v>32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I-I-0134</t>
        </is>
      </c>
      <c r="B4737" s="12" t="inlineStr">
        <is>
          <t>I</t>
        </is>
      </c>
      <c r="C4737" s="12" t="inlineStr">
        <is>
          <t>Modular / portable power</t>
        </is>
      </c>
      <c r="D4737" s="12" t="inlineStr">
        <is>
          <t>PGS-SWG bus / breaker monitoring (internal)</t>
        </is>
      </c>
      <c r="E4737" s="12" t="inlineStr">
        <is>
          <t>PGS-SWG</t>
        </is>
      </c>
      <c r="F4737" s="12" t="inlineStr">
        <is>
          <t>PGS-SWG: 480 V paralleling switchgear (8 generator breakers, 2 transfo</t>
        </is>
      </c>
      <c r="G4737" s="12" t="inlineStr">
        <is>
          <t>PGS-SWG</t>
        </is>
      </c>
      <c r="H4737" s="12" t="inlineStr">
        <is>
          <t>PGS-SWG: 480 V paralleling switchgear (8 generator breakers, 2 transfo</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Tray</t>
        </is>
      </c>
      <c r="T4737" s="15" t="n">
        <v>60</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I-I-0135</t>
        </is>
      </c>
      <c r="B4738" s="12" t="inlineStr">
        <is>
          <t>I</t>
        </is>
      </c>
      <c r="C4738" s="12" t="inlineStr">
        <is>
          <t>Modular / portable power</t>
        </is>
      </c>
      <c r="D4738" s="12" t="inlineStr">
        <is>
          <t>PGS-TX1 monitoring: temperatures, gas relay, oil level</t>
        </is>
      </c>
      <c r="E4738" s="12" t="inlineStr">
        <is>
          <t>PGS-SWG</t>
        </is>
      </c>
      <c r="F4738" s="12" t="inlineStr">
        <is>
          <t>PGS-SWG: 480 V paralleling switchgear (8 generator breakers, 2 transfo</t>
        </is>
      </c>
      <c r="G4738" s="12" t="inlineStr">
        <is>
          <t>PGS-TX1</t>
        </is>
      </c>
      <c r="H4738" s="12" t="inlineStr">
        <is>
          <t>PGS-TX1: 480 V : 34.5 kV, ~5 MVA loop-feed pad-mount (gensets 1-4)</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Surface</t>
        </is>
      </c>
      <c r="T4738" s="15" t="n">
        <v>75</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I-I-0136</t>
        </is>
      </c>
      <c r="B4739" s="12" t="inlineStr">
        <is>
          <t>I</t>
        </is>
      </c>
      <c r="C4739" s="12" t="inlineStr">
        <is>
          <t>Modular / portable power</t>
        </is>
      </c>
      <c r="D4739" s="12" t="inlineStr">
        <is>
          <t>PGS-TX2 monitoring: temperatures, gas relay, oil level</t>
        </is>
      </c>
      <c r="E4739" s="12" t="inlineStr">
        <is>
          <t>PGS-SWG</t>
        </is>
      </c>
      <c r="F4739" s="12" t="inlineStr">
        <is>
          <t>PGS-SWG: 480 V paralleling switchgear (8 generator breakers, 2 transfo</t>
        </is>
      </c>
      <c r="G4739" s="12" t="inlineStr">
        <is>
          <t>PGS-TX2</t>
        </is>
      </c>
      <c r="H4739" s="12" t="inlineStr">
        <is>
          <t>PGS-TX2: 480 V : 34.5 kV, ~5 MVA loop-feed pad-mount (gensets 5-8)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Surface</t>
        </is>
      </c>
      <c r="T4739" s="15" t="n">
        <v>46</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I-I-0137</t>
        </is>
      </c>
      <c r="B4740" s="12" t="inlineStr">
        <is>
          <t>I</t>
        </is>
      </c>
      <c r="C4740" s="12" t="inlineStr">
        <is>
          <t>Modular / portable power</t>
        </is>
      </c>
      <c r="D4740" s="12" t="inlineStr">
        <is>
          <t>PK-GT1 monitoring: temperatures, gas relay, oil level</t>
        </is>
      </c>
      <c r="E4740" s="12" t="inlineStr">
        <is>
          <t>SWG-PK</t>
        </is>
      </c>
      <c r="F4740" s="12" t="inlineStr">
        <is>
          <t>SWG-PK: 34.5 kV park collector switchgear (2 bus sections, tie; 8 feed</t>
        </is>
      </c>
      <c r="G4740" s="12" t="inlineStr">
        <is>
          <t>PK-GT1</t>
        </is>
      </c>
      <c r="H4740" s="12" t="inlineStr">
        <is>
          <t>PK-GT1: 34.5 kV zigzag grounding transformer, SWG-PK bus A</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60</v>
      </c>
      <c r="U4740" s="15" t="n">
        <v>38</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I-I-0138</t>
        </is>
      </c>
      <c r="B4741" s="12" t="inlineStr">
        <is>
          <t>I</t>
        </is>
      </c>
      <c r="C4741" s="12" t="inlineStr">
        <is>
          <t>Modular / portable power</t>
        </is>
      </c>
      <c r="D4741" s="12" t="inlineStr">
        <is>
          <t>PK-GT2 monitoring: temperatures, gas relay, oil level</t>
        </is>
      </c>
      <c r="E4741" s="12" t="inlineStr">
        <is>
          <t>SWG-PK</t>
        </is>
      </c>
      <c r="F4741" s="12" t="inlineStr">
        <is>
          <t>SWG-PK: 34.5 kV park collector switchgear (2 bus sections, tie; 8 feed</t>
        </is>
      </c>
      <c r="G4741" s="12" t="inlineStr">
        <is>
          <t>PK-GT2</t>
        </is>
      </c>
      <c r="H4741" s="12" t="inlineStr">
        <is>
          <t>PK-GT2: 34.5 kV zigzag grounding transformer, SWG-PK bus B</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Duct bank</t>
        </is>
      </c>
      <c r="T4741" s="15" t="n">
        <v>72</v>
      </c>
      <c r="U4741" s="15" t="n">
        <v>42</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I-I-0139</t>
        </is>
      </c>
      <c r="B4742" s="12" t="inlineStr">
        <is>
          <t>I</t>
        </is>
      </c>
      <c r="C4742" s="12" t="inlineStr">
        <is>
          <t>Modular / portable power</t>
        </is>
      </c>
      <c r="D4742" s="12" t="inlineStr">
        <is>
          <t>Analog instrument to JB JB-RICE 1 SCR + oxida-AI01: 10 x 1 pr (field cables)</t>
        </is>
      </c>
      <c r="E4742" s="12" t="inlineStr"/>
      <c r="F4742" s="12" t="inlineStr">
        <is>
          <t>RICE 1 SCR + oxidation catalyst and stack</t>
        </is>
      </c>
      <c r="G4742" s="12" t="inlineStr">
        <is>
          <t>JB-RICE 1 SCR + oxida-AI01</t>
        </is>
      </c>
      <c r="H4742" s="12" t="inlineStr">
        <is>
          <t>RICE 1 SCR + oxidation catalyst and stack</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10</v>
      </c>
      <c r="O4742" s="12" t="n">
        <v>1</v>
      </c>
      <c r="P4742" s="12" t="n"/>
      <c r="Q4742" s="12" t="n"/>
      <c r="R4742" s="12" t="n"/>
      <c r="S4742" s="12" t="inlineStr">
        <is>
          <t>Tray / conduit</t>
        </is>
      </c>
      <c r="T4742" s="15" t="n">
        <v>92</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I-I-0140</t>
        </is>
      </c>
      <c r="B4743" s="12" t="inlineStr">
        <is>
          <t>I</t>
        </is>
      </c>
      <c r="C4743" s="12" t="inlineStr">
        <is>
          <t>Modular / portable power</t>
        </is>
      </c>
      <c r="D4743" s="12" t="inlineStr">
        <is>
          <t>Home run JB-RICE 1 SCR + oxida-AI01 to the control / marshalling room</t>
        </is>
      </c>
      <c r="E4743" s="12" t="inlineStr"/>
      <c r="F4743" s="12" t="inlineStr">
        <is>
          <t>PCM: power control module</t>
        </is>
      </c>
      <c r="G4743" s="12" t="inlineStr">
        <is>
          <t>JB-RICE 1 SCR + oxida-AI01</t>
        </is>
      </c>
      <c r="H4743" s="12" t="inlineStr">
        <is>
          <t>RICE 1 SCR + oxidation catalyst and stack</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5" t="n">
        <v>436</v>
      </c>
      <c r="U4743" s="15" t="n">
        <v>160</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I-I-0141</t>
        </is>
      </c>
      <c r="B4744" s="12" t="inlineStr">
        <is>
          <t>I</t>
        </is>
      </c>
      <c r="C4744" s="12" t="inlineStr">
        <is>
          <t>Modular / portable power</t>
        </is>
      </c>
      <c r="D4744" s="12" t="inlineStr">
        <is>
          <t>Discrete device to JB JB-RICE 1 SCR + oxida-DI01: 6 x 1 pr (field cables)</t>
        </is>
      </c>
      <c r="E4744" s="12" t="inlineStr"/>
      <c r="F4744" s="12" t="inlineStr">
        <is>
          <t>RICE 1 SCR + oxidation catalyst and stack</t>
        </is>
      </c>
      <c r="G4744" s="12" t="inlineStr">
        <is>
          <t>JB-RICE 1 SCR + oxida-DI01</t>
        </is>
      </c>
      <c r="H4744" s="12" t="inlineStr">
        <is>
          <t>RICE 1 SCR + oxidation catalyst and stack</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6</v>
      </c>
      <c r="O4744" s="12" t="n">
        <v>1</v>
      </c>
      <c r="P4744" s="12" t="n"/>
      <c r="Q4744" s="12" t="n"/>
      <c r="R4744" s="12" t="n"/>
      <c r="S4744" s="12" t="inlineStr">
        <is>
          <t>Tray / conduit</t>
        </is>
      </c>
      <c r="T4744" s="15" t="n">
        <v>92</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I-I-0142</t>
        </is>
      </c>
      <c r="B4745" s="12" t="inlineStr">
        <is>
          <t>I</t>
        </is>
      </c>
      <c r="C4745" s="12" t="inlineStr">
        <is>
          <t>Modular / portable power</t>
        </is>
      </c>
      <c r="D4745" s="12" t="inlineStr">
        <is>
          <t>Home run JB-RICE 1 SCR + oxida-DI01 to the control / marshalling room</t>
        </is>
      </c>
      <c r="E4745" s="12" t="inlineStr"/>
      <c r="F4745" s="12" t="inlineStr">
        <is>
          <t>PCM: power control module</t>
        </is>
      </c>
      <c r="G4745" s="12" t="inlineStr">
        <is>
          <t>JB-RICE 1 SCR + oxida-DI01</t>
        </is>
      </c>
      <c r="H4745" s="12" t="inlineStr">
        <is>
          <t>RICE 1 SCR + oxidation catalyst and stack</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5" t="n">
        <v>436</v>
      </c>
      <c r="U4745" s="15" t="n">
        <v>160</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I-I-0143</t>
        </is>
      </c>
      <c r="B4746" s="12" t="inlineStr">
        <is>
          <t>I</t>
        </is>
      </c>
      <c r="C4746" s="12" t="inlineStr">
        <is>
          <t>Modular / portable power</t>
        </is>
      </c>
      <c r="D4746" s="12" t="inlineStr">
        <is>
          <t>Analog instrument to JB JB-RICE 1 radiators (-AI01: 5 x 1 pr (field cables)</t>
        </is>
      </c>
      <c r="E4746" s="12" t="inlineStr"/>
      <c r="F4746" s="12" t="inlineStr">
        <is>
          <t>RICE 1 radiators (5)</t>
        </is>
      </c>
      <c r="G4746" s="12" t="inlineStr">
        <is>
          <t>JB-RICE 1 radiators (-AI01</t>
        </is>
      </c>
      <c r="H4746" s="12" t="inlineStr">
        <is>
          <t>RICE 1 radiators (5)</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5</v>
      </c>
      <c r="O4746" s="12" t="n">
        <v>1</v>
      </c>
      <c r="P4746" s="12" t="n"/>
      <c r="Q4746" s="12" t="n"/>
      <c r="R4746" s="12" t="n"/>
      <c r="S4746" s="12" t="inlineStr">
        <is>
          <t>Tray / conduit</t>
        </is>
      </c>
      <c r="T4746" s="15" t="n">
        <v>80</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I-I-0144</t>
        </is>
      </c>
      <c r="B4747" s="12" t="inlineStr">
        <is>
          <t>I</t>
        </is>
      </c>
      <c r="C4747" s="12" t="inlineStr">
        <is>
          <t>Modular / portable power</t>
        </is>
      </c>
      <c r="D4747" s="12" t="inlineStr">
        <is>
          <t>Home run JB-RICE 1 radiators (-AI01 to the control / marshalling room</t>
        </is>
      </c>
      <c r="E4747" s="12" t="inlineStr"/>
      <c r="F4747" s="12" t="inlineStr">
        <is>
          <t>PCM: power control module</t>
        </is>
      </c>
      <c r="G4747" s="12" t="inlineStr">
        <is>
          <t>JB-RICE 1 radiators (-AI01</t>
        </is>
      </c>
      <c r="H4747" s="12" t="inlineStr">
        <is>
          <t>RICE 1 radiators (5)</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711</v>
      </c>
      <c r="U4747" s="15" t="n">
        <v>139</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I-I-0145</t>
        </is>
      </c>
      <c r="B4748" s="12" t="inlineStr">
        <is>
          <t>I</t>
        </is>
      </c>
      <c r="C4748" s="12" t="inlineStr">
        <is>
          <t>Modular / portable power</t>
        </is>
      </c>
      <c r="D4748" s="12" t="inlineStr">
        <is>
          <t>Discrete device to JB JB-RICE 1 radiators (-DI01: 10 x 1 pr (field cables)</t>
        </is>
      </c>
      <c r="E4748" s="12" t="inlineStr"/>
      <c r="F4748" s="12" t="inlineStr">
        <is>
          <t>RICE 1 radiators (5)</t>
        </is>
      </c>
      <c r="G4748" s="12" t="inlineStr">
        <is>
          <t>JB-RICE 1 radiators (-DI01</t>
        </is>
      </c>
      <c r="H4748" s="12" t="inlineStr">
        <is>
          <t>RICE 1 radiators (5)</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10</v>
      </c>
      <c r="O4748" s="12" t="n">
        <v>1</v>
      </c>
      <c r="P4748" s="12" t="n"/>
      <c r="Q4748" s="12" t="n"/>
      <c r="R4748" s="12" t="n"/>
      <c r="S4748" s="12" t="inlineStr">
        <is>
          <t>Tray / conduit</t>
        </is>
      </c>
      <c r="T4748" s="15" t="n">
        <v>80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I-I-0146</t>
        </is>
      </c>
      <c r="B4749" s="12" t="inlineStr">
        <is>
          <t>I</t>
        </is>
      </c>
      <c r="C4749" s="12" t="inlineStr">
        <is>
          <t>Modular / portable power</t>
        </is>
      </c>
      <c r="D4749" s="12" t="inlineStr">
        <is>
          <t>Home run JB-RICE 1 radiators (-DI01 to the control / marshalling room</t>
        </is>
      </c>
      <c r="E4749" s="12" t="inlineStr"/>
      <c r="F4749" s="12" t="inlineStr">
        <is>
          <t>PCM: power control module</t>
        </is>
      </c>
      <c r="G4749" s="12" t="inlineStr">
        <is>
          <t>JB-RICE 1 radiators (-DI01</t>
        </is>
      </c>
      <c r="H4749" s="12" t="inlineStr">
        <is>
          <t>RICE 1 radiators (5)</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711</v>
      </c>
      <c r="U4749" s="15" t="n">
        <v>139</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I-I-0147</t>
        </is>
      </c>
      <c r="B4750" s="12" t="inlineStr">
        <is>
          <t>I</t>
        </is>
      </c>
      <c r="C4750" s="12" t="inlineStr">
        <is>
          <t>Modular / portable power</t>
        </is>
      </c>
      <c r="D4750" s="12" t="inlineStr">
        <is>
          <t>Analog instrument to JB JB-RICE 2 SCR + oxida-AI01: 10 x 1 pr (field cables)</t>
        </is>
      </c>
      <c r="E4750" s="12" t="inlineStr"/>
      <c r="F4750" s="12" t="inlineStr">
        <is>
          <t>RICE 2 SCR + oxidation catalyst and stack</t>
        </is>
      </c>
      <c r="G4750" s="12" t="inlineStr">
        <is>
          <t>JB-RICE 2 SCR + oxida-AI01</t>
        </is>
      </c>
      <c r="H4750" s="12" t="inlineStr">
        <is>
          <t>RICE 2 SCR + oxidation catalyst and stack</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10</v>
      </c>
      <c r="O4750" s="12" t="n">
        <v>1</v>
      </c>
      <c r="P4750" s="12" t="n"/>
      <c r="Q4750" s="12" t="n"/>
      <c r="R4750" s="12" t="n"/>
      <c r="S4750" s="12" t="inlineStr">
        <is>
          <t>Tray / conduit</t>
        </is>
      </c>
      <c r="T4750" s="15" t="n">
        <v>92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I-I-0148</t>
        </is>
      </c>
      <c r="B4751" s="12" t="inlineStr">
        <is>
          <t>I</t>
        </is>
      </c>
      <c r="C4751" s="12" t="inlineStr">
        <is>
          <t>Modular / portable power</t>
        </is>
      </c>
      <c r="D4751" s="12" t="inlineStr">
        <is>
          <t>Home run JB-RICE 2 SCR + oxida-AI01 to the control / marshalling room</t>
        </is>
      </c>
      <c r="E4751" s="12" t="inlineStr"/>
      <c r="F4751" s="12" t="inlineStr">
        <is>
          <t>PCM: power control module</t>
        </is>
      </c>
      <c r="G4751" s="12" t="inlineStr">
        <is>
          <t>JB-RICE 2 SCR + oxida-AI01</t>
        </is>
      </c>
      <c r="H4751" s="12" t="inlineStr">
        <is>
          <t>RICE 2 SCR + oxidation catalyst and stack</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436</v>
      </c>
      <c r="U4751" s="15" t="n">
        <v>132</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I-I-0149</t>
        </is>
      </c>
      <c r="B4752" s="12" t="inlineStr">
        <is>
          <t>I</t>
        </is>
      </c>
      <c r="C4752" s="12" t="inlineStr">
        <is>
          <t>Modular / portable power</t>
        </is>
      </c>
      <c r="D4752" s="12" t="inlineStr">
        <is>
          <t>Discrete device to JB JB-RICE 2 SCR + oxida-DI01: 6 x 1 pr (field cables)</t>
        </is>
      </c>
      <c r="E4752" s="12" t="inlineStr"/>
      <c r="F4752" s="12" t="inlineStr">
        <is>
          <t>RICE 2 SCR + oxidation catalyst and stack</t>
        </is>
      </c>
      <c r="G4752" s="12" t="inlineStr">
        <is>
          <t>JB-RICE 2 SCR + oxida-DI01</t>
        </is>
      </c>
      <c r="H4752" s="12" t="inlineStr">
        <is>
          <t>RICE 2 SCR + oxidation catalyst and stack</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6</v>
      </c>
      <c r="O4752" s="12" t="n">
        <v>1</v>
      </c>
      <c r="P4752" s="12" t="n"/>
      <c r="Q4752" s="12" t="n"/>
      <c r="R4752" s="12" t="n"/>
      <c r="S4752" s="12" t="inlineStr">
        <is>
          <t>Tray / conduit</t>
        </is>
      </c>
      <c r="T4752" s="15" t="n">
        <v>92</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I-I-0150</t>
        </is>
      </c>
      <c r="B4753" s="12" t="inlineStr">
        <is>
          <t>I</t>
        </is>
      </c>
      <c r="C4753" s="12" t="inlineStr">
        <is>
          <t>Modular / portable power</t>
        </is>
      </c>
      <c r="D4753" s="12" t="inlineStr">
        <is>
          <t>Home run JB-RICE 2 SCR + oxida-DI01 to the control / marshalling room</t>
        </is>
      </c>
      <c r="E4753" s="12" t="inlineStr"/>
      <c r="F4753" s="12" t="inlineStr">
        <is>
          <t>PCM: power control module</t>
        </is>
      </c>
      <c r="G4753" s="12" t="inlineStr">
        <is>
          <t>JB-RICE 2 SCR + oxida-DI01</t>
        </is>
      </c>
      <c r="H4753" s="12" t="inlineStr">
        <is>
          <t>RICE 2 SCR + oxidation catalyst and stack</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436</v>
      </c>
      <c r="U4753" s="15" t="n">
        <v>132</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I-I-0151</t>
        </is>
      </c>
      <c r="B4754" s="12" t="inlineStr">
        <is>
          <t>I</t>
        </is>
      </c>
      <c r="C4754" s="12" t="inlineStr">
        <is>
          <t>Modular / portable power</t>
        </is>
      </c>
      <c r="D4754" s="12" t="inlineStr">
        <is>
          <t>Analog instrument to JB JB-RICE 2 radiators (-AI01: 5 x 1 pr (field cables)</t>
        </is>
      </c>
      <c r="E4754" s="12" t="inlineStr"/>
      <c r="F4754" s="12" t="inlineStr">
        <is>
          <t>RICE 2 radiators (5)</t>
        </is>
      </c>
      <c r="G4754" s="12" t="inlineStr">
        <is>
          <t>JB-RICE 2 radiators (-AI01</t>
        </is>
      </c>
      <c r="H4754" s="12" t="inlineStr">
        <is>
          <t>RICE 2 radiators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5</v>
      </c>
      <c r="O4754" s="12" t="n">
        <v>1</v>
      </c>
      <c r="P4754" s="12" t="n"/>
      <c r="Q4754" s="12" t="n"/>
      <c r="R4754" s="12" t="n"/>
      <c r="S4754" s="12" t="inlineStr">
        <is>
          <t>Tray / conduit</t>
        </is>
      </c>
      <c r="T4754" s="15" t="n">
        <v>80</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I-I-0152</t>
        </is>
      </c>
      <c r="B4755" s="12" t="inlineStr">
        <is>
          <t>I</t>
        </is>
      </c>
      <c r="C4755" s="12" t="inlineStr">
        <is>
          <t>Modular / portable power</t>
        </is>
      </c>
      <c r="D4755" s="12" t="inlineStr">
        <is>
          <t>Home run JB-RICE 2 radiators (-AI01 to the control / marshalling room</t>
        </is>
      </c>
      <c r="E4755" s="12" t="inlineStr"/>
      <c r="F4755" s="12" t="inlineStr">
        <is>
          <t>PCM: power control module</t>
        </is>
      </c>
      <c r="G4755" s="12" t="inlineStr">
        <is>
          <t>JB-RICE 2 radiators (-AI01</t>
        </is>
      </c>
      <c r="H4755" s="12" t="inlineStr">
        <is>
          <t>RICE 2 radiators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516</v>
      </c>
      <c r="U4755" s="15" t="n">
        <v>192</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I-I-0153</t>
        </is>
      </c>
      <c r="B4756" s="12" t="inlineStr">
        <is>
          <t>I</t>
        </is>
      </c>
      <c r="C4756" s="12" t="inlineStr">
        <is>
          <t>Modular / portable power</t>
        </is>
      </c>
      <c r="D4756" s="12" t="inlineStr">
        <is>
          <t>Discrete device to JB JB-RICE 2 radiators (-DI01: 10 x 1 pr (field cables)</t>
        </is>
      </c>
      <c r="E4756" s="12" t="inlineStr"/>
      <c r="F4756" s="12" t="inlineStr">
        <is>
          <t>RICE 2 radiators (5)</t>
        </is>
      </c>
      <c r="G4756" s="12" t="inlineStr">
        <is>
          <t>JB-RICE 2 radiators (-DI01</t>
        </is>
      </c>
      <c r="H4756" s="12" t="inlineStr">
        <is>
          <t>RICE 2 radiators (5)</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10</v>
      </c>
      <c r="O4756" s="12" t="n">
        <v>1</v>
      </c>
      <c r="P4756" s="12" t="n"/>
      <c r="Q4756" s="12" t="n"/>
      <c r="R4756" s="12" t="n"/>
      <c r="S4756" s="12" t="inlineStr">
        <is>
          <t>Tray / conduit</t>
        </is>
      </c>
      <c r="T4756" s="15" t="n">
        <v>80</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I-I-0154</t>
        </is>
      </c>
      <c r="B4757" s="12" t="inlineStr">
        <is>
          <t>I</t>
        </is>
      </c>
      <c r="C4757" s="12" t="inlineStr">
        <is>
          <t>Modular / portable power</t>
        </is>
      </c>
      <c r="D4757" s="12" t="inlineStr">
        <is>
          <t>Home run JB-RICE 2 radiators (-DI01 to the control / marshalling room</t>
        </is>
      </c>
      <c r="E4757" s="12" t="inlineStr"/>
      <c r="F4757" s="12" t="inlineStr">
        <is>
          <t>PCM: power control module</t>
        </is>
      </c>
      <c r="G4757" s="12" t="inlineStr">
        <is>
          <t>JB-RICE 2 radiators (-DI01</t>
        </is>
      </c>
      <c r="H4757" s="12" t="inlineStr">
        <is>
          <t>RICE 2 radiators (5)</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516</v>
      </c>
      <c r="U4757" s="15" t="n">
        <v>192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I-I-0155</t>
        </is>
      </c>
      <c r="B4758" s="12" t="inlineStr">
        <is>
          <t>I</t>
        </is>
      </c>
      <c r="C4758" s="12" t="inlineStr">
        <is>
          <t>Modular / portable power</t>
        </is>
      </c>
      <c r="D4758" s="12" t="inlineStr">
        <is>
          <t>Analog instrument to JB JB-RICE 3 SCR + oxida-AI01: 10 x 1 pr (field cables)</t>
        </is>
      </c>
      <c r="E4758" s="12" t="inlineStr"/>
      <c r="F4758" s="12" t="inlineStr">
        <is>
          <t>RICE 3 SCR + oxidation catalyst and stack</t>
        </is>
      </c>
      <c r="G4758" s="12" t="inlineStr">
        <is>
          <t>JB-RICE 3 SCR + oxida-AI01</t>
        </is>
      </c>
      <c r="H4758" s="12" t="inlineStr">
        <is>
          <t>RICE 3 SCR + oxidation catalyst and stack</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10</v>
      </c>
      <c r="O4758" s="12" t="n">
        <v>1</v>
      </c>
      <c r="P4758" s="12" t="n"/>
      <c r="Q4758" s="12" t="n"/>
      <c r="R4758" s="12" t="n"/>
      <c r="S4758" s="12" t="inlineStr">
        <is>
          <t>Tray / conduit</t>
        </is>
      </c>
      <c r="T4758" s="15" t="n">
        <v>92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I-I-0156</t>
        </is>
      </c>
      <c r="B4759" s="12" t="inlineStr">
        <is>
          <t>I</t>
        </is>
      </c>
      <c r="C4759" s="12" t="inlineStr">
        <is>
          <t>Modular / portable power</t>
        </is>
      </c>
      <c r="D4759" s="12" t="inlineStr">
        <is>
          <t>Home run JB-RICE 3 SCR + oxida-AI01 to the control / marshalling room</t>
        </is>
      </c>
      <c r="E4759" s="12" t="inlineStr"/>
      <c r="F4759" s="12" t="inlineStr">
        <is>
          <t>PCM: power control module</t>
        </is>
      </c>
      <c r="G4759" s="12" t="inlineStr">
        <is>
          <t>JB-RICE 3 SCR + oxida-AI01</t>
        </is>
      </c>
      <c r="H4759" s="12" t="inlineStr">
        <is>
          <t>RICE 3 SCR + oxidation catalyst and stack</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436</v>
      </c>
      <c r="U4759" s="15" t="n">
        <v>104</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I-I-0157</t>
        </is>
      </c>
      <c r="B4760" s="12" t="inlineStr">
        <is>
          <t>I</t>
        </is>
      </c>
      <c r="C4760" s="12" t="inlineStr">
        <is>
          <t>Modular / portable power</t>
        </is>
      </c>
      <c r="D4760" s="12" t="inlineStr">
        <is>
          <t>Discrete device to JB JB-RICE 3 SCR + oxida-DI01: 6 x 1 pr (field cables)</t>
        </is>
      </c>
      <c r="E4760" s="12" t="inlineStr"/>
      <c r="F4760" s="12" t="inlineStr">
        <is>
          <t>RICE 3 SCR + oxidation catalyst and stack</t>
        </is>
      </c>
      <c r="G4760" s="12" t="inlineStr">
        <is>
          <t>JB-RICE 3 SCR + oxida-DI01</t>
        </is>
      </c>
      <c r="H4760" s="12" t="inlineStr">
        <is>
          <t>RICE 3 SCR + oxidation catalyst and stack</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6</v>
      </c>
      <c r="O4760" s="12" t="n">
        <v>1</v>
      </c>
      <c r="P4760" s="12" t="n"/>
      <c r="Q4760" s="12" t="n"/>
      <c r="R4760" s="12" t="n"/>
      <c r="S4760" s="12" t="inlineStr">
        <is>
          <t>Tray / conduit</t>
        </is>
      </c>
      <c r="T4760" s="15" t="n">
        <v>92</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I-I-0158</t>
        </is>
      </c>
      <c r="B4761" s="12" t="inlineStr">
        <is>
          <t>I</t>
        </is>
      </c>
      <c r="C4761" s="12" t="inlineStr">
        <is>
          <t>Modular / portable power</t>
        </is>
      </c>
      <c r="D4761" s="12" t="inlineStr">
        <is>
          <t>Home run JB-RICE 3 SCR + oxida-DI01 to the control / marshalling room</t>
        </is>
      </c>
      <c r="E4761" s="12" t="inlineStr"/>
      <c r="F4761" s="12" t="inlineStr">
        <is>
          <t>PCM: power control module</t>
        </is>
      </c>
      <c r="G4761" s="12" t="inlineStr">
        <is>
          <t>JB-RICE 3 SCR + oxida-DI01</t>
        </is>
      </c>
      <c r="H4761" s="12" t="inlineStr">
        <is>
          <t>RICE 3 SCR + oxidation catalyst and stack</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436</v>
      </c>
      <c r="U4761" s="15" t="n">
        <v>104</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I-I-0159</t>
        </is>
      </c>
      <c r="B4762" s="12" t="inlineStr">
        <is>
          <t>I</t>
        </is>
      </c>
      <c r="C4762" s="12" t="inlineStr">
        <is>
          <t>Modular / portable power</t>
        </is>
      </c>
      <c r="D4762" s="12" t="inlineStr">
        <is>
          <t>Analog instrument to JB JB-RICE 3 radiators (-AI01: 5 x 1 pr (field cables)</t>
        </is>
      </c>
      <c r="E4762" s="12" t="inlineStr"/>
      <c r="F4762" s="12" t="inlineStr">
        <is>
          <t>RICE 3 radiators (5)</t>
        </is>
      </c>
      <c r="G4762" s="12" t="inlineStr">
        <is>
          <t>JB-RICE 3 radiators (-AI01</t>
        </is>
      </c>
      <c r="H4762" s="12" t="inlineStr">
        <is>
          <t>RICE 3 radiators (5)</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5</v>
      </c>
      <c r="O4762" s="12" t="n">
        <v>1</v>
      </c>
      <c r="P4762" s="12" t="n"/>
      <c r="Q4762" s="12" t="n"/>
      <c r="R4762" s="12" t="n"/>
      <c r="S4762" s="12" t="inlineStr">
        <is>
          <t>Tray / conduit</t>
        </is>
      </c>
      <c r="T4762" s="15" t="n">
        <v>80</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I-I-0160</t>
        </is>
      </c>
      <c r="B4763" s="12" t="inlineStr">
        <is>
          <t>I</t>
        </is>
      </c>
      <c r="C4763" s="12" t="inlineStr">
        <is>
          <t>Modular / portable power</t>
        </is>
      </c>
      <c r="D4763" s="12" t="inlineStr">
        <is>
          <t>Home run JB-RICE 3 radiators (-AI01 to the control / marshalling room</t>
        </is>
      </c>
      <c r="E4763" s="12" t="inlineStr"/>
      <c r="F4763" s="12" t="inlineStr">
        <is>
          <t>PCM: power control module</t>
        </is>
      </c>
      <c r="G4763" s="12" t="inlineStr">
        <is>
          <t>JB-RICE 3 radiators (-AI01</t>
        </is>
      </c>
      <c r="H4763" s="12" t="inlineStr">
        <is>
          <t>RICE 3 radiators (5)</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344</v>
      </c>
      <c r="U4763" s="15" t="n">
        <v>240</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I-I-0161</t>
        </is>
      </c>
      <c r="B4764" s="12" t="inlineStr">
        <is>
          <t>I</t>
        </is>
      </c>
      <c r="C4764" s="12" t="inlineStr">
        <is>
          <t>Modular / portable power</t>
        </is>
      </c>
      <c r="D4764" s="12" t="inlineStr">
        <is>
          <t>Discrete device to JB JB-RICE 3 radiators (-DI01: 10 x 1 pr (field cables)</t>
        </is>
      </c>
      <c r="E4764" s="12" t="inlineStr"/>
      <c r="F4764" s="12" t="inlineStr">
        <is>
          <t>RICE 3 radiators (5)</t>
        </is>
      </c>
      <c r="G4764" s="12" t="inlineStr">
        <is>
          <t>JB-RICE 3 radiators (-DI01</t>
        </is>
      </c>
      <c r="H4764" s="12" t="inlineStr">
        <is>
          <t>RICE 3 radiators (5)</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10</v>
      </c>
      <c r="O4764" s="12" t="n">
        <v>1</v>
      </c>
      <c r="P4764" s="12" t="n"/>
      <c r="Q4764" s="12" t="n"/>
      <c r="R4764" s="12" t="n"/>
      <c r="S4764" s="12" t="inlineStr">
        <is>
          <t>Tray / conduit</t>
        </is>
      </c>
      <c r="T4764" s="15" t="n">
        <v>80</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I-I-0162</t>
        </is>
      </c>
      <c r="B4765" s="12" t="inlineStr">
        <is>
          <t>I</t>
        </is>
      </c>
      <c r="C4765" s="12" t="inlineStr">
        <is>
          <t>Modular / portable power</t>
        </is>
      </c>
      <c r="D4765" s="12" t="inlineStr">
        <is>
          <t>Home run JB-RICE 3 radiators (-DI01 to the control / marshalling room</t>
        </is>
      </c>
      <c r="E4765" s="12" t="inlineStr"/>
      <c r="F4765" s="12" t="inlineStr">
        <is>
          <t>PCM: power control module</t>
        </is>
      </c>
      <c r="G4765" s="12" t="inlineStr">
        <is>
          <t>JB-RICE 3 radiators (-DI01</t>
        </is>
      </c>
      <c r="H4765" s="12" t="inlineStr">
        <is>
          <t>RICE 3 radiators (5)</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344</v>
      </c>
      <c r="U4765" s="15" t="n">
        <v>240</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I-I-0163</t>
        </is>
      </c>
      <c r="B4766" s="12" t="inlineStr">
        <is>
          <t>I</t>
        </is>
      </c>
      <c r="C4766" s="12" t="inlineStr">
        <is>
          <t>Modular / portable power</t>
        </is>
      </c>
      <c r="D4766" s="12" t="inlineStr">
        <is>
          <t>Analog instrument to JB JB-RICE 4 SCR + oxida-AI01: 10 x 1 pr (field cables)</t>
        </is>
      </c>
      <c r="E4766" s="12" t="inlineStr"/>
      <c r="F4766" s="12" t="inlineStr">
        <is>
          <t>RICE 4 SCR + oxidation catalyst and stack</t>
        </is>
      </c>
      <c r="G4766" s="12" t="inlineStr">
        <is>
          <t>JB-RICE 4 SCR + oxida-AI01</t>
        </is>
      </c>
      <c r="H4766" s="12" t="inlineStr">
        <is>
          <t>RICE 4 SCR + oxidation catalyst and stack</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10</v>
      </c>
      <c r="O4766" s="12" t="n">
        <v>1</v>
      </c>
      <c r="P4766" s="12" t="n"/>
      <c r="Q4766" s="12" t="n"/>
      <c r="R4766" s="12" t="n"/>
      <c r="S4766" s="12" t="inlineStr">
        <is>
          <t>Tray / conduit</t>
        </is>
      </c>
      <c r="T4766" s="15" t="n">
        <v>92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I-I-0164</t>
        </is>
      </c>
      <c r="B4767" s="12" t="inlineStr">
        <is>
          <t>I</t>
        </is>
      </c>
      <c r="C4767" s="12" t="inlineStr">
        <is>
          <t>Modular / portable power</t>
        </is>
      </c>
      <c r="D4767" s="12" t="inlineStr">
        <is>
          <t>Home run JB-RICE 4 SCR + oxida-AI01 to the control / marshalling room</t>
        </is>
      </c>
      <c r="E4767" s="12" t="inlineStr"/>
      <c r="F4767" s="12" t="inlineStr">
        <is>
          <t>PCM: power control module</t>
        </is>
      </c>
      <c r="G4767" s="12" t="inlineStr">
        <is>
          <t>JB-RICE 4 SCR + oxida-AI01</t>
        </is>
      </c>
      <c r="H4767" s="12" t="inlineStr">
        <is>
          <t>RICE 4 SCR + oxidation catalyst and stack</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436</v>
      </c>
      <c r="U4767" s="15" t="n">
        <v>76</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I-I-0165</t>
        </is>
      </c>
      <c r="B4768" s="12" t="inlineStr">
        <is>
          <t>I</t>
        </is>
      </c>
      <c r="C4768" s="12" t="inlineStr">
        <is>
          <t>Modular / portable power</t>
        </is>
      </c>
      <c r="D4768" s="12" t="inlineStr">
        <is>
          <t>Discrete device to JB JB-RICE 4 SCR + oxida-DI01: 6 x 1 pr (field cables)</t>
        </is>
      </c>
      <c r="E4768" s="12" t="inlineStr"/>
      <c r="F4768" s="12" t="inlineStr">
        <is>
          <t>RICE 4 SCR + oxidation catalyst and stack</t>
        </is>
      </c>
      <c r="G4768" s="12" t="inlineStr">
        <is>
          <t>JB-RICE 4 SCR + oxida-DI01</t>
        </is>
      </c>
      <c r="H4768" s="12" t="inlineStr">
        <is>
          <t>RICE 4 SCR + oxidation catalyst and stack</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6</v>
      </c>
      <c r="O4768" s="12" t="n">
        <v>1</v>
      </c>
      <c r="P4768" s="12" t="n"/>
      <c r="Q4768" s="12" t="n"/>
      <c r="R4768" s="12" t="n"/>
      <c r="S4768" s="12" t="inlineStr">
        <is>
          <t>Tray / conduit</t>
        </is>
      </c>
      <c r="T4768" s="15" t="n">
        <v>92</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I-I-0166</t>
        </is>
      </c>
      <c r="B4769" s="12" t="inlineStr">
        <is>
          <t>I</t>
        </is>
      </c>
      <c r="C4769" s="12" t="inlineStr">
        <is>
          <t>Modular / portable power</t>
        </is>
      </c>
      <c r="D4769" s="12" t="inlineStr">
        <is>
          <t>Home run JB-RICE 4 SCR + oxida-DI01 to the control / marshalling room</t>
        </is>
      </c>
      <c r="E4769" s="12" t="inlineStr"/>
      <c r="F4769" s="12" t="inlineStr">
        <is>
          <t>PCM: power control module</t>
        </is>
      </c>
      <c r="G4769" s="12" t="inlineStr">
        <is>
          <t>JB-RICE 4 SCR + oxida-DI01</t>
        </is>
      </c>
      <c r="H4769" s="12" t="inlineStr">
        <is>
          <t>RICE 4 SCR + oxidation catalyst and stack</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436</v>
      </c>
      <c r="U4769" s="15" t="n">
        <v>76</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I-I-0167</t>
        </is>
      </c>
      <c r="B4770" s="12" t="inlineStr">
        <is>
          <t>I</t>
        </is>
      </c>
      <c r="C4770" s="12" t="inlineStr">
        <is>
          <t>Modular / portable power</t>
        </is>
      </c>
      <c r="D4770" s="12" t="inlineStr">
        <is>
          <t>Analog instrument to JB JB-RICE 4 radiators (-AI01: 5 x 1 pr (field cables)</t>
        </is>
      </c>
      <c r="E4770" s="12" t="inlineStr"/>
      <c r="F4770" s="12" t="inlineStr">
        <is>
          <t>RICE 4 radiators (5)</t>
        </is>
      </c>
      <c r="G4770" s="12" t="inlineStr">
        <is>
          <t>JB-RICE 4 radiators (-AI01</t>
        </is>
      </c>
      <c r="H4770" s="12" t="inlineStr">
        <is>
          <t>RICE 4 radiators (5)</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5</v>
      </c>
      <c r="O4770" s="12" t="n">
        <v>1</v>
      </c>
      <c r="P4770" s="12" t="n"/>
      <c r="Q4770" s="12" t="n"/>
      <c r="R4770" s="12" t="n"/>
      <c r="S4770" s="12" t="inlineStr">
        <is>
          <t>Tray / conduit</t>
        </is>
      </c>
      <c r="T4770" s="15" t="n">
        <v>80</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I-I-0168</t>
        </is>
      </c>
      <c r="B4771" s="12" t="inlineStr">
        <is>
          <t>I</t>
        </is>
      </c>
      <c r="C4771" s="12" t="inlineStr">
        <is>
          <t>Modular / portable power</t>
        </is>
      </c>
      <c r="D4771" s="12" t="inlineStr">
        <is>
          <t>Home run JB-RICE 4 radiators (-AI01 to the control / marshalling room</t>
        </is>
      </c>
      <c r="E4771" s="12" t="inlineStr"/>
      <c r="F4771" s="12" t="inlineStr">
        <is>
          <t>PCM: power control module</t>
        </is>
      </c>
      <c r="G4771" s="12" t="inlineStr">
        <is>
          <t>JB-RICE 4 radiators (-AI01</t>
        </is>
      </c>
      <c r="H4771" s="12" t="inlineStr">
        <is>
          <t>RICE 4 radiators (5)</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5" t="n">
        <v>0</v>
      </c>
      <c r="U4771" s="15" t="n">
        <v>206</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I-I-0169</t>
        </is>
      </c>
      <c r="B4772" s="12" t="inlineStr">
        <is>
          <t>I</t>
        </is>
      </c>
      <c r="C4772" s="12" t="inlineStr">
        <is>
          <t>Modular / portable power</t>
        </is>
      </c>
      <c r="D4772" s="12" t="inlineStr">
        <is>
          <t>Discrete device to JB JB-RICE 4 radiators (-DI01: 10 x 1 pr (field cables)</t>
        </is>
      </c>
      <c r="E4772" s="12" t="inlineStr"/>
      <c r="F4772" s="12" t="inlineStr">
        <is>
          <t>RICE 4 radiators (5)</t>
        </is>
      </c>
      <c r="G4772" s="12" t="inlineStr">
        <is>
          <t>JB-RICE 4 radiators (-DI01</t>
        </is>
      </c>
      <c r="H4772" s="12" t="inlineStr">
        <is>
          <t>RICE 4 radiators (5)</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10</v>
      </c>
      <c r="O4772" s="12" t="n">
        <v>1</v>
      </c>
      <c r="P4772" s="12" t="n"/>
      <c r="Q4772" s="12" t="n"/>
      <c r="R4772" s="12" t="n"/>
      <c r="S4772" s="12" t="inlineStr">
        <is>
          <t>Tray / conduit</t>
        </is>
      </c>
      <c r="T4772" s="15" t="n">
        <v>80</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I-I-0170</t>
        </is>
      </c>
      <c r="B4773" s="12" t="inlineStr">
        <is>
          <t>I</t>
        </is>
      </c>
      <c r="C4773" s="12" t="inlineStr">
        <is>
          <t>Modular / portable power</t>
        </is>
      </c>
      <c r="D4773" s="12" t="inlineStr">
        <is>
          <t>Home run JB-RICE 4 radiators (-DI01 to the control / marshalling room</t>
        </is>
      </c>
      <c r="E4773" s="12" t="inlineStr"/>
      <c r="F4773" s="12" t="inlineStr">
        <is>
          <t>PCM: power control module</t>
        </is>
      </c>
      <c r="G4773" s="12" t="inlineStr">
        <is>
          <t>JB-RICE 4 radiators (-DI01</t>
        </is>
      </c>
      <c r="H4773" s="12" t="inlineStr">
        <is>
          <t>RICE 4 radiators (5)</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5" t="n">
        <v>0</v>
      </c>
      <c r="U4773" s="15" t="n">
        <v>206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I-I-0171</t>
        </is>
      </c>
      <c r="B4774" s="12" t="inlineStr">
        <is>
          <t>I</t>
        </is>
      </c>
      <c r="C4774" s="12" t="inlineStr">
        <is>
          <t>Modular / portable power</t>
        </is>
      </c>
      <c r="D4774" s="12" t="inlineStr">
        <is>
          <t>Analog instrument to JB JB-RICE 5 SCR + oxida-AI01: 10 x 1 pr (field cables)</t>
        </is>
      </c>
      <c r="E4774" s="12" t="inlineStr"/>
      <c r="F4774" s="12" t="inlineStr">
        <is>
          <t>RICE 5 SCR + oxidation catalyst and stack</t>
        </is>
      </c>
      <c r="G4774" s="12" t="inlineStr">
        <is>
          <t>JB-RICE 5 SCR + oxida-AI01</t>
        </is>
      </c>
      <c r="H4774" s="12" t="inlineStr">
        <is>
          <t>RICE 5 SCR + oxidation catalyst and stack</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10</v>
      </c>
      <c r="O4774" s="12" t="n">
        <v>1</v>
      </c>
      <c r="P4774" s="12" t="n"/>
      <c r="Q4774" s="12" t="n"/>
      <c r="R4774" s="12" t="n"/>
      <c r="S4774" s="12" t="inlineStr">
        <is>
          <t>Tray / conduit</t>
        </is>
      </c>
      <c r="T4774" s="15" t="n">
        <v>92</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I-I-0172</t>
        </is>
      </c>
      <c r="B4775" s="12" t="inlineStr">
        <is>
          <t>I</t>
        </is>
      </c>
      <c r="C4775" s="12" t="inlineStr">
        <is>
          <t>Modular / portable power</t>
        </is>
      </c>
      <c r="D4775" s="12" t="inlineStr">
        <is>
          <t>Home run JB-RICE 5 SCR + oxida-AI01 to the control / marshalling room</t>
        </is>
      </c>
      <c r="E4775" s="12" t="inlineStr"/>
      <c r="F4775" s="12" t="inlineStr">
        <is>
          <t>PCM: power control module</t>
        </is>
      </c>
      <c r="G4775" s="12" t="inlineStr">
        <is>
          <t>JB-RICE 5 SCR + oxida-AI01</t>
        </is>
      </c>
      <c r="H4775" s="12" t="inlineStr">
        <is>
          <t>RICE 5 SCR + oxidation catalyst and stack</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5" t="n">
        <v>158</v>
      </c>
      <c r="U4775" s="15" t="n">
        <v>164</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I-I-0173</t>
        </is>
      </c>
      <c r="B4776" s="12" t="inlineStr">
        <is>
          <t>I</t>
        </is>
      </c>
      <c r="C4776" s="12" t="inlineStr">
        <is>
          <t>Modular / portable power</t>
        </is>
      </c>
      <c r="D4776" s="12" t="inlineStr">
        <is>
          <t>Discrete device to JB JB-RICE 5 SCR + oxida-DI01: 6 x 1 pr (field cables)</t>
        </is>
      </c>
      <c r="E4776" s="12" t="inlineStr"/>
      <c r="F4776" s="12" t="inlineStr">
        <is>
          <t>RICE 5 SCR + oxidation catalyst and stack</t>
        </is>
      </c>
      <c r="G4776" s="12" t="inlineStr">
        <is>
          <t>JB-RICE 5 SCR + oxida-DI01</t>
        </is>
      </c>
      <c r="H4776" s="12" t="inlineStr">
        <is>
          <t>RICE 5 SCR + oxidation catalyst and stack</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6</v>
      </c>
      <c r="O4776" s="12" t="n">
        <v>1</v>
      </c>
      <c r="P4776" s="12" t="n"/>
      <c r="Q4776" s="12" t="n"/>
      <c r="R4776" s="12" t="n"/>
      <c r="S4776" s="12" t="inlineStr">
        <is>
          <t>Tray / conduit</t>
        </is>
      </c>
      <c r="T4776" s="15" t="n">
        <v>92</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I-I-0174</t>
        </is>
      </c>
      <c r="B4777" s="12" t="inlineStr">
        <is>
          <t>I</t>
        </is>
      </c>
      <c r="C4777" s="12" t="inlineStr">
        <is>
          <t>Modular / portable power</t>
        </is>
      </c>
      <c r="D4777" s="12" t="inlineStr">
        <is>
          <t>Home run JB-RICE 5 SCR + oxida-DI01 to the control / marshalling room</t>
        </is>
      </c>
      <c r="E4777" s="12" t="inlineStr"/>
      <c r="F4777" s="12" t="inlineStr">
        <is>
          <t>PCM: power control module</t>
        </is>
      </c>
      <c r="G4777" s="12" t="inlineStr">
        <is>
          <t>JB-RICE 5 SCR + oxida-DI01</t>
        </is>
      </c>
      <c r="H4777" s="12" t="inlineStr">
        <is>
          <t>RICE 5 SCR + oxidation catalyst and stack</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5" t="n">
        <v>158</v>
      </c>
      <c r="U4777" s="15" t="n">
        <v>164</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I-I-0175</t>
        </is>
      </c>
      <c r="B4778" s="12" t="inlineStr">
        <is>
          <t>I</t>
        </is>
      </c>
      <c r="C4778" s="12" t="inlineStr">
        <is>
          <t>Modular / portable power</t>
        </is>
      </c>
      <c r="D4778" s="12" t="inlineStr">
        <is>
          <t>Analog instrument to JB JB-RICE 5 radiators (-AI01: 5 x 1 pr (field cables)</t>
        </is>
      </c>
      <c r="E4778" s="12" t="inlineStr"/>
      <c r="F4778" s="12" t="inlineStr">
        <is>
          <t>RICE 5 radiators (5)</t>
        </is>
      </c>
      <c r="G4778" s="12" t="inlineStr">
        <is>
          <t>JB-RICE 5 radiators (-AI01</t>
        </is>
      </c>
      <c r="H4778" s="12" t="inlineStr">
        <is>
          <t>RICE 5 radiators (5)</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5</v>
      </c>
      <c r="O4778" s="12" t="n">
        <v>1</v>
      </c>
      <c r="P4778" s="12" t="n"/>
      <c r="Q4778" s="12" t="n"/>
      <c r="R4778" s="12" t="n"/>
      <c r="S4778" s="12" t="inlineStr">
        <is>
          <t>Tray / conduit</t>
        </is>
      </c>
      <c r="T4778" s="15" t="n">
        <v>80</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I-I-0176</t>
        </is>
      </c>
      <c r="B4779" s="12" t="inlineStr">
        <is>
          <t>I</t>
        </is>
      </c>
      <c r="C4779" s="12" t="inlineStr">
        <is>
          <t>Modular / portable power</t>
        </is>
      </c>
      <c r="D4779" s="12" t="inlineStr">
        <is>
          <t>Home run JB-RICE 5 radiators (-AI01 to the control / marshalling room</t>
        </is>
      </c>
      <c r="E4779" s="12" t="inlineStr"/>
      <c r="F4779" s="12" t="inlineStr">
        <is>
          <t>PCM: power control module</t>
        </is>
      </c>
      <c r="G4779" s="12" t="inlineStr">
        <is>
          <t>JB-RICE 5 radiators (-AI01</t>
        </is>
      </c>
      <c r="H4779" s="12" t="inlineStr">
        <is>
          <t>RICE 5 radiators (5)</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Tray</t>
        </is>
      </c>
      <c r="T4779" s="15" t="n">
        <v>0</v>
      </c>
      <c r="U4779" s="15" t="n">
        <v>178</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I-I-0177</t>
        </is>
      </c>
      <c r="B4780" s="12" t="inlineStr">
        <is>
          <t>I</t>
        </is>
      </c>
      <c r="C4780" s="12" t="inlineStr">
        <is>
          <t>Modular / portable power</t>
        </is>
      </c>
      <c r="D4780" s="12" t="inlineStr">
        <is>
          <t>Discrete device to JB JB-RICE 5 radiators (-DI01: 10 x 1 pr (field cables)</t>
        </is>
      </c>
      <c r="E4780" s="12" t="inlineStr"/>
      <c r="F4780" s="12" t="inlineStr">
        <is>
          <t>RICE 5 radiators (5)</t>
        </is>
      </c>
      <c r="G4780" s="12" t="inlineStr">
        <is>
          <t>JB-RICE 5 radiators (-DI01</t>
        </is>
      </c>
      <c r="H4780" s="12" t="inlineStr">
        <is>
          <t>RICE 5 radiators (5)</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10</v>
      </c>
      <c r="O4780" s="12" t="n">
        <v>1</v>
      </c>
      <c r="P4780" s="12" t="n"/>
      <c r="Q4780" s="12" t="n"/>
      <c r="R4780" s="12" t="n"/>
      <c r="S4780" s="12" t="inlineStr">
        <is>
          <t>Tray / conduit</t>
        </is>
      </c>
      <c r="T4780" s="15" t="n">
        <v>80</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I-I-0178</t>
        </is>
      </c>
      <c r="B4781" s="12" t="inlineStr">
        <is>
          <t>I</t>
        </is>
      </c>
      <c r="C4781" s="12" t="inlineStr">
        <is>
          <t>Modular / portable power</t>
        </is>
      </c>
      <c r="D4781" s="12" t="inlineStr">
        <is>
          <t>Home run JB-RICE 5 radiators (-DI01 to the control / marshalling room</t>
        </is>
      </c>
      <c r="E4781" s="12" t="inlineStr"/>
      <c r="F4781" s="12" t="inlineStr">
        <is>
          <t>PCM: power control module</t>
        </is>
      </c>
      <c r="G4781" s="12" t="inlineStr">
        <is>
          <t>JB-RICE 5 radiators (-DI01</t>
        </is>
      </c>
      <c r="H4781" s="12" t="inlineStr">
        <is>
          <t>RICE 5 radiators (5)</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Tray</t>
        </is>
      </c>
      <c r="T4781" s="15" t="n">
        <v>0</v>
      </c>
      <c r="U4781" s="15" t="n">
        <v>178</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I-I-0179</t>
        </is>
      </c>
      <c r="B4782" s="12" t="inlineStr">
        <is>
          <t>I</t>
        </is>
      </c>
      <c r="C4782" s="12" t="inlineStr">
        <is>
          <t>Modular / portable power</t>
        </is>
      </c>
      <c r="D4782" s="12" t="inlineStr">
        <is>
          <t>Analog instrument to JB JB-RICE 6 SCR + oxida-AI01: 10 x 1 pr (field cables)</t>
        </is>
      </c>
      <c r="E4782" s="12" t="inlineStr"/>
      <c r="F4782" s="12" t="inlineStr">
        <is>
          <t>RICE 6 SCR + oxidation catalyst and stack</t>
        </is>
      </c>
      <c r="G4782" s="12" t="inlineStr">
        <is>
          <t>JB-RICE 6 SCR + oxida-AI01</t>
        </is>
      </c>
      <c r="H4782" s="12" t="inlineStr">
        <is>
          <t>RICE 6 SCR + oxidation catalyst and stack</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10</v>
      </c>
      <c r="O4782" s="12" t="n">
        <v>1</v>
      </c>
      <c r="P4782" s="12" t="n"/>
      <c r="Q4782" s="12" t="n"/>
      <c r="R4782" s="12" t="n"/>
      <c r="S4782" s="12" t="inlineStr">
        <is>
          <t>Tray / conduit</t>
        </is>
      </c>
      <c r="T4782" s="15" t="n">
        <v>92</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I-I-0180</t>
        </is>
      </c>
      <c r="B4783" s="12" t="inlineStr">
        <is>
          <t>I</t>
        </is>
      </c>
      <c r="C4783" s="12" t="inlineStr">
        <is>
          <t>Modular / portable power</t>
        </is>
      </c>
      <c r="D4783" s="12" t="inlineStr">
        <is>
          <t>Home run JB-RICE 6 SCR + oxida-AI01 to the control / marshalling room</t>
        </is>
      </c>
      <c r="E4783" s="12" t="inlineStr"/>
      <c r="F4783" s="12" t="inlineStr">
        <is>
          <t>PCM: power control module</t>
        </is>
      </c>
      <c r="G4783" s="12" t="inlineStr">
        <is>
          <t>JB-RICE 6 SCR + oxida-AI01</t>
        </is>
      </c>
      <c r="H4783" s="12" t="inlineStr">
        <is>
          <t>RICE 6 SCR + oxidation catalyst and stack</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5" t="n">
        <v>113</v>
      </c>
      <c r="U4783" s="15" t="n">
        <v>153</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I-I-0181</t>
        </is>
      </c>
      <c r="B4784" s="12" t="inlineStr">
        <is>
          <t>I</t>
        </is>
      </c>
      <c r="C4784" s="12" t="inlineStr">
        <is>
          <t>Modular / portable power</t>
        </is>
      </c>
      <c r="D4784" s="12" t="inlineStr">
        <is>
          <t>Discrete device to JB JB-RICE 6 SCR + oxida-DI01: 6 x 1 pr (field cables)</t>
        </is>
      </c>
      <c r="E4784" s="12" t="inlineStr"/>
      <c r="F4784" s="12" t="inlineStr">
        <is>
          <t>RICE 6 SCR + oxidation catalyst and stack</t>
        </is>
      </c>
      <c r="G4784" s="12" t="inlineStr">
        <is>
          <t>JB-RICE 6 SCR + oxida-DI01</t>
        </is>
      </c>
      <c r="H4784" s="12" t="inlineStr">
        <is>
          <t>RICE 6 SCR + oxidation catalyst and stack</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6</v>
      </c>
      <c r="O4784" s="12" t="n">
        <v>1</v>
      </c>
      <c r="P4784" s="12" t="n"/>
      <c r="Q4784" s="12" t="n"/>
      <c r="R4784" s="12" t="n"/>
      <c r="S4784" s="12" t="inlineStr">
        <is>
          <t>Tray / conduit</t>
        </is>
      </c>
      <c r="T4784" s="15" t="n">
        <v>92</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I-I-0182</t>
        </is>
      </c>
      <c r="B4785" s="12" t="inlineStr">
        <is>
          <t>I</t>
        </is>
      </c>
      <c r="C4785" s="12" t="inlineStr">
        <is>
          <t>Modular / portable power</t>
        </is>
      </c>
      <c r="D4785" s="12" t="inlineStr">
        <is>
          <t>Home run JB-RICE 6 SCR + oxida-DI01 to the control / marshalling room</t>
        </is>
      </c>
      <c r="E4785" s="12" t="inlineStr"/>
      <c r="F4785" s="12" t="inlineStr">
        <is>
          <t>PCM: power control module</t>
        </is>
      </c>
      <c r="G4785" s="12" t="inlineStr">
        <is>
          <t>JB-RICE 6 SCR + oxida-DI01</t>
        </is>
      </c>
      <c r="H4785" s="12" t="inlineStr">
        <is>
          <t>RICE 6 SCR + oxidation catalyst and stack</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5" t="n">
        <v>113</v>
      </c>
      <c r="U4785" s="15" t="n">
        <v>153</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I-I-0183</t>
        </is>
      </c>
      <c r="B4786" s="12" t="inlineStr">
        <is>
          <t>I</t>
        </is>
      </c>
      <c r="C4786" s="12" t="inlineStr">
        <is>
          <t>Modular / portable power</t>
        </is>
      </c>
      <c r="D4786" s="12" t="inlineStr">
        <is>
          <t>Analog instrument to JB JB-RICE 6 radiators (-AI01: 5 x 1 pr (field cables)</t>
        </is>
      </c>
      <c r="E4786" s="12" t="inlineStr"/>
      <c r="F4786" s="12" t="inlineStr">
        <is>
          <t>RICE 6 radiators (5)</t>
        </is>
      </c>
      <c r="G4786" s="12" t="inlineStr">
        <is>
          <t>JB-RICE 6 radiators (-AI01</t>
        </is>
      </c>
      <c r="H4786" s="12" t="inlineStr">
        <is>
          <t>RICE 6 radiators (5)</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5</v>
      </c>
      <c r="O4786" s="12" t="n">
        <v>1</v>
      </c>
      <c r="P4786" s="12" t="n"/>
      <c r="Q4786" s="12" t="n"/>
      <c r="R4786" s="12" t="n"/>
      <c r="S4786" s="12" t="inlineStr">
        <is>
          <t>Tray / conduit</t>
        </is>
      </c>
      <c r="T4786" s="15" t="n">
        <v>80</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I-I-0184</t>
        </is>
      </c>
      <c r="B4787" s="12" t="inlineStr">
        <is>
          <t>I</t>
        </is>
      </c>
      <c r="C4787" s="12" t="inlineStr">
        <is>
          <t>Modular / portable power</t>
        </is>
      </c>
      <c r="D4787" s="12" t="inlineStr">
        <is>
          <t>Home run JB-RICE 6 radiators (-AI01 to the control / marshalling room</t>
        </is>
      </c>
      <c r="E4787" s="12" t="inlineStr"/>
      <c r="F4787" s="12" t="inlineStr">
        <is>
          <t>PCM: power control module</t>
        </is>
      </c>
      <c r="G4787" s="12" t="inlineStr">
        <is>
          <t>JB-RICE 6 radiators (-AI01</t>
        </is>
      </c>
      <c r="H4787" s="12" t="inlineStr">
        <is>
          <t>RICE 6 radiators (5)</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Tray</t>
        </is>
      </c>
      <c r="T4787" s="15" t="n">
        <v>0</v>
      </c>
      <c r="U4787" s="15" t="n">
        <v>150</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I-I-0185</t>
        </is>
      </c>
      <c r="B4788" s="12" t="inlineStr">
        <is>
          <t>I</t>
        </is>
      </c>
      <c r="C4788" s="12" t="inlineStr">
        <is>
          <t>Modular / portable power</t>
        </is>
      </c>
      <c r="D4788" s="12" t="inlineStr">
        <is>
          <t>Discrete device to JB JB-RICE 6 radiators (-DI01: 10 x 1 pr (field cables)</t>
        </is>
      </c>
      <c r="E4788" s="12" t="inlineStr"/>
      <c r="F4788" s="12" t="inlineStr">
        <is>
          <t>RICE 6 radiators (5)</t>
        </is>
      </c>
      <c r="G4788" s="12" t="inlineStr">
        <is>
          <t>JB-RICE 6 radiators (-DI01</t>
        </is>
      </c>
      <c r="H4788" s="12" t="inlineStr">
        <is>
          <t>RICE 6 radiators (5)</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10</v>
      </c>
      <c r="O4788" s="12" t="n">
        <v>1</v>
      </c>
      <c r="P4788" s="12" t="n"/>
      <c r="Q4788" s="12" t="n"/>
      <c r="R4788" s="12" t="n"/>
      <c r="S4788" s="12" t="inlineStr">
        <is>
          <t>Tray / conduit</t>
        </is>
      </c>
      <c r="T4788" s="15" t="n">
        <v>80</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I-I-0186</t>
        </is>
      </c>
      <c r="B4789" s="12" t="inlineStr">
        <is>
          <t>I</t>
        </is>
      </c>
      <c r="C4789" s="12" t="inlineStr">
        <is>
          <t>Modular / portable power</t>
        </is>
      </c>
      <c r="D4789" s="12" t="inlineStr">
        <is>
          <t>Home run JB-RICE 6 radiators (-DI01 to the control / marshalling room</t>
        </is>
      </c>
      <c r="E4789" s="12" t="inlineStr"/>
      <c r="F4789" s="12" t="inlineStr">
        <is>
          <t>PCM: power control module</t>
        </is>
      </c>
      <c r="G4789" s="12" t="inlineStr">
        <is>
          <t>JB-RICE 6 radiators (-DI01</t>
        </is>
      </c>
      <c r="H4789" s="12" t="inlineStr">
        <is>
          <t>RICE 6 radiators (5)</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Tray</t>
        </is>
      </c>
      <c r="T4789" s="15" t="n">
        <v>0</v>
      </c>
      <c r="U4789" s="15" t="n">
        <v>150</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I-I-0187</t>
        </is>
      </c>
      <c r="B4790" s="12" t="inlineStr">
        <is>
          <t>I</t>
        </is>
      </c>
      <c r="C4790" s="12" t="inlineStr">
        <is>
          <t>Modular / portable power</t>
        </is>
      </c>
      <c r="D4790" s="12" t="inlineStr">
        <is>
          <t>Analog instrument to JB JB-RICE 7 SCR + oxida-AI01: 10 x 1 pr (field cables)</t>
        </is>
      </c>
      <c r="E4790" s="12" t="inlineStr"/>
      <c r="F4790" s="12" t="inlineStr">
        <is>
          <t>RICE 7 SCR + oxidation catalyst and stack</t>
        </is>
      </c>
      <c r="G4790" s="12" t="inlineStr">
        <is>
          <t>JB-RICE 7 SCR + oxida-AI01</t>
        </is>
      </c>
      <c r="H4790" s="12" t="inlineStr">
        <is>
          <t>RICE 7 SCR + oxidation catalyst and stack</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10</v>
      </c>
      <c r="O4790" s="12" t="n">
        <v>1</v>
      </c>
      <c r="P4790" s="12" t="n"/>
      <c r="Q4790" s="12" t="n"/>
      <c r="R4790" s="12" t="n"/>
      <c r="S4790" s="12" t="inlineStr">
        <is>
          <t>Tray / conduit</t>
        </is>
      </c>
      <c r="T4790" s="15" t="n">
        <v>92</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I-I-0188</t>
        </is>
      </c>
      <c r="B4791" s="12" t="inlineStr">
        <is>
          <t>I</t>
        </is>
      </c>
      <c r="C4791" s="12" t="inlineStr">
        <is>
          <t>Modular / portable power</t>
        </is>
      </c>
      <c r="D4791" s="12" t="inlineStr">
        <is>
          <t>Home run JB-RICE 7 SCR + oxida-AI01 to the control / marshalling room</t>
        </is>
      </c>
      <c r="E4791" s="12" t="inlineStr"/>
      <c r="F4791" s="12" t="inlineStr">
        <is>
          <t>PCM: power control module</t>
        </is>
      </c>
      <c r="G4791" s="12" t="inlineStr">
        <is>
          <t>JB-RICE 7 SCR + oxida-AI01</t>
        </is>
      </c>
      <c r="H4791" s="12" t="inlineStr">
        <is>
          <t>RICE 7 SCR + oxidation catalyst and stack</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5" t="n">
        <v>113</v>
      </c>
      <c r="U4791" s="15" t="n">
        <v>125</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I-I-0189</t>
        </is>
      </c>
      <c r="B4792" s="12" t="inlineStr">
        <is>
          <t>I</t>
        </is>
      </c>
      <c r="C4792" s="12" t="inlineStr">
        <is>
          <t>Modular / portable power</t>
        </is>
      </c>
      <c r="D4792" s="12" t="inlineStr">
        <is>
          <t>Discrete device to JB JB-RICE 7 SCR + oxida-DI01: 6 x 1 pr (field cables)</t>
        </is>
      </c>
      <c r="E4792" s="12" t="inlineStr"/>
      <c r="F4792" s="12" t="inlineStr">
        <is>
          <t>RICE 7 SCR + oxidation catalyst and stack</t>
        </is>
      </c>
      <c r="G4792" s="12" t="inlineStr">
        <is>
          <t>JB-RICE 7 SCR + oxida-DI01</t>
        </is>
      </c>
      <c r="H4792" s="12" t="inlineStr">
        <is>
          <t>RICE 7 SCR + oxidation catalyst and stack</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6</v>
      </c>
      <c r="O4792" s="12" t="n">
        <v>1</v>
      </c>
      <c r="P4792" s="12" t="n"/>
      <c r="Q4792" s="12" t="n"/>
      <c r="R4792" s="12" t="n"/>
      <c r="S4792" s="12" t="inlineStr">
        <is>
          <t>Tray / conduit</t>
        </is>
      </c>
      <c r="T4792" s="15" t="n">
        <v>92</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I-I-0190</t>
        </is>
      </c>
      <c r="B4793" s="12" t="inlineStr">
        <is>
          <t>I</t>
        </is>
      </c>
      <c r="C4793" s="12" t="inlineStr">
        <is>
          <t>Modular / portable power</t>
        </is>
      </c>
      <c r="D4793" s="12" t="inlineStr">
        <is>
          <t>Home run JB-RICE 7 SCR + oxida-DI01 to the control / marshalling room</t>
        </is>
      </c>
      <c r="E4793" s="12" t="inlineStr"/>
      <c r="F4793" s="12" t="inlineStr">
        <is>
          <t>PCM: power control module</t>
        </is>
      </c>
      <c r="G4793" s="12" t="inlineStr">
        <is>
          <t>JB-RICE 7 SCR + oxida-DI01</t>
        </is>
      </c>
      <c r="H4793" s="12" t="inlineStr">
        <is>
          <t>RICE 7 SCR + oxidation catalyst and stack</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5" t="n">
        <v>113</v>
      </c>
      <c r="U4793" s="15" t="n">
        <v>125</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I-I-0191</t>
        </is>
      </c>
      <c r="B4794" s="12" t="inlineStr">
        <is>
          <t>I</t>
        </is>
      </c>
      <c r="C4794" s="12" t="inlineStr">
        <is>
          <t>Modular / portable power</t>
        </is>
      </c>
      <c r="D4794" s="12" t="inlineStr">
        <is>
          <t>Analog instrument to JB JB-RICE 7 radiators (-AI01: 5 x 1 pr (field cables)</t>
        </is>
      </c>
      <c r="E4794" s="12" t="inlineStr"/>
      <c r="F4794" s="12" t="inlineStr">
        <is>
          <t>RICE 7 radiators (5)</t>
        </is>
      </c>
      <c r="G4794" s="12" t="inlineStr">
        <is>
          <t>JB-RICE 7 radiators (-AI01</t>
        </is>
      </c>
      <c r="H4794" s="12" t="inlineStr">
        <is>
          <t>RICE 7 radiators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5</v>
      </c>
      <c r="O4794" s="12" t="n">
        <v>1</v>
      </c>
      <c r="P4794" s="12" t="n"/>
      <c r="Q4794" s="12" t="n"/>
      <c r="R4794" s="12" t="n"/>
      <c r="S4794" s="12" t="inlineStr">
        <is>
          <t>Tray / conduit</t>
        </is>
      </c>
      <c r="T4794" s="15" t="n">
        <v>80</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I-I-0192</t>
        </is>
      </c>
      <c r="B4795" s="12" t="inlineStr">
        <is>
          <t>I</t>
        </is>
      </c>
      <c r="C4795" s="12" t="inlineStr">
        <is>
          <t>Modular / portable power</t>
        </is>
      </c>
      <c r="D4795" s="12" t="inlineStr">
        <is>
          <t>Home run JB-RICE 7 radiators (-AI01 to the control / marshalling room</t>
        </is>
      </c>
      <c r="E4795" s="12" t="inlineStr"/>
      <c r="F4795" s="12" t="inlineStr">
        <is>
          <t>PCM: power control module</t>
        </is>
      </c>
      <c r="G4795" s="12" t="inlineStr">
        <is>
          <t>JB-RICE 7 radiators (-AI01</t>
        </is>
      </c>
      <c r="H4795" s="12" t="inlineStr">
        <is>
          <t>RICE 7 radiators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Tray</t>
        </is>
      </c>
      <c r="T4795" s="15" t="n">
        <v>0</v>
      </c>
      <c r="U4795" s="15" t="n">
        <v>122</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I-I-0193</t>
        </is>
      </c>
      <c r="B4796" s="12" t="inlineStr">
        <is>
          <t>I</t>
        </is>
      </c>
      <c r="C4796" s="12" t="inlineStr">
        <is>
          <t>Modular / portable power</t>
        </is>
      </c>
      <c r="D4796" s="12" t="inlineStr">
        <is>
          <t>Discrete device to JB JB-RICE 7 radiators (-DI01: 10 x 1 pr (field cables)</t>
        </is>
      </c>
      <c r="E4796" s="12" t="inlineStr"/>
      <c r="F4796" s="12" t="inlineStr">
        <is>
          <t>RICE 7 radiators (5)</t>
        </is>
      </c>
      <c r="G4796" s="12" t="inlineStr">
        <is>
          <t>JB-RICE 7 radiators (-DI01</t>
        </is>
      </c>
      <c r="H4796" s="12" t="inlineStr">
        <is>
          <t>RICE 7 radiators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10</v>
      </c>
      <c r="O4796" s="12" t="n">
        <v>1</v>
      </c>
      <c r="P4796" s="12" t="n"/>
      <c r="Q4796" s="12" t="n"/>
      <c r="R4796" s="12" t="n"/>
      <c r="S4796" s="12" t="inlineStr">
        <is>
          <t>Tray / conduit</t>
        </is>
      </c>
      <c r="T4796" s="15" t="n">
        <v>80</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I-I-0194</t>
        </is>
      </c>
      <c r="B4797" s="12" t="inlineStr">
        <is>
          <t>I</t>
        </is>
      </c>
      <c r="C4797" s="12" t="inlineStr">
        <is>
          <t>Modular / portable power</t>
        </is>
      </c>
      <c r="D4797" s="12" t="inlineStr">
        <is>
          <t>Home run JB-RICE 7 radiators (-DI01 to the control / marshalling room</t>
        </is>
      </c>
      <c r="E4797" s="12" t="inlineStr"/>
      <c r="F4797" s="12" t="inlineStr">
        <is>
          <t>PCM: power control module</t>
        </is>
      </c>
      <c r="G4797" s="12" t="inlineStr">
        <is>
          <t>JB-RICE 7 radiators (-DI01</t>
        </is>
      </c>
      <c r="H4797" s="12" t="inlineStr">
        <is>
          <t>RICE 7 radiators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Tray</t>
        </is>
      </c>
      <c r="T4797" s="15" t="n">
        <v>0</v>
      </c>
      <c r="U4797" s="15" t="n">
        <v>122</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I-I-0195</t>
        </is>
      </c>
      <c r="B4798" s="12" t="inlineStr">
        <is>
          <t>I</t>
        </is>
      </c>
      <c r="C4798" s="12" t="inlineStr">
        <is>
          <t>Modular / portable power</t>
        </is>
      </c>
      <c r="D4798" s="12" t="inlineStr">
        <is>
          <t>Analog instrument to JB JB-RICE 8 SCR + oxida-AI01: 10 x 1 pr (field cables)</t>
        </is>
      </c>
      <c r="E4798" s="12" t="inlineStr"/>
      <c r="F4798" s="12" t="inlineStr">
        <is>
          <t>RICE 8 SCR + oxidation catalyst and stack</t>
        </is>
      </c>
      <c r="G4798" s="12" t="inlineStr">
        <is>
          <t>JB-RICE 8 SCR + oxida-AI01</t>
        </is>
      </c>
      <c r="H4798" s="12" t="inlineStr">
        <is>
          <t>RICE 8 SCR + oxidation catalyst and stack</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10</v>
      </c>
      <c r="O4798" s="12" t="n">
        <v>1</v>
      </c>
      <c r="P4798" s="12" t="n"/>
      <c r="Q4798" s="12" t="n"/>
      <c r="R4798" s="12" t="n"/>
      <c r="S4798" s="12" t="inlineStr">
        <is>
          <t>Tray / conduit</t>
        </is>
      </c>
      <c r="T4798" s="15" t="n">
        <v>92</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I-I-0196</t>
        </is>
      </c>
      <c r="B4799" s="12" t="inlineStr">
        <is>
          <t>I</t>
        </is>
      </c>
      <c r="C4799" s="12" t="inlineStr">
        <is>
          <t>Modular / portable power</t>
        </is>
      </c>
      <c r="D4799" s="12" t="inlineStr">
        <is>
          <t>Home run JB-RICE 8 SCR + oxida-AI01 to the control / marshalling room</t>
        </is>
      </c>
      <c r="E4799" s="12" t="inlineStr"/>
      <c r="F4799" s="12" t="inlineStr">
        <is>
          <t>PCM: power control module</t>
        </is>
      </c>
      <c r="G4799" s="12" t="inlineStr">
        <is>
          <t>JB-RICE 8 SCR + oxida-AI01</t>
        </is>
      </c>
      <c r="H4799" s="12" t="inlineStr">
        <is>
          <t>RICE 8 SCR + oxidation catalyst and stack</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5" t="n">
        <v>113</v>
      </c>
      <c r="U4799" s="15" t="n">
        <v>97</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I-I-0197</t>
        </is>
      </c>
      <c r="B4800" s="12" t="inlineStr">
        <is>
          <t>I</t>
        </is>
      </c>
      <c r="C4800" s="12" t="inlineStr">
        <is>
          <t>Modular / portable power</t>
        </is>
      </c>
      <c r="D4800" s="12" t="inlineStr">
        <is>
          <t>Discrete device to JB JB-RICE 8 SCR + oxida-DI01: 6 x 1 pr (field cables)</t>
        </is>
      </c>
      <c r="E4800" s="12" t="inlineStr"/>
      <c r="F4800" s="12" t="inlineStr">
        <is>
          <t>RICE 8 SCR + oxidation catalyst and stack</t>
        </is>
      </c>
      <c r="G4800" s="12" t="inlineStr">
        <is>
          <t>JB-RICE 8 SCR + oxida-DI01</t>
        </is>
      </c>
      <c r="H4800" s="12" t="inlineStr">
        <is>
          <t>RICE 8 SCR + oxidation catalyst and stack</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6</v>
      </c>
      <c r="O4800" s="12" t="n">
        <v>1</v>
      </c>
      <c r="P4800" s="12" t="n"/>
      <c r="Q4800" s="12" t="n"/>
      <c r="R4800" s="12" t="n"/>
      <c r="S4800" s="12" t="inlineStr">
        <is>
          <t>Tray / conduit</t>
        </is>
      </c>
      <c r="T4800" s="15" t="n">
        <v>92</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I-I-0198</t>
        </is>
      </c>
      <c r="B4801" s="12" t="inlineStr">
        <is>
          <t>I</t>
        </is>
      </c>
      <c r="C4801" s="12" t="inlineStr">
        <is>
          <t>Modular / portable power</t>
        </is>
      </c>
      <c r="D4801" s="12" t="inlineStr">
        <is>
          <t>Home run JB-RICE 8 SCR + oxida-DI01 to the control / marshalling room</t>
        </is>
      </c>
      <c r="E4801" s="12" t="inlineStr"/>
      <c r="F4801" s="12" t="inlineStr">
        <is>
          <t>PCM: power control module</t>
        </is>
      </c>
      <c r="G4801" s="12" t="inlineStr">
        <is>
          <t>JB-RICE 8 SCR + oxida-DI01</t>
        </is>
      </c>
      <c r="H4801" s="12" t="inlineStr">
        <is>
          <t>RICE 8 SCR + oxidation catalyst and stack</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5" t="n">
        <v>113</v>
      </c>
      <c r="U4801" s="15" t="n">
        <v>97</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I-I-0199</t>
        </is>
      </c>
      <c r="B4802" s="12" t="inlineStr">
        <is>
          <t>I</t>
        </is>
      </c>
      <c r="C4802" s="12" t="inlineStr">
        <is>
          <t>Modular / portable power</t>
        </is>
      </c>
      <c r="D4802" s="12" t="inlineStr">
        <is>
          <t>Analog instrument to JB JB-RICE 8 radiators (-AI01: 5 x 1 pr (field cables)</t>
        </is>
      </c>
      <c r="E4802" s="12" t="inlineStr"/>
      <c r="F4802" s="12" t="inlineStr">
        <is>
          <t>RICE 8 radiators (5)</t>
        </is>
      </c>
      <c r="G4802" s="12" t="inlineStr">
        <is>
          <t>JB-RICE 8 radiators (-AI01</t>
        </is>
      </c>
      <c r="H4802" s="12" t="inlineStr">
        <is>
          <t>RICE 8 radiators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5</v>
      </c>
      <c r="O4802" s="12" t="n">
        <v>1</v>
      </c>
      <c r="P4802" s="12" t="n"/>
      <c r="Q4802" s="12" t="n"/>
      <c r="R4802" s="12" t="n"/>
      <c r="S4802" s="12" t="inlineStr">
        <is>
          <t>Tray / conduit</t>
        </is>
      </c>
      <c r="T4802" s="15" t="n">
        <v>80</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I-I-0200</t>
        </is>
      </c>
      <c r="B4803" s="12" t="inlineStr">
        <is>
          <t>I</t>
        </is>
      </c>
      <c r="C4803" s="12" t="inlineStr">
        <is>
          <t>Modular / portable power</t>
        </is>
      </c>
      <c r="D4803" s="12" t="inlineStr">
        <is>
          <t>Home run JB-RICE 8 radiators (-AI01 to the control / marshalling room</t>
        </is>
      </c>
      <c r="E4803" s="12" t="inlineStr"/>
      <c r="F4803" s="12" t="inlineStr">
        <is>
          <t>PCM: power control module</t>
        </is>
      </c>
      <c r="G4803" s="12" t="inlineStr">
        <is>
          <t>JB-RICE 8 radiators (-AI01</t>
        </is>
      </c>
      <c r="H4803" s="12" t="inlineStr">
        <is>
          <t>RICE 8 radiators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Tray</t>
        </is>
      </c>
      <c r="T4803" s="15" t="n">
        <v>0</v>
      </c>
      <c r="U4803" s="15" t="n">
        <v>94</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I-I-0201</t>
        </is>
      </c>
      <c r="B4804" s="12" t="inlineStr">
        <is>
          <t>I</t>
        </is>
      </c>
      <c r="C4804" s="12" t="inlineStr">
        <is>
          <t>Modular / portable power</t>
        </is>
      </c>
      <c r="D4804" s="12" t="inlineStr">
        <is>
          <t>Discrete device to JB JB-RICE 8 radiators (-DI01: 10 x 1 pr (field cables)</t>
        </is>
      </c>
      <c r="E4804" s="12" t="inlineStr"/>
      <c r="F4804" s="12" t="inlineStr">
        <is>
          <t>RICE 8 radiators (5)</t>
        </is>
      </c>
      <c r="G4804" s="12" t="inlineStr">
        <is>
          <t>JB-RICE 8 radiators (-DI01</t>
        </is>
      </c>
      <c r="H4804" s="12" t="inlineStr">
        <is>
          <t>RICE 8 radiators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10</v>
      </c>
      <c r="O4804" s="12" t="n">
        <v>1</v>
      </c>
      <c r="P4804" s="12" t="n"/>
      <c r="Q4804" s="12" t="n"/>
      <c r="R4804" s="12" t="n"/>
      <c r="S4804" s="12" t="inlineStr">
        <is>
          <t>Tray / conduit</t>
        </is>
      </c>
      <c r="T4804" s="15" t="n">
        <v>80</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I-I-0202</t>
        </is>
      </c>
      <c r="B4805" s="12" t="inlineStr">
        <is>
          <t>I</t>
        </is>
      </c>
      <c r="C4805" s="12" t="inlineStr">
        <is>
          <t>Modular / portable power</t>
        </is>
      </c>
      <c r="D4805" s="12" t="inlineStr">
        <is>
          <t>Home run JB-RICE 8 radiators (-DI01 to the control / marshalling room</t>
        </is>
      </c>
      <c r="E4805" s="12" t="inlineStr"/>
      <c r="F4805" s="12" t="inlineStr">
        <is>
          <t>PCM: power control module</t>
        </is>
      </c>
      <c r="G4805" s="12" t="inlineStr">
        <is>
          <t>JB-RICE 8 radiators (-DI01</t>
        </is>
      </c>
      <c r="H4805" s="12" t="inlineStr">
        <is>
          <t>RICE 8 radiators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Tray</t>
        </is>
      </c>
      <c r="T4805" s="15" t="n">
        <v>0</v>
      </c>
      <c r="U4805" s="15" t="n">
        <v>94</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I-I-0203</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PLTC|4 pr|18</t>
        </is>
      </c>
      <c r="L4806" s="12" t="inlineStr">
        <is>
          <t>4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I-I-0204</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PLTC|4 pr|18</t>
        </is>
      </c>
      <c r="L4807" s="12" t="inlineStr">
        <is>
          <t>4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I-I-0205</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I-I-0206</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I-I-0207</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I-I-0208</t>
        </is>
      </c>
      <c r="B4811" s="12" t="inlineStr">
        <is>
          <t>I</t>
        </is>
      </c>
      <c r="C4811" s="12" t="inlineStr">
        <is>
          <t>Modular / portable power</t>
        </is>
      </c>
      <c r="D4811" s="12" t="inlineStr">
        <is>
          <t>Instrumentation</t>
        </is>
      </c>
      <c r="E4811" s="12" t="inlineStr"/>
      <c r="F4811" s="12" t="inlineStr">
        <is>
          <t>PCM: power control module</t>
        </is>
      </c>
      <c r="G4811" s="12" t="inlineStr">
        <is>
          <t>RICE</t>
        </is>
      </c>
      <c r="H4811" s="12" t="inlineStr">
        <is>
          <t>RICE engine hall (8 engines)</t>
        </is>
      </c>
      <c r="I4811" s="12" t="inlineStr">
        <is>
          <t>Instrumentation</t>
        </is>
      </c>
      <c r="J4811" s="12" t="inlineStr">
        <is>
          <t>Instrumentation PLTC / TC-ER 300 V, #18 twisted shielded pairs, overall shield</t>
        </is>
      </c>
      <c r="K4811" s="12" t="inlineStr">
        <is>
          <t>PLTC|12 pr|18</t>
        </is>
      </c>
      <c r="L4811" s="12" t="inlineStr">
        <is>
          <t>12 pr</t>
        </is>
      </c>
      <c r="M4811" s="12" t="inlineStr">
        <is>
          <t>18</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I-I-0209</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PLTC|12 pr|18</t>
        </is>
      </c>
      <c r="L4812" s="12" t="inlineStr">
        <is>
          <t>12 pr</t>
        </is>
      </c>
      <c r="M4812" s="12" t="inlineStr">
        <is>
          <t>18</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I-I-0210</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PLTC|12 pr|18</t>
        </is>
      </c>
      <c r="L4813" s="12" t="inlineStr">
        <is>
          <t>12 pr</t>
        </is>
      </c>
      <c r="M4813" s="12" t="inlineStr">
        <is>
          <t>18</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I-I-0211</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I-I-0212</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I-I-0213</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I-I-0214</t>
        </is>
      </c>
      <c r="B4817" s="12" t="inlineStr">
        <is>
          <t>I</t>
        </is>
      </c>
      <c r="C4817" s="12" t="inlineStr">
        <is>
          <t>Modular / portable power</t>
        </is>
      </c>
      <c r="D4817" s="12" t="inlineStr">
        <is>
          <t>Thermocouples</t>
        </is>
      </c>
      <c r="E4817" s="12" t="inlineStr"/>
      <c r="F4817" s="12" t="inlineStr">
        <is>
          <t>PCM: power control module</t>
        </is>
      </c>
      <c r="G4817" s="12" t="inlineStr">
        <is>
          <t>RICE</t>
        </is>
      </c>
      <c r="H4817" s="12" t="inlineStr">
        <is>
          <t>RICE engine hall (8 engines)</t>
        </is>
      </c>
      <c r="I4817" s="12" t="inlineStr">
        <is>
          <t>Instrumentation</t>
        </is>
      </c>
      <c r="J4817" s="12" t="inlineStr">
        <is>
          <t>Thermocouple extension KX, #16 shielded pairs, PLTC</t>
        </is>
      </c>
      <c r="K4817" s="12" t="inlineStr">
        <is>
          <t>TCX|12 pr|16</t>
        </is>
      </c>
      <c r="L4817" s="12" t="inlineStr">
        <is>
          <t>12 pr</t>
        </is>
      </c>
      <c r="M4817" s="12" t="inlineStr">
        <is>
          <t>16</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I-I-0215</t>
        </is>
      </c>
      <c r="B4818" s="12" t="inlineStr">
        <is>
          <t>I</t>
        </is>
      </c>
      <c r="C4818" s="12" t="inlineStr">
        <is>
          <t>Modular / portable power</t>
        </is>
      </c>
      <c r="D4818" s="12" t="inlineStr">
        <is>
          <t>Thermocouples</t>
        </is>
      </c>
      <c r="E4818" s="12" t="inlineStr"/>
      <c r="F4818" s="12" t="inlineStr">
        <is>
          <t>PCM: power control module</t>
        </is>
      </c>
      <c r="G4818" s="12" t="inlineStr">
        <is>
          <t>RICE</t>
        </is>
      </c>
      <c r="H4818" s="12" t="inlineStr">
        <is>
          <t>RICE engine hall (8 engines)</t>
        </is>
      </c>
      <c r="I4818" s="12" t="inlineStr">
        <is>
          <t>Instrumentation</t>
        </is>
      </c>
      <c r="J4818" s="12" t="inlineStr">
        <is>
          <t>Thermocouple extension KX, #16 shielded pairs, PLTC</t>
        </is>
      </c>
      <c r="K4818" s="12" t="inlineStr">
        <is>
          <t>TCX|12 pr|16</t>
        </is>
      </c>
      <c r="L4818" s="12" t="inlineStr">
        <is>
          <t>12 pr</t>
        </is>
      </c>
      <c r="M4818" s="12" t="inlineStr">
        <is>
          <t>16</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I-I-0216</t>
        </is>
      </c>
      <c r="B4819" s="12" t="inlineStr">
        <is>
          <t>I</t>
        </is>
      </c>
      <c r="C4819" s="12" t="inlineStr">
        <is>
          <t>Modular / portable power</t>
        </is>
      </c>
      <c r="D4819" s="12" t="inlineStr">
        <is>
          <t>Thermocouples</t>
        </is>
      </c>
      <c r="E4819" s="12" t="inlineStr"/>
      <c r="F4819" s="12" t="inlineStr">
        <is>
          <t>PCM: power control module</t>
        </is>
      </c>
      <c r="G4819" s="12" t="inlineStr">
        <is>
          <t>RICE</t>
        </is>
      </c>
      <c r="H4819" s="12" t="inlineStr">
        <is>
          <t>RICE engine hall (8 engines)</t>
        </is>
      </c>
      <c r="I4819" s="12" t="inlineStr">
        <is>
          <t>Instrumentation</t>
        </is>
      </c>
      <c r="J4819" s="12" t="inlineStr">
        <is>
          <t>Thermocouple extension KX, #16 shielded pairs, PLTC</t>
        </is>
      </c>
      <c r="K4819" s="12" t="inlineStr">
        <is>
          <t>TCX|12 pr|16</t>
        </is>
      </c>
      <c r="L4819" s="12" t="inlineStr">
        <is>
          <t>12 pr</t>
        </is>
      </c>
      <c r="M4819" s="12" t="inlineStr">
        <is>
          <t>16</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I-I-0217</t>
        </is>
      </c>
      <c r="B4820" s="12" t="inlineStr">
        <is>
          <t>I</t>
        </is>
      </c>
      <c r="C4820" s="12" t="inlineStr">
        <is>
          <t>Modular / portable power</t>
        </is>
      </c>
      <c r="D4820" s="12" t="inlineStr">
        <is>
          <t>Thermocouples</t>
        </is>
      </c>
      <c r="E4820" s="12" t="inlineStr"/>
      <c r="F4820" s="12" t="inlineStr">
        <is>
          <t>PCM: power control module</t>
        </is>
      </c>
      <c r="G4820" s="12" t="inlineStr">
        <is>
          <t>RICE</t>
        </is>
      </c>
      <c r="H4820" s="12" t="inlineStr">
        <is>
          <t>RICE engine hall (8 engines)</t>
        </is>
      </c>
      <c r="I4820" s="12" t="inlineStr">
        <is>
          <t>Instrumentation</t>
        </is>
      </c>
      <c r="J4820" s="12" t="inlineStr">
        <is>
          <t>Thermocouple extension KX, #16 shielded pairs, PLTC</t>
        </is>
      </c>
      <c r="K4820" s="12" t="inlineStr">
        <is>
          <t>TCX|12 pr|16</t>
        </is>
      </c>
      <c r="L4820" s="12" t="inlineStr">
        <is>
          <t>12 pr</t>
        </is>
      </c>
      <c r="M4820" s="12" t="inlineStr">
        <is>
          <t>16</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I-I-0218</t>
        </is>
      </c>
      <c r="B4821" s="12" t="inlineStr">
        <is>
          <t>I</t>
        </is>
      </c>
      <c r="C4821" s="12" t="inlineStr">
        <is>
          <t>Modular / portable power</t>
        </is>
      </c>
      <c r="D4821" s="12" t="inlineStr">
        <is>
          <t>Thermocouples</t>
        </is>
      </c>
      <c r="E4821" s="12" t="inlineStr"/>
      <c r="F4821" s="12" t="inlineStr">
        <is>
          <t>PCM: power control module</t>
        </is>
      </c>
      <c r="G4821" s="12" t="inlineStr">
        <is>
          <t>RICE</t>
        </is>
      </c>
      <c r="H4821" s="12" t="inlineStr">
        <is>
          <t>RICE engine hall (8 engines)</t>
        </is>
      </c>
      <c r="I4821" s="12" t="inlineStr">
        <is>
          <t>Instrumentation</t>
        </is>
      </c>
      <c r="J4821" s="12" t="inlineStr">
        <is>
          <t>Thermocouple extension KX, #16 shielded pairs, PLTC</t>
        </is>
      </c>
      <c r="K4821" s="12" t="inlineStr">
        <is>
          <t>TCX|12 pr|16</t>
        </is>
      </c>
      <c r="L4821" s="12" t="inlineStr">
        <is>
          <t>12 pr</t>
        </is>
      </c>
      <c r="M4821" s="12" t="inlineStr">
        <is>
          <t>16</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I-I-0219</t>
        </is>
      </c>
      <c r="B4822" s="12" t="inlineStr">
        <is>
          <t>I</t>
        </is>
      </c>
      <c r="C4822" s="12" t="inlineStr">
        <is>
          <t>Modular / portable power</t>
        </is>
      </c>
      <c r="D4822" s="12" t="inlineStr">
        <is>
          <t>Analog instrument to JB JB-RICE-1-AI01: 20 x 1 pr (field cables)</t>
        </is>
      </c>
      <c r="E4822" s="12" t="inlineStr">
        <is>
          <t>RICE-1</t>
        </is>
      </c>
      <c r="F4822" s="12" t="inlineStr">
        <is>
          <t>RICE engine-generator 1</t>
        </is>
      </c>
      <c r="G4822" s="12" t="inlineStr">
        <is>
          <t>JB-RICE-1-AI01</t>
        </is>
      </c>
      <c r="H4822" s="12" t="inlineStr">
        <is>
          <t>RICE engine-generator 1</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5" t="n">
        <v>72</v>
      </c>
      <c r="U4822" s="15" t="n">
        <v>10</v>
      </c>
      <c r="V4822" s="15">
        <f>ROUNDUP((T4822+U4822+2*'Read Me'!$B$13)*(1+'Read Me'!$B$12),-1)</f>
        <v/>
      </c>
      <c r="W4822" s="15">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I-I-0220</t>
        </is>
      </c>
      <c r="B4823" s="12" t="inlineStr">
        <is>
          <t>I</t>
        </is>
      </c>
      <c r="C4823" s="12" t="inlineStr">
        <is>
          <t>Modular / portable power</t>
        </is>
      </c>
      <c r="D4823" s="12" t="inlineStr">
        <is>
          <t>Home run JB-RICE-1-AI01 to the control / marshalling room</t>
        </is>
      </c>
      <c r="E4823" s="12" t="inlineStr"/>
      <c r="F4823" s="12" t="inlineStr">
        <is>
          <t>PCM: power control module</t>
        </is>
      </c>
      <c r="G4823" s="12" t="inlineStr">
        <is>
          <t>JB-RICE-1-AI01</t>
        </is>
      </c>
      <c r="H4823" s="12" t="inlineStr">
        <is>
          <t>RICE engine-generator 1</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5" t="n">
        <v>516</v>
      </c>
      <c r="U4823" s="15" t="n">
        <v>137</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I-I-0221</t>
        </is>
      </c>
      <c r="B4824" s="12" t="inlineStr">
        <is>
          <t>I</t>
        </is>
      </c>
      <c r="C4824" s="12" t="inlineStr">
        <is>
          <t>Modular / portable power</t>
        </is>
      </c>
      <c r="D4824" s="12" t="inlineStr">
        <is>
          <t>Analog instrument to JB JB-RICE-1-AI02: 20 x 1 pr (field cables)</t>
        </is>
      </c>
      <c r="E4824" s="12" t="inlineStr">
        <is>
          <t>RICE-1</t>
        </is>
      </c>
      <c r="F4824" s="12" t="inlineStr">
        <is>
          <t>RICE engine-generator 1</t>
        </is>
      </c>
      <c r="G4824" s="12" t="inlineStr">
        <is>
          <t>JB-RICE-1-AI02</t>
        </is>
      </c>
      <c r="H4824" s="12" t="inlineStr">
        <is>
          <t>RICE engine-generator 1</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5" t="n">
        <v>72</v>
      </c>
      <c r="U4824" s="15" t="n">
        <v>10</v>
      </c>
      <c r="V4824" s="15">
        <f>ROUNDUP((T4824+U4824+2*'Read Me'!$B$13)*(1+'Read Me'!$B$12),-1)</f>
        <v/>
      </c>
      <c r="W4824" s="15">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I-I-0222</t>
        </is>
      </c>
      <c r="B4825" s="12" t="inlineStr">
        <is>
          <t>I</t>
        </is>
      </c>
      <c r="C4825" s="12" t="inlineStr">
        <is>
          <t>Modular / portable power</t>
        </is>
      </c>
      <c r="D4825" s="12" t="inlineStr">
        <is>
          <t>Home run JB-RICE-1-AI02 to the control / marshalling room</t>
        </is>
      </c>
      <c r="E4825" s="12" t="inlineStr"/>
      <c r="F4825" s="12" t="inlineStr">
        <is>
          <t>PCM: power control module</t>
        </is>
      </c>
      <c r="G4825" s="12" t="inlineStr">
        <is>
          <t>JB-RICE-1-AI02</t>
        </is>
      </c>
      <c r="H4825" s="12" t="inlineStr">
        <is>
          <t>RICE engine-generator 1</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5" t="n">
        <v>516</v>
      </c>
      <c r="U4825" s="15" t="n">
        <v>137</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I-I-0223</t>
        </is>
      </c>
      <c r="B4826" s="12" t="inlineStr">
        <is>
          <t>I</t>
        </is>
      </c>
      <c r="C4826" s="12" t="inlineStr">
        <is>
          <t>Modular / portable power</t>
        </is>
      </c>
      <c r="D4826" s="12" t="inlineStr">
        <is>
          <t>Analog instrument to JB JB-RICE-1-AI03: 20 x 1 pr (field cables)</t>
        </is>
      </c>
      <c r="E4826" s="12" t="inlineStr">
        <is>
          <t>RICE-1</t>
        </is>
      </c>
      <c r="F4826" s="12" t="inlineStr">
        <is>
          <t>RICE engine-generator 1</t>
        </is>
      </c>
      <c r="G4826" s="12" t="inlineStr">
        <is>
          <t>JB-RICE-1-AI03</t>
        </is>
      </c>
      <c r="H4826" s="12" t="inlineStr">
        <is>
          <t>RICE engine-generator 1</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I-I-0224</t>
        </is>
      </c>
      <c r="B4827" s="12" t="inlineStr">
        <is>
          <t>I</t>
        </is>
      </c>
      <c r="C4827" s="12" t="inlineStr">
        <is>
          <t>Modular / portable power</t>
        </is>
      </c>
      <c r="D4827" s="12" t="inlineStr">
        <is>
          <t>Home run JB-RICE-1-AI03 to the control / marshalling room</t>
        </is>
      </c>
      <c r="E4827" s="12" t="inlineStr"/>
      <c r="F4827" s="12" t="inlineStr">
        <is>
          <t>PCM: power control module</t>
        </is>
      </c>
      <c r="G4827" s="12" t="inlineStr">
        <is>
          <t>JB-RICE-1-AI03</t>
        </is>
      </c>
      <c r="H4827" s="12" t="inlineStr">
        <is>
          <t>RICE engine-generator 1</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137</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I-I-0225</t>
        </is>
      </c>
      <c r="B4828" s="12" t="inlineStr">
        <is>
          <t>I</t>
        </is>
      </c>
      <c r="C4828" s="12" t="inlineStr">
        <is>
          <t>Modular / portable power</t>
        </is>
      </c>
      <c r="D4828" s="12" t="inlineStr">
        <is>
          <t>Analog instrument to JB JB-RICE-1-AI04: 20 x 1 pr (field cables)</t>
        </is>
      </c>
      <c r="E4828" s="12" t="inlineStr">
        <is>
          <t>RICE-1</t>
        </is>
      </c>
      <c r="F4828" s="12" t="inlineStr">
        <is>
          <t>RICE engine-generator 1</t>
        </is>
      </c>
      <c r="G4828" s="12" t="inlineStr">
        <is>
          <t>JB-RICE-1-AI04</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I-I-0226</t>
        </is>
      </c>
      <c r="B4829" s="12" t="inlineStr">
        <is>
          <t>I</t>
        </is>
      </c>
      <c r="C4829" s="12" t="inlineStr">
        <is>
          <t>Modular / portable power</t>
        </is>
      </c>
      <c r="D4829" s="12" t="inlineStr">
        <is>
          <t>Home run JB-RICE-1-AI04 to the control / marshalling room</t>
        </is>
      </c>
      <c r="E4829" s="12" t="inlineStr"/>
      <c r="F4829" s="12" t="inlineStr">
        <is>
          <t>PCM: power control module</t>
        </is>
      </c>
      <c r="G4829" s="12" t="inlineStr">
        <is>
          <t>JB-RICE-1-AI04</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I-I-0227</t>
        </is>
      </c>
      <c r="B4830" s="12" t="inlineStr">
        <is>
          <t>I</t>
        </is>
      </c>
      <c r="C4830" s="12" t="inlineStr">
        <is>
          <t>Modular / portable power</t>
        </is>
      </c>
      <c r="D4830" s="12" t="inlineStr">
        <is>
          <t>Discrete device to JB JB-RICE-1-DI01: 20 x 1 pr (field cables)</t>
        </is>
      </c>
      <c r="E4830" s="12" t="inlineStr">
        <is>
          <t>RICE-1</t>
        </is>
      </c>
      <c r="F4830" s="12" t="inlineStr">
        <is>
          <t>RICE engine-generator 1</t>
        </is>
      </c>
      <c r="G4830" s="12" t="inlineStr">
        <is>
          <t>JB-RICE-1-DI01</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I-I-0228</t>
        </is>
      </c>
      <c r="B4831" s="12" t="inlineStr">
        <is>
          <t>I</t>
        </is>
      </c>
      <c r="C4831" s="12" t="inlineStr">
        <is>
          <t>Modular / portable power</t>
        </is>
      </c>
      <c r="D4831" s="12" t="inlineStr">
        <is>
          <t>Home run JB-RICE-1-DI01 to the control / marshalling room</t>
        </is>
      </c>
      <c r="E4831" s="12" t="inlineStr"/>
      <c r="F4831" s="12" t="inlineStr">
        <is>
          <t>PCM: power control module</t>
        </is>
      </c>
      <c r="G4831" s="12" t="inlineStr">
        <is>
          <t>JB-RICE-1-DI01</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I-I-0229</t>
        </is>
      </c>
      <c r="B4832" s="12" t="inlineStr">
        <is>
          <t>I</t>
        </is>
      </c>
      <c r="C4832" s="12" t="inlineStr">
        <is>
          <t>Modular / portable power</t>
        </is>
      </c>
      <c r="D4832" s="12" t="inlineStr">
        <is>
          <t>Discrete device to JB JB-RICE-1-DI02: 20 x 1 pr (field cables)</t>
        </is>
      </c>
      <c r="E4832" s="12" t="inlineStr">
        <is>
          <t>RICE-1</t>
        </is>
      </c>
      <c r="F4832" s="12" t="inlineStr">
        <is>
          <t>RICE engine-generator 1</t>
        </is>
      </c>
      <c r="G4832" s="12" t="inlineStr">
        <is>
          <t>JB-RICE-1-DI02</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I-I-0230</t>
        </is>
      </c>
      <c r="B4833" s="12" t="inlineStr">
        <is>
          <t>I</t>
        </is>
      </c>
      <c r="C4833" s="12" t="inlineStr">
        <is>
          <t>Modular / portable power</t>
        </is>
      </c>
      <c r="D4833" s="12" t="inlineStr">
        <is>
          <t>Home run JB-RICE-1-DI02 to the control / marshalling room</t>
        </is>
      </c>
      <c r="E4833" s="12" t="inlineStr"/>
      <c r="F4833" s="12" t="inlineStr">
        <is>
          <t>PCM: power control module</t>
        </is>
      </c>
      <c r="G4833" s="12" t="inlineStr">
        <is>
          <t>JB-RICE-1-DI02</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I-I-0231</t>
        </is>
      </c>
      <c r="B4834" s="12" t="inlineStr">
        <is>
          <t>I</t>
        </is>
      </c>
      <c r="C4834" s="12" t="inlineStr">
        <is>
          <t>Modular / portable power</t>
        </is>
      </c>
      <c r="D4834" s="12" t="inlineStr">
        <is>
          <t>Discrete device to JB JB-RICE-1-DI03: 20 x 1 pr (field cables)</t>
        </is>
      </c>
      <c r="E4834" s="12" t="inlineStr">
        <is>
          <t>RICE-1</t>
        </is>
      </c>
      <c r="F4834" s="12" t="inlineStr">
        <is>
          <t>RICE engine-generator 1</t>
        </is>
      </c>
      <c r="G4834" s="12" t="inlineStr">
        <is>
          <t>JB-RICE-1-DI03</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I-I-0232</t>
        </is>
      </c>
      <c r="B4835" s="12" t="inlineStr">
        <is>
          <t>I</t>
        </is>
      </c>
      <c r="C4835" s="12" t="inlineStr">
        <is>
          <t>Modular / portable power</t>
        </is>
      </c>
      <c r="D4835" s="12" t="inlineStr">
        <is>
          <t>Home run JB-RICE-1-DI03 to the control / marshalling room</t>
        </is>
      </c>
      <c r="E4835" s="12" t="inlineStr"/>
      <c r="F4835" s="12" t="inlineStr">
        <is>
          <t>PCM: power control module</t>
        </is>
      </c>
      <c r="G4835" s="12" t="inlineStr">
        <is>
          <t>JB-RICE-1-DI03</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I-I-0233</t>
        </is>
      </c>
      <c r="B4836" s="12" t="inlineStr">
        <is>
          <t>I</t>
        </is>
      </c>
      <c r="C4836" s="12" t="inlineStr">
        <is>
          <t>Modular / portable power</t>
        </is>
      </c>
      <c r="D4836" s="12" t="inlineStr">
        <is>
          <t>Thermocouple to TC JB JB-RICE-1-TC01: 20 x 1 pr (field cables)</t>
        </is>
      </c>
      <c r="E4836" s="12" t="inlineStr">
        <is>
          <t>RICE-1</t>
        </is>
      </c>
      <c r="F4836" s="12" t="inlineStr">
        <is>
          <t>RICE engine-generator 1</t>
        </is>
      </c>
      <c r="G4836" s="12" t="inlineStr">
        <is>
          <t>JB-RICE-1-TC01</t>
        </is>
      </c>
      <c r="H4836" s="12" t="inlineStr">
        <is>
          <t>RICE engine-generator 1</t>
        </is>
      </c>
      <c r="I4836" s="12" t="inlineStr">
        <is>
          <t>Instrumentation</t>
        </is>
      </c>
      <c r="J4836" s="12" t="inlineStr">
        <is>
          <t>Thermocouple extension KX, #16 shielded pairs, PLTC</t>
        </is>
      </c>
      <c r="K4836" s="12" t="inlineStr">
        <is>
          <t>TCX|1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I-I-0234</t>
        </is>
      </c>
      <c r="B4837" s="12" t="inlineStr">
        <is>
          <t>I</t>
        </is>
      </c>
      <c r="C4837" s="12" t="inlineStr">
        <is>
          <t>Modular / portable power</t>
        </is>
      </c>
      <c r="D4837" s="12" t="inlineStr">
        <is>
          <t>Home run JB-RICE-1-TC01 to the control / marshalling room</t>
        </is>
      </c>
      <c r="E4837" s="12" t="inlineStr"/>
      <c r="F4837" s="12" t="inlineStr">
        <is>
          <t>PCM: power control module</t>
        </is>
      </c>
      <c r="G4837" s="12" t="inlineStr">
        <is>
          <t>JB-RICE-1-TC01</t>
        </is>
      </c>
      <c r="H4837" s="12" t="inlineStr">
        <is>
          <t>RICE engine-generator 1</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I-I-0235</t>
        </is>
      </c>
      <c r="B4838" s="12" t="inlineStr">
        <is>
          <t>I</t>
        </is>
      </c>
      <c r="C4838" s="12" t="inlineStr">
        <is>
          <t>Modular / portable power</t>
        </is>
      </c>
      <c r="D4838" s="12" t="inlineStr">
        <is>
          <t>Thermocouple to TC JB JB-RICE-1-TC02: 10 x 1 pr (field cables)</t>
        </is>
      </c>
      <c r="E4838" s="12" t="inlineStr">
        <is>
          <t>RICE-1</t>
        </is>
      </c>
      <c r="F4838" s="12" t="inlineStr">
        <is>
          <t>RICE engine-generator 1</t>
        </is>
      </c>
      <c r="G4838" s="12" t="inlineStr">
        <is>
          <t>JB-RICE-1-TC02</t>
        </is>
      </c>
      <c r="H4838" s="12" t="inlineStr">
        <is>
          <t>RICE engine-generator 1</t>
        </is>
      </c>
      <c r="I4838" s="12" t="inlineStr">
        <is>
          <t>Instrumentation</t>
        </is>
      </c>
      <c r="J4838" s="12" t="inlineStr">
        <is>
          <t>Thermocouple extension KX, #16 shielded pairs, PLTC</t>
        </is>
      </c>
      <c r="K4838" s="12" t="inlineStr">
        <is>
          <t>TCX|1 pr|16</t>
        </is>
      </c>
      <c r="L4838" s="12" t="inlineStr">
        <is>
          <t>1 pr</t>
        </is>
      </c>
      <c r="M4838" s="12" t="inlineStr">
        <is>
          <t>16</t>
        </is>
      </c>
      <c r="N4838" s="12" t="n">
        <v>10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I-I-0236</t>
        </is>
      </c>
      <c r="B4839" s="12" t="inlineStr">
        <is>
          <t>I</t>
        </is>
      </c>
      <c r="C4839" s="12" t="inlineStr">
        <is>
          <t>Modular / portable power</t>
        </is>
      </c>
      <c r="D4839" s="12" t="inlineStr">
        <is>
          <t>Home run JB-RICE-1-TC02 to the control / marshalling room</t>
        </is>
      </c>
      <c r="E4839" s="12" t="inlineStr"/>
      <c r="F4839" s="12" t="inlineStr">
        <is>
          <t>PCM: power control module</t>
        </is>
      </c>
      <c r="G4839" s="12" t="inlineStr">
        <is>
          <t>JB-RICE-1-TC02</t>
        </is>
      </c>
      <c r="H4839" s="12" t="inlineStr">
        <is>
          <t>RICE engine-generator 1</t>
        </is>
      </c>
      <c r="I4839" s="12" t="inlineStr">
        <is>
          <t>Instrumentation</t>
        </is>
      </c>
      <c r="J4839" s="12" t="inlineStr">
        <is>
          <t>Thermocouple extension KX, #16 shielded pairs, PLTC</t>
        </is>
      </c>
      <c r="K4839" s="12" t="inlineStr">
        <is>
          <t>TCX|24 pr|16</t>
        </is>
      </c>
      <c r="L4839" s="12" t="inlineStr">
        <is>
          <t>24 pr</t>
        </is>
      </c>
      <c r="M4839" s="12" t="inlineStr">
        <is>
          <t>16</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I-I-0237</t>
        </is>
      </c>
      <c r="B4840" s="12" t="inlineStr">
        <is>
          <t>I</t>
        </is>
      </c>
      <c r="C4840" s="12" t="inlineStr">
        <is>
          <t>Modular / portable power</t>
        </is>
      </c>
      <c r="D4840" s="12" t="inlineStr">
        <is>
          <t>RTD to JB JB-RICE-1-RTD01: 10 x 1 tri (field cables)</t>
        </is>
      </c>
      <c r="E4840" s="12" t="inlineStr">
        <is>
          <t>RICE-1</t>
        </is>
      </c>
      <c r="F4840" s="12" t="inlineStr">
        <is>
          <t>RICE engine-generator 1</t>
        </is>
      </c>
      <c r="G4840" s="12" t="inlineStr">
        <is>
          <t>JB-RICE-1-RTD01</t>
        </is>
      </c>
      <c r="H4840" s="12" t="inlineStr">
        <is>
          <t>RICE engine-generator 1</t>
        </is>
      </c>
      <c r="I4840" s="12" t="inlineStr">
        <is>
          <t>Instrumentation</t>
        </is>
      </c>
      <c r="J4840" s="12" t="inlineStr">
        <is>
          <t>RTD cable, #18 shielded triads, PLTC</t>
        </is>
      </c>
      <c r="K4840" s="12" t="inlineStr">
        <is>
          <t>RTD|1 tri|18</t>
        </is>
      </c>
      <c r="L4840" s="12" t="inlineStr">
        <is>
          <t>1 tri</t>
        </is>
      </c>
      <c r="M4840" s="12" t="inlineStr">
        <is>
          <t>18</t>
        </is>
      </c>
      <c r="N4840" s="12" t="n">
        <v>10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I-I-0238</t>
        </is>
      </c>
      <c r="B4841" s="12" t="inlineStr">
        <is>
          <t>I</t>
        </is>
      </c>
      <c r="C4841" s="12" t="inlineStr">
        <is>
          <t>Modular / portable power</t>
        </is>
      </c>
      <c r="D4841" s="12" t="inlineStr">
        <is>
          <t>Home run JB-RICE-1-RTD01 to the control / marshalling room</t>
        </is>
      </c>
      <c r="E4841" s="12" t="inlineStr"/>
      <c r="F4841" s="12" t="inlineStr">
        <is>
          <t>PCM: power control module</t>
        </is>
      </c>
      <c r="G4841" s="12" t="inlineStr">
        <is>
          <t>JB-RICE-1-RTD01</t>
        </is>
      </c>
      <c r="H4841" s="12" t="inlineStr">
        <is>
          <t>RICE engine-generator 1</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I-I-0239</t>
        </is>
      </c>
      <c r="B4842" s="12" t="inlineStr">
        <is>
          <t>I</t>
        </is>
      </c>
      <c r="C4842" s="12" t="inlineStr">
        <is>
          <t>Modular / portable power</t>
        </is>
      </c>
      <c r="D4842" s="12" t="inlineStr">
        <is>
          <t>RTD to JB JB-RICE-1-RTD02: 2 x 1 tri (field cables)</t>
        </is>
      </c>
      <c r="E4842" s="12" t="inlineStr">
        <is>
          <t>RICE-1</t>
        </is>
      </c>
      <c r="F4842" s="12" t="inlineStr">
        <is>
          <t>RICE engine-generator 1</t>
        </is>
      </c>
      <c r="G4842" s="12" t="inlineStr">
        <is>
          <t>JB-RICE-1-RTD02</t>
        </is>
      </c>
      <c r="H4842" s="12" t="inlineStr">
        <is>
          <t>RICE engine-generator 1</t>
        </is>
      </c>
      <c r="I4842" s="12" t="inlineStr">
        <is>
          <t>Instrumentation</t>
        </is>
      </c>
      <c r="J4842" s="12" t="inlineStr">
        <is>
          <t>RTD cable, #18 shielded triads, PLTC</t>
        </is>
      </c>
      <c r="K4842" s="12" t="inlineStr">
        <is>
          <t>RTD|1 tri|18</t>
        </is>
      </c>
      <c r="L4842" s="12" t="inlineStr">
        <is>
          <t>1 tri</t>
        </is>
      </c>
      <c r="M4842" s="12" t="inlineStr">
        <is>
          <t>18</t>
        </is>
      </c>
      <c r="N4842" s="12" t="n">
        <v>2</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I-I-0240</t>
        </is>
      </c>
      <c r="B4843" s="12" t="inlineStr">
        <is>
          <t>I</t>
        </is>
      </c>
      <c r="C4843" s="12" t="inlineStr">
        <is>
          <t>Modular / portable power</t>
        </is>
      </c>
      <c r="D4843" s="12" t="inlineStr">
        <is>
          <t>Home run JB-RICE-1-RTD02 to the control / marshalling room</t>
        </is>
      </c>
      <c r="E4843" s="12" t="inlineStr"/>
      <c r="F4843" s="12" t="inlineStr">
        <is>
          <t>PCM: power control module</t>
        </is>
      </c>
      <c r="G4843" s="12" t="inlineStr">
        <is>
          <t>JB-RICE-1-RTD02</t>
        </is>
      </c>
      <c r="H4843" s="12" t="inlineStr">
        <is>
          <t>RICE engine-generator 1</t>
        </is>
      </c>
      <c r="I4843" s="12" t="inlineStr">
        <is>
          <t>Instrumentation</t>
        </is>
      </c>
      <c r="J4843" s="12" t="inlineStr">
        <is>
          <t>RTD cable, #18 shielded triads, PLTC</t>
        </is>
      </c>
      <c r="K4843" s="12" t="inlineStr">
        <is>
          <t>RTD|12 tri|18</t>
        </is>
      </c>
      <c r="L4843" s="12" t="inlineStr">
        <is>
          <t>12 tri</t>
        </is>
      </c>
      <c r="M4843" s="12" t="inlineStr">
        <is>
          <t>18</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I-I-0241</t>
        </is>
      </c>
      <c r="B4844" s="12" t="inlineStr">
        <is>
          <t>I</t>
        </is>
      </c>
      <c r="C4844" s="12" t="inlineStr">
        <is>
          <t>Modular / portable power</t>
        </is>
      </c>
      <c r="D4844" s="12" t="inlineStr">
        <is>
          <t>Analog instrument to JB JB-RICE-2-AI01: 20 x 1 pr (field cables)</t>
        </is>
      </c>
      <c r="E4844" s="12" t="inlineStr">
        <is>
          <t>RICE-2</t>
        </is>
      </c>
      <c r="F4844" s="12" t="inlineStr">
        <is>
          <t>RICE engine-generator 2</t>
        </is>
      </c>
      <c r="G4844" s="12" t="inlineStr">
        <is>
          <t>JB-RICE-2-AI01</t>
        </is>
      </c>
      <c r="H4844" s="12" t="inlineStr">
        <is>
          <t>RICE engine-generator 2</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I-I-0242</t>
        </is>
      </c>
      <c r="B4845" s="12" t="inlineStr">
        <is>
          <t>I</t>
        </is>
      </c>
      <c r="C4845" s="12" t="inlineStr">
        <is>
          <t>Modular / portable power</t>
        </is>
      </c>
      <c r="D4845" s="12" t="inlineStr">
        <is>
          <t>Home run JB-RICE-2-AI01 to the control / marshalling room</t>
        </is>
      </c>
      <c r="E4845" s="12" t="inlineStr"/>
      <c r="F4845" s="12" t="inlineStr">
        <is>
          <t>PCM: power control module</t>
        </is>
      </c>
      <c r="G4845" s="12" t="inlineStr">
        <is>
          <t>JB-RICE-2-AI01</t>
        </is>
      </c>
      <c r="H4845" s="12" t="inlineStr">
        <is>
          <t>RICE engine-generator 2</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5" t="n">
        <v>516</v>
      </c>
      <c r="U4845" s="15" t="n">
        <v>109</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I-I-0243</t>
        </is>
      </c>
      <c r="B4846" s="12" t="inlineStr">
        <is>
          <t>I</t>
        </is>
      </c>
      <c r="C4846" s="12" t="inlineStr">
        <is>
          <t>Modular / portable power</t>
        </is>
      </c>
      <c r="D4846" s="12" t="inlineStr">
        <is>
          <t>Analog instrument to JB JB-RICE-2-AI02: 20 x 1 pr (field cables)</t>
        </is>
      </c>
      <c r="E4846" s="12" t="inlineStr">
        <is>
          <t>RICE-2</t>
        </is>
      </c>
      <c r="F4846" s="12" t="inlineStr">
        <is>
          <t>RICE engine-generator 2</t>
        </is>
      </c>
      <c r="G4846" s="12" t="inlineStr">
        <is>
          <t>JB-RICE-2-AI02</t>
        </is>
      </c>
      <c r="H4846" s="12" t="inlineStr">
        <is>
          <t>RICE engine-generator 2</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I-I-0244</t>
        </is>
      </c>
      <c r="B4847" s="12" t="inlineStr">
        <is>
          <t>I</t>
        </is>
      </c>
      <c r="C4847" s="12" t="inlineStr">
        <is>
          <t>Modular / portable power</t>
        </is>
      </c>
      <c r="D4847" s="12" t="inlineStr">
        <is>
          <t>Home run JB-RICE-2-AI02 to the control / marshalling room</t>
        </is>
      </c>
      <c r="E4847" s="12" t="inlineStr"/>
      <c r="F4847" s="12" t="inlineStr">
        <is>
          <t>PCM: power control module</t>
        </is>
      </c>
      <c r="G4847" s="12" t="inlineStr">
        <is>
          <t>JB-RICE-2-AI02</t>
        </is>
      </c>
      <c r="H4847" s="12" t="inlineStr">
        <is>
          <t>RICE engine-generator 2</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5" t="n">
        <v>516</v>
      </c>
      <c r="U4847" s="15" t="n">
        <v>109</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I-I-0245</t>
        </is>
      </c>
      <c r="B4848" s="12" t="inlineStr">
        <is>
          <t>I</t>
        </is>
      </c>
      <c r="C4848" s="12" t="inlineStr">
        <is>
          <t>Modular / portable power</t>
        </is>
      </c>
      <c r="D4848" s="12" t="inlineStr">
        <is>
          <t>Analog instrument to JB JB-RICE-2-AI03: 20 x 1 pr (field cables)</t>
        </is>
      </c>
      <c r="E4848" s="12" t="inlineStr">
        <is>
          <t>RICE-2</t>
        </is>
      </c>
      <c r="F4848" s="12" t="inlineStr">
        <is>
          <t>RICE engine-generator 2</t>
        </is>
      </c>
      <c r="G4848" s="12" t="inlineStr">
        <is>
          <t>JB-RICE-2-AI03</t>
        </is>
      </c>
      <c r="H4848" s="12" t="inlineStr">
        <is>
          <t>RICE engine-generator 2</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I-I-0246</t>
        </is>
      </c>
      <c r="B4849" s="12" t="inlineStr">
        <is>
          <t>I</t>
        </is>
      </c>
      <c r="C4849" s="12" t="inlineStr">
        <is>
          <t>Modular / portable power</t>
        </is>
      </c>
      <c r="D4849" s="12" t="inlineStr">
        <is>
          <t>Home run JB-RICE-2-AI03 to the control / marshalling room</t>
        </is>
      </c>
      <c r="E4849" s="12" t="inlineStr"/>
      <c r="F4849" s="12" t="inlineStr">
        <is>
          <t>PCM: power control module</t>
        </is>
      </c>
      <c r="G4849" s="12" t="inlineStr">
        <is>
          <t>JB-RICE-2-AI03</t>
        </is>
      </c>
      <c r="H4849" s="12" t="inlineStr">
        <is>
          <t>RICE engine-generator 2</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109</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I-I-0247</t>
        </is>
      </c>
      <c r="B4850" s="12" t="inlineStr">
        <is>
          <t>I</t>
        </is>
      </c>
      <c r="C4850" s="12" t="inlineStr">
        <is>
          <t>Modular / portable power</t>
        </is>
      </c>
      <c r="D4850" s="12" t="inlineStr">
        <is>
          <t>Analog instrument to JB JB-RICE-2-AI04: 20 x 1 pr (field cables)</t>
        </is>
      </c>
      <c r="E4850" s="12" t="inlineStr">
        <is>
          <t>RICE-2</t>
        </is>
      </c>
      <c r="F4850" s="12" t="inlineStr">
        <is>
          <t>RICE engine-generator 2</t>
        </is>
      </c>
      <c r="G4850" s="12" t="inlineStr">
        <is>
          <t>JB-RICE-2-AI04</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I-I-0248</t>
        </is>
      </c>
      <c r="B4851" s="12" t="inlineStr">
        <is>
          <t>I</t>
        </is>
      </c>
      <c r="C4851" s="12" t="inlineStr">
        <is>
          <t>Modular / portable power</t>
        </is>
      </c>
      <c r="D4851" s="12" t="inlineStr">
        <is>
          <t>Home run JB-RICE-2-AI04 to the control / marshalling room</t>
        </is>
      </c>
      <c r="E4851" s="12" t="inlineStr"/>
      <c r="F4851" s="12" t="inlineStr">
        <is>
          <t>PCM: power control module</t>
        </is>
      </c>
      <c r="G4851" s="12" t="inlineStr">
        <is>
          <t>JB-RICE-2-AI04</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I-I-0249</t>
        </is>
      </c>
      <c r="B4852" s="12" t="inlineStr">
        <is>
          <t>I</t>
        </is>
      </c>
      <c r="C4852" s="12" t="inlineStr">
        <is>
          <t>Modular / portable power</t>
        </is>
      </c>
      <c r="D4852" s="12" t="inlineStr">
        <is>
          <t>Discrete device to JB JB-RICE-2-DI01: 20 x 1 pr (field cables)</t>
        </is>
      </c>
      <c r="E4852" s="12" t="inlineStr">
        <is>
          <t>RICE-2</t>
        </is>
      </c>
      <c r="F4852" s="12" t="inlineStr">
        <is>
          <t>RICE engine-generator 2</t>
        </is>
      </c>
      <c r="G4852" s="12" t="inlineStr">
        <is>
          <t>JB-RICE-2-DI01</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I-I-0250</t>
        </is>
      </c>
      <c r="B4853" s="12" t="inlineStr">
        <is>
          <t>I</t>
        </is>
      </c>
      <c r="C4853" s="12" t="inlineStr">
        <is>
          <t>Modular / portable power</t>
        </is>
      </c>
      <c r="D4853" s="12" t="inlineStr">
        <is>
          <t>Home run JB-RICE-2-DI01 to the control / marshalling room</t>
        </is>
      </c>
      <c r="E4853" s="12" t="inlineStr"/>
      <c r="F4853" s="12" t="inlineStr">
        <is>
          <t>PCM: power control module</t>
        </is>
      </c>
      <c r="G4853" s="12" t="inlineStr">
        <is>
          <t>JB-RICE-2-DI01</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I-I-0251</t>
        </is>
      </c>
      <c r="B4854" s="12" t="inlineStr">
        <is>
          <t>I</t>
        </is>
      </c>
      <c r="C4854" s="12" t="inlineStr">
        <is>
          <t>Modular / portable power</t>
        </is>
      </c>
      <c r="D4854" s="12" t="inlineStr">
        <is>
          <t>Discrete device to JB JB-RICE-2-DI02: 20 x 1 pr (field cables)</t>
        </is>
      </c>
      <c r="E4854" s="12" t="inlineStr">
        <is>
          <t>RICE-2</t>
        </is>
      </c>
      <c r="F4854" s="12" t="inlineStr">
        <is>
          <t>RICE engine-generator 2</t>
        </is>
      </c>
      <c r="G4854" s="12" t="inlineStr">
        <is>
          <t>JB-RICE-2-DI02</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I-I-0252</t>
        </is>
      </c>
      <c r="B4855" s="12" t="inlineStr">
        <is>
          <t>I</t>
        </is>
      </c>
      <c r="C4855" s="12" t="inlineStr">
        <is>
          <t>Modular / portable power</t>
        </is>
      </c>
      <c r="D4855" s="12" t="inlineStr">
        <is>
          <t>Home run JB-RICE-2-DI02 to the control / marshalling room</t>
        </is>
      </c>
      <c r="E4855" s="12" t="inlineStr"/>
      <c r="F4855" s="12" t="inlineStr">
        <is>
          <t>PCM: power control module</t>
        </is>
      </c>
      <c r="G4855" s="12" t="inlineStr">
        <is>
          <t>JB-RICE-2-DI02</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I-I-0253</t>
        </is>
      </c>
      <c r="B4856" s="12" t="inlineStr">
        <is>
          <t>I</t>
        </is>
      </c>
      <c r="C4856" s="12" t="inlineStr">
        <is>
          <t>Modular / portable power</t>
        </is>
      </c>
      <c r="D4856" s="12" t="inlineStr">
        <is>
          <t>Discrete device to JB JB-RICE-2-DI03: 20 x 1 pr (field cables)</t>
        </is>
      </c>
      <c r="E4856" s="12" t="inlineStr">
        <is>
          <t>RICE-2</t>
        </is>
      </c>
      <c r="F4856" s="12" t="inlineStr">
        <is>
          <t>RICE engine-generator 2</t>
        </is>
      </c>
      <c r="G4856" s="12" t="inlineStr">
        <is>
          <t>JB-RICE-2-DI03</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I-I-0254</t>
        </is>
      </c>
      <c r="B4857" s="12" t="inlineStr">
        <is>
          <t>I</t>
        </is>
      </c>
      <c r="C4857" s="12" t="inlineStr">
        <is>
          <t>Modular / portable power</t>
        </is>
      </c>
      <c r="D4857" s="12" t="inlineStr">
        <is>
          <t>Home run JB-RICE-2-DI03 to the control / marshalling room</t>
        </is>
      </c>
      <c r="E4857" s="12" t="inlineStr"/>
      <c r="F4857" s="12" t="inlineStr">
        <is>
          <t>PCM: power control module</t>
        </is>
      </c>
      <c r="G4857" s="12" t="inlineStr">
        <is>
          <t>JB-RICE-2-DI03</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I-I-0255</t>
        </is>
      </c>
      <c r="B4858" s="12" t="inlineStr">
        <is>
          <t>I</t>
        </is>
      </c>
      <c r="C4858" s="12" t="inlineStr">
        <is>
          <t>Modular / portable power</t>
        </is>
      </c>
      <c r="D4858" s="12" t="inlineStr">
        <is>
          <t>Thermocouple to TC JB JB-RICE-2-TC01: 20 x 1 pr (field cables)</t>
        </is>
      </c>
      <c r="E4858" s="12" t="inlineStr">
        <is>
          <t>RICE-2</t>
        </is>
      </c>
      <c r="F4858" s="12" t="inlineStr">
        <is>
          <t>RICE engine-generator 2</t>
        </is>
      </c>
      <c r="G4858" s="12" t="inlineStr">
        <is>
          <t>JB-RICE-2-TC01</t>
        </is>
      </c>
      <c r="H4858" s="12" t="inlineStr">
        <is>
          <t>RICE engine-generator 2</t>
        </is>
      </c>
      <c r="I4858" s="12" t="inlineStr">
        <is>
          <t>Instrumentation</t>
        </is>
      </c>
      <c r="J4858" s="12" t="inlineStr">
        <is>
          <t>Thermocouple extension KX, #16 shielded pairs, PLTC</t>
        </is>
      </c>
      <c r="K4858" s="12" t="inlineStr">
        <is>
          <t>TCX|1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I-I-0256</t>
        </is>
      </c>
      <c r="B4859" s="12" t="inlineStr">
        <is>
          <t>I</t>
        </is>
      </c>
      <c r="C4859" s="12" t="inlineStr">
        <is>
          <t>Modular / portable power</t>
        </is>
      </c>
      <c r="D4859" s="12" t="inlineStr">
        <is>
          <t>Home run JB-RICE-2-TC01 to the control / marshalling room</t>
        </is>
      </c>
      <c r="E4859" s="12" t="inlineStr"/>
      <c r="F4859" s="12" t="inlineStr">
        <is>
          <t>PCM: power control module</t>
        </is>
      </c>
      <c r="G4859" s="12" t="inlineStr">
        <is>
          <t>JB-RICE-2-TC01</t>
        </is>
      </c>
      <c r="H4859" s="12" t="inlineStr">
        <is>
          <t>RICE engine-generator 2</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I-I-0257</t>
        </is>
      </c>
      <c r="B4860" s="12" t="inlineStr">
        <is>
          <t>I</t>
        </is>
      </c>
      <c r="C4860" s="12" t="inlineStr">
        <is>
          <t>Modular / portable power</t>
        </is>
      </c>
      <c r="D4860" s="12" t="inlineStr">
        <is>
          <t>Thermocouple to TC JB JB-RICE-2-TC02: 10 x 1 pr (field cables)</t>
        </is>
      </c>
      <c r="E4860" s="12" t="inlineStr">
        <is>
          <t>RICE-2</t>
        </is>
      </c>
      <c r="F4860" s="12" t="inlineStr">
        <is>
          <t>RICE engine-generator 2</t>
        </is>
      </c>
      <c r="G4860" s="12" t="inlineStr">
        <is>
          <t>JB-RICE-2-TC02</t>
        </is>
      </c>
      <c r="H4860" s="12" t="inlineStr">
        <is>
          <t>RICE engine-generator 2</t>
        </is>
      </c>
      <c r="I4860" s="12" t="inlineStr">
        <is>
          <t>Instrumentation</t>
        </is>
      </c>
      <c r="J4860" s="12" t="inlineStr">
        <is>
          <t>Thermocouple extension KX, #16 shielded pairs, PLTC</t>
        </is>
      </c>
      <c r="K4860" s="12" t="inlineStr">
        <is>
          <t>TCX|1 pr|16</t>
        </is>
      </c>
      <c r="L4860" s="12" t="inlineStr">
        <is>
          <t>1 pr</t>
        </is>
      </c>
      <c r="M4860" s="12" t="inlineStr">
        <is>
          <t>16</t>
        </is>
      </c>
      <c r="N4860" s="12" t="n">
        <v>10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I-I-0258</t>
        </is>
      </c>
      <c r="B4861" s="12" t="inlineStr">
        <is>
          <t>I</t>
        </is>
      </c>
      <c r="C4861" s="12" t="inlineStr">
        <is>
          <t>Modular / portable power</t>
        </is>
      </c>
      <c r="D4861" s="12" t="inlineStr">
        <is>
          <t>Home run JB-RICE-2-TC02 to the control / marshalling room</t>
        </is>
      </c>
      <c r="E4861" s="12" t="inlineStr"/>
      <c r="F4861" s="12" t="inlineStr">
        <is>
          <t>PCM: power control module</t>
        </is>
      </c>
      <c r="G4861" s="12" t="inlineStr">
        <is>
          <t>JB-RICE-2-TC02</t>
        </is>
      </c>
      <c r="H4861" s="12" t="inlineStr">
        <is>
          <t>RICE engine-generator 2</t>
        </is>
      </c>
      <c r="I4861" s="12" t="inlineStr">
        <is>
          <t>Instrumentation</t>
        </is>
      </c>
      <c r="J4861" s="12" t="inlineStr">
        <is>
          <t>Thermocouple extension KX, #16 shielded pairs, PLTC</t>
        </is>
      </c>
      <c r="K4861" s="12" t="inlineStr">
        <is>
          <t>TCX|24 pr|16</t>
        </is>
      </c>
      <c r="L4861" s="12" t="inlineStr">
        <is>
          <t>24 pr</t>
        </is>
      </c>
      <c r="M4861" s="12" t="inlineStr">
        <is>
          <t>16</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I-I-0259</t>
        </is>
      </c>
      <c r="B4862" s="12" t="inlineStr">
        <is>
          <t>I</t>
        </is>
      </c>
      <c r="C4862" s="12" t="inlineStr">
        <is>
          <t>Modular / portable power</t>
        </is>
      </c>
      <c r="D4862" s="12" t="inlineStr">
        <is>
          <t>RTD to JB JB-RICE-2-RTD01: 10 x 1 tri (field cables)</t>
        </is>
      </c>
      <c r="E4862" s="12" t="inlineStr">
        <is>
          <t>RICE-2</t>
        </is>
      </c>
      <c r="F4862" s="12" t="inlineStr">
        <is>
          <t>RICE engine-generator 2</t>
        </is>
      </c>
      <c r="G4862" s="12" t="inlineStr">
        <is>
          <t>JB-RICE-2-RTD01</t>
        </is>
      </c>
      <c r="H4862" s="12" t="inlineStr">
        <is>
          <t>RICE engine-generator 2</t>
        </is>
      </c>
      <c r="I4862" s="12" t="inlineStr">
        <is>
          <t>Instrumentation</t>
        </is>
      </c>
      <c r="J4862" s="12" t="inlineStr">
        <is>
          <t>RTD cable, #18 shielded triads, PLTC</t>
        </is>
      </c>
      <c r="K4862" s="12" t="inlineStr">
        <is>
          <t>RTD|1 tri|18</t>
        </is>
      </c>
      <c r="L4862" s="12" t="inlineStr">
        <is>
          <t>1 tri</t>
        </is>
      </c>
      <c r="M4862" s="12" t="inlineStr">
        <is>
          <t>18</t>
        </is>
      </c>
      <c r="N4862" s="12" t="n">
        <v>10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I-I-0260</t>
        </is>
      </c>
      <c r="B4863" s="12" t="inlineStr">
        <is>
          <t>I</t>
        </is>
      </c>
      <c r="C4863" s="12" t="inlineStr">
        <is>
          <t>Modular / portable power</t>
        </is>
      </c>
      <c r="D4863" s="12" t="inlineStr">
        <is>
          <t>Home run JB-RICE-2-RTD01 to the control / marshalling room</t>
        </is>
      </c>
      <c r="E4863" s="12" t="inlineStr"/>
      <c r="F4863" s="12" t="inlineStr">
        <is>
          <t>PCM: power control module</t>
        </is>
      </c>
      <c r="G4863" s="12" t="inlineStr">
        <is>
          <t>JB-RICE-2-RTD01</t>
        </is>
      </c>
      <c r="H4863" s="12" t="inlineStr">
        <is>
          <t>RICE engine-generator 2</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I-I-0261</t>
        </is>
      </c>
      <c r="B4864" s="12" t="inlineStr">
        <is>
          <t>I</t>
        </is>
      </c>
      <c r="C4864" s="12" t="inlineStr">
        <is>
          <t>Modular / portable power</t>
        </is>
      </c>
      <c r="D4864" s="12" t="inlineStr">
        <is>
          <t>RTD to JB JB-RICE-2-RTD02: 2 x 1 tri (field cables)</t>
        </is>
      </c>
      <c r="E4864" s="12" t="inlineStr">
        <is>
          <t>RICE-2</t>
        </is>
      </c>
      <c r="F4864" s="12" t="inlineStr">
        <is>
          <t>RICE engine-generator 2</t>
        </is>
      </c>
      <c r="G4864" s="12" t="inlineStr">
        <is>
          <t>JB-RICE-2-RTD02</t>
        </is>
      </c>
      <c r="H4864" s="12" t="inlineStr">
        <is>
          <t>RICE engine-generator 2</t>
        </is>
      </c>
      <c r="I4864" s="12" t="inlineStr">
        <is>
          <t>Instrumentation</t>
        </is>
      </c>
      <c r="J4864" s="12" t="inlineStr">
        <is>
          <t>RTD cable, #18 shielded triads, PLTC</t>
        </is>
      </c>
      <c r="K4864" s="12" t="inlineStr">
        <is>
          <t>RTD|1 tri|18</t>
        </is>
      </c>
      <c r="L4864" s="12" t="inlineStr">
        <is>
          <t>1 tri</t>
        </is>
      </c>
      <c r="M4864" s="12" t="inlineStr">
        <is>
          <t>18</t>
        </is>
      </c>
      <c r="N4864" s="12" t="n">
        <v>2</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I-I-0262</t>
        </is>
      </c>
      <c r="B4865" s="12" t="inlineStr">
        <is>
          <t>I</t>
        </is>
      </c>
      <c r="C4865" s="12" t="inlineStr">
        <is>
          <t>Modular / portable power</t>
        </is>
      </c>
      <c r="D4865" s="12" t="inlineStr">
        <is>
          <t>Home run JB-RICE-2-RTD02 to the control / marshalling room</t>
        </is>
      </c>
      <c r="E4865" s="12" t="inlineStr"/>
      <c r="F4865" s="12" t="inlineStr">
        <is>
          <t>PCM: power control module</t>
        </is>
      </c>
      <c r="G4865" s="12" t="inlineStr">
        <is>
          <t>JB-RICE-2-RTD02</t>
        </is>
      </c>
      <c r="H4865" s="12" t="inlineStr">
        <is>
          <t>RICE engine-generator 2</t>
        </is>
      </c>
      <c r="I4865" s="12" t="inlineStr">
        <is>
          <t>Instrumentation</t>
        </is>
      </c>
      <c r="J4865" s="12" t="inlineStr">
        <is>
          <t>RTD cable, #18 shielded triads, PLTC</t>
        </is>
      </c>
      <c r="K4865" s="12" t="inlineStr">
        <is>
          <t>RTD|12 tri|18</t>
        </is>
      </c>
      <c r="L4865" s="12" t="inlineStr">
        <is>
          <t>12 tri</t>
        </is>
      </c>
      <c r="M4865" s="12" t="inlineStr">
        <is>
          <t>18</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I-I-0263</t>
        </is>
      </c>
      <c r="B4866" s="12" t="inlineStr">
        <is>
          <t>I</t>
        </is>
      </c>
      <c r="C4866" s="12" t="inlineStr">
        <is>
          <t>Modular / portable power</t>
        </is>
      </c>
      <c r="D4866" s="12" t="inlineStr">
        <is>
          <t>Analog instrument to JB JB-RICE-3-AI01: 20 x 1 pr (field cables)</t>
        </is>
      </c>
      <c r="E4866" s="12" t="inlineStr">
        <is>
          <t>RICE-3</t>
        </is>
      </c>
      <c r="F4866" s="12" t="inlineStr">
        <is>
          <t>RICE engine-generator 3</t>
        </is>
      </c>
      <c r="G4866" s="12" t="inlineStr">
        <is>
          <t>JB-RICE-3-AI01</t>
        </is>
      </c>
      <c r="H4866" s="12" t="inlineStr">
        <is>
          <t>RICE engine-generator 3</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I-I-0264</t>
        </is>
      </c>
      <c r="B4867" s="12" t="inlineStr">
        <is>
          <t>I</t>
        </is>
      </c>
      <c r="C4867" s="12" t="inlineStr">
        <is>
          <t>Modular / portable power</t>
        </is>
      </c>
      <c r="D4867" s="12" t="inlineStr">
        <is>
          <t>Home run JB-RICE-3-AI01 to the control / marshalling room</t>
        </is>
      </c>
      <c r="E4867" s="12" t="inlineStr"/>
      <c r="F4867" s="12" t="inlineStr">
        <is>
          <t>PCM: power control module</t>
        </is>
      </c>
      <c r="G4867" s="12" t="inlineStr">
        <is>
          <t>JB-RICE-3-AI01</t>
        </is>
      </c>
      <c r="H4867" s="12" t="inlineStr">
        <is>
          <t>RICE engine-generator 3</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Duct bank</t>
        </is>
      </c>
      <c r="T4867" s="15" t="n">
        <v>516</v>
      </c>
      <c r="U4867" s="15" t="n">
        <v>81</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I-I-0265</t>
        </is>
      </c>
      <c r="B4868" s="12" t="inlineStr">
        <is>
          <t>I</t>
        </is>
      </c>
      <c r="C4868" s="12" t="inlineStr">
        <is>
          <t>Modular / portable power</t>
        </is>
      </c>
      <c r="D4868" s="12" t="inlineStr">
        <is>
          <t>Analog instrument to JB JB-RICE-3-AI02: 20 x 1 pr (field cables)</t>
        </is>
      </c>
      <c r="E4868" s="12" t="inlineStr">
        <is>
          <t>RICE-3</t>
        </is>
      </c>
      <c r="F4868" s="12" t="inlineStr">
        <is>
          <t>RICE engine-generator 3</t>
        </is>
      </c>
      <c r="G4868" s="12" t="inlineStr">
        <is>
          <t>JB-RICE-3-AI02</t>
        </is>
      </c>
      <c r="H4868" s="12" t="inlineStr">
        <is>
          <t>RICE engine-generator 3</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I-I-0266</t>
        </is>
      </c>
      <c r="B4869" s="12" t="inlineStr">
        <is>
          <t>I</t>
        </is>
      </c>
      <c r="C4869" s="12" t="inlineStr">
        <is>
          <t>Modular / portable power</t>
        </is>
      </c>
      <c r="D4869" s="12" t="inlineStr">
        <is>
          <t>Home run JB-RICE-3-AI02 to the control / marshalling room</t>
        </is>
      </c>
      <c r="E4869" s="12" t="inlineStr"/>
      <c r="F4869" s="12" t="inlineStr">
        <is>
          <t>PCM: power control module</t>
        </is>
      </c>
      <c r="G4869" s="12" t="inlineStr">
        <is>
          <t>JB-RICE-3-AI02</t>
        </is>
      </c>
      <c r="H4869" s="12" t="inlineStr">
        <is>
          <t>RICE engine-generator 3</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Duct bank</t>
        </is>
      </c>
      <c r="T4869" s="15" t="n">
        <v>516</v>
      </c>
      <c r="U4869" s="15" t="n">
        <v>81</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I-I-0267</t>
        </is>
      </c>
      <c r="B4870" s="12" t="inlineStr">
        <is>
          <t>I</t>
        </is>
      </c>
      <c r="C4870" s="12" t="inlineStr">
        <is>
          <t>Modular / portable power</t>
        </is>
      </c>
      <c r="D4870" s="12" t="inlineStr">
        <is>
          <t>Analog instrument to JB JB-RICE-3-AI03: 20 x 1 pr (field cables)</t>
        </is>
      </c>
      <c r="E4870" s="12" t="inlineStr">
        <is>
          <t>RICE-3</t>
        </is>
      </c>
      <c r="F4870" s="12" t="inlineStr">
        <is>
          <t>RICE engine-generator 3</t>
        </is>
      </c>
      <c r="G4870" s="12" t="inlineStr">
        <is>
          <t>JB-RICE-3-AI03</t>
        </is>
      </c>
      <c r="H4870" s="12" t="inlineStr">
        <is>
          <t>RICE engine-generator 3</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I-I-0268</t>
        </is>
      </c>
      <c r="B4871" s="12" t="inlineStr">
        <is>
          <t>I</t>
        </is>
      </c>
      <c r="C4871" s="12" t="inlineStr">
        <is>
          <t>Modular / portable power</t>
        </is>
      </c>
      <c r="D4871" s="12" t="inlineStr">
        <is>
          <t>Home run JB-RICE-3-AI03 to the control / marshalling room</t>
        </is>
      </c>
      <c r="E4871" s="12" t="inlineStr"/>
      <c r="F4871" s="12" t="inlineStr">
        <is>
          <t>PCM: power control module</t>
        </is>
      </c>
      <c r="G4871" s="12" t="inlineStr">
        <is>
          <t>JB-RICE-3-AI03</t>
        </is>
      </c>
      <c r="H4871" s="12" t="inlineStr">
        <is>
          <t>RICE engine-generator 3</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81</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I-I-0269</t>
        </is>
      </c>
      <c r="B4872" s="12" t="inlineStr">
        <is>
          <t>I</t>
        </is>
      </c>
      <c r="C4872" s="12" t="inlineStr">
        <is>
          <t>Modular / portable power</t>
        </is>
      </c>
      <c r="D4872" s="12" t="inlineStr">
        <is>
          <t>Analog instrument to JB JB-RICE-3-AI04: 20 x 1 pr (field cables)</t>
        </is>
      </c>
      <c r="E4872" s="12" t="inlineStr">
        <is>
          <t>RICE-3</t>
        </is>
      </c>
      <c r="F4872" s="12" t="inlineStr">
        <is>
          <t>RICE engine-generator 3</t>
        </is>
      </c>
      <c r="G4872" s="12" t="inlineStr">
        <is>
          <t>JB-RICE-3-AI04</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I-I-0270</t>
        </is>
      </c>
      <c r="B4873" s="12" t="inlineStr">
        <is>
          <t>I</t>
        </is>
      </c>
      <c r="C4873" s="12" t="inlineStr">
        <is>
          <t>Modular / portable power</t>
        </is>
      </c>
      <c r="D4873" s="12" t="inlineStr">
        <is>
          <t>Home run JB-RICE-3-AI04 to the control / marshalling room</t>
        </is>
      </c>
      <c r="E4873" s="12" t="inlineStr"/>
      <c r="F4873" s="12" t="inlineStr">
        <is>
          <t>PCM: power control module</t>
        </is>
      </c>
      <c r="G4873" s="12" t="inlineStr">
        <is>
          <t>JB-RICE-3-AI04</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I-I-0271</t>
        </is>
      </c>
      <c r="B4874" s="12" t="inlineStr">
        <is>
          <t>I</t>
        </is>
      </c>
      <c r="C4874" s="12" t="inlineStr">
        <is>
          <t>Modular / portable power</t>
        </is>
      </c>
      <c r="D4874" s="12" t="inlineStr">
        <is>
          <t>Discrete device to JB JB-RICE-3-DI01: 20 x 1 pr (field cables)</t>
        </is>
      </c>
      <c r="E4874" s="12" t="inlineStr">
        <is>
          <t>RICE-3</t>
        </is>
      </c>
      <c r="F4874" s="12" t="inlineStr">
        <is>
          <t>RICE engine-generator 3</t>
        </is>
      </c>
      <c r="G4874" s="12" t="inlineStr">
        <is>
          <t>JB-RICE-3-DI01</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I-I-0272</t>
        </is>
      </c>
      <c r="B4875" s="12" t="inlineStr">
        <is>
          <t>I</t>
        </is>
      </c>
      <c r="C4875" s="12" t="inlineStr">
        <is>
          <t>Modular / portable power</t>
        </is>
      </c>
      <c r="D4875" s="12" t="inlineStr">
        <is>
          <t>Home run JB-RICE-3-DI01 to the control / marshalling room</t>
        </is>
      </c>
      <c r="E4875" s="12" t="inlineStr"/>
      <c r="F4875" s="12" t="inlineStr">
        <is>
          <t>PCM: power control module</t>
        </is>
      </c>
      <c r="G4875" s="12" t="inlineStr">
        <is>
          <t>JB-RICE-3-DI01</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I-I-0273</t>
        </is>
      </c>
      <c r="B4876" s="12" t="inlineStr">
        <is>
          <t>I</t>
        </is>
      </c>
      <c r="C4876" s="12" t="inlineStr">
        <is>
          <t>Modular / portable power</t>
        </is>
      </c>
      <c r="D4876" s="12" t="inlineStr">
        <is>
          <t>Discrete device to JB JB-RICE-3-DI02: 20 x 1 pr (field cables)</t>
        </is>
      </c>
      <c r="E4876" s="12" t="inlineStr">
        <is>
          <t>RICE-3</t>
        </is>
      </c>
      <c r="F4876" s="12" t="inlineStr">
        <is>
          <t>RICE engine-generator 3</t>
        </is>
      </c>
      <c r="G4876" s="12" t="inlineStr">
        <is>
          <t>JB-RICE-3-DI02</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I-I-0274</t>
        </is>
      </c>
      <c r="B4877" s="12" t="inlineStr">
        <is>
          <t>I</t>
        </is>
      </c>
      <c r="C4877" s="12" t="inlineStr">
        <is>
          <t>Modular / portable power</t>
        </is>
      </c>
      <c r="D4877" s="12" t="inlineStr">
        <is>
          <t>Home run JB-RICE-3-DI02 to the control / marshalling room</t>
        </is>
      </c>
      <c r="E4877" s="12" t="inlineStr"/>
      <c r="F4877" s="12" t="inlineStr">
        <is>
          <t>PCM: power control module</t>
        </is>
      </c>
      <c r="G4877" s="12" t="inlineStr">
        <is>
          <t>JB-RICE-3-DI02</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I-I-0275</t>
        </is>
      </c>
      <c r="B4878" s="12" t="inlineStr">
        <is>
          <t>I</t>
        </is>
      </c>
      <c r="C4878" s="12" t="inlineStr">
        <is>
          <t>Modular / portable power</t>
        </is>
      </c>
      <c r="D4878" s="12" t="inlineStr">
        <is>
          <t>Discrete device to JB JB-RICE-3-DI03: 20 x 1 pr (field cables)</t>
        </is>
      </c>
      <c r="E4878" s="12" t="inlineStr">
        <is>
          <t>RICE-3</t>
        </is>
      </c>
      <c r="F4878" s="12" t="inlineStr">
        <is>
          <t>RICE engine-generator 3</t>
        </is>
      </c>
      <c r="G4878" s="12" t="inlineStr">
        <is>
          <t>JB-RICE-3-DI03</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I-I-0276</t>
        </is>
      </c>
      <c r="B4879" s="12" t="inlineStr">
        <is>
          <t>I</t>
        </is>
      </c>
      <c r="C4879" s="12" t="inlineStr">
        <is>
          <t>Modular / portable power</t>
        </is>
      </c>
      <c r="D4879" s="12" t="inlineStr">
        <is>
          <t>Home run JB-RICE-3-DI03 to the control / marshalling room</t>
        </is>
      </c>
      <c r="E4879" s="12" t="inlineStr"/>
      <c r="F4879" s="12" t="inlineStr">
        <is>
          <t>PCM: power control module</t>
        </is>
      </c>
      <c r="G4879" s="12" t="inlineStr">
        <is>
          <t>JB-RICE-3-DI03</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I-I-0277</t>
        </is>
      </c>
      <c r="B4880" s="12" t="inlineStr">
        <is>
          <t>I</t>
        </is>
      </c>
      <c r="C4880" s="12" t="inlineStr">
        <is>
          <t>Modular / portable power</t>
        </is>
      </c>
      <c r="D4880" s="12" t="inlineStr">
        <is>
          <t>Thermocouple to TC JB JB-RICE-3-TC01: 20 x 1 pr (field cables)</t>
        </is>
      </c>
      <c r="E4880" s="12" t="inlineStr">
        <is>
          <t>RICE-3</t>
        </is>
      </c>
      <c r="F4880" s="12" t="inlineStr">
        <is>
          <t>RICE engine-generator 3</t>
        </is>
      </c>
      <c r="G4880" s="12" t="inlineStr">
        <is>
          <t>JB-RICE-3-TC01</t>
        </is>
      </c>
      <c r="H4880" s="12" t="inlineStr">
        <is>
          <t>RICE engine-generator 3</t>
        </is>
      </c>
      <c r="I4880" s="12" t="inlineStr">
        <is>
          <t>Instrumentation</t>
        </is>
      </c>
      <c r="J4880" s="12" t="inlineStr">
        <is>
          <t>Thermocouple extension KX, #16 shielded pairs, PLTC</t>
        </is>
      </c>
      <c r="K4880" s="12" t="inlineStr">
        <is>
          <t>TCX|1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I-I-0278</t>
        </is>
      </c>
      <c r="B4881" s="12" t="inlineStr">
        <is>
          <t>I</t>
        </is>
      </c>
      <c r="C4881" s="12" t="inlineStr">
        <is>
          <t>Modular / portable power</t>
        </is>
      </c>
      <c r="D4881" s="12" t="inlineStr">
        <is>
          <t>Home run JB-RICE-3-TC01 to the control / marshalling room</t>
        </is>
      </c>
      <c r="E4881" s="12" t="inlineStr"/>
      <c r="F4881" s="12" t="inlineStr">
        <is>
          <t>PCM: power control module</t>
        </is>
      </c>
      <c r="G4881" s="12" t="inlineStr">
        <is>
          <t>JB-RICE-3-TC01</t>
        </is>
      </c>
      <c r="H4881" s="12" t="inlineStr">
        <is>
          <t>RICE engine-generator 3</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I-I-0279</t>
        </is>
      </c>
      <c r="B4882" s="12" t="inlineStr">
        <is>
          <t>I</t>
        </is>
      </c>
      <c r="C4882" s="12" t="inlineStr">
        <is>
          <t>Modular / portable power</t>
        </is>
      </c>
      <c r="D4882" s="12" t="inlineStr">
        <is>
          <t>Thermocouple to TC JB JB-RICE-3-TC02: 10 x 1 pr (field cables)</t>
        </is>
      </c>
      <c r="E4882" s="12" t="inlineStr">
        <is>
          <t>RICE-3</t>
        </is>
      </c>
      <c r="F4882" s="12" t="inlineStr">
        <is>
          <t>RICE engine-generator 3</t>
        </is>
      </c>
      <c r="G4882" s="12" t="inlineStr">
        <is>
          <t>JB-RICE-3-TC02</t>
        </is>
      </c>
      <c r="H4882" s="12" t="inlineStr">
        <is>
          <t>RICE engine-generator 3</t>
        </is>
      </c>
      <c r="I4882" s="12" t="inlineStr">
        <is>
          <t>Instrumentation</t>
        </is>
      </c>
      <c r="J4882" s="12" t="inlineStr">
        <is>
          <t>Thermocouple extension KX, #16 shielded pairs, PLTC</t>
        </is>
      </c>
      <c r="K4882" s="12" t="inlineStr">
        <is>
          <t>TCX|1 pr|16</t>
        </is>
      </c>
      <c r="L4882" s="12" t="inlineStr">
        <is>
          <t>1 pr</t>
        </is>
      </c>
      <c r="M4882" s="12" t="inlineStr">
        <is>
          <t>16</t>
        </is>
      </c>
      <c r="N4882" s="12" t="n">
        <v>10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I-I-0280</t>
        </is>
      </c>
      <c r="B4883" s="12" t="inlineStr">
        <is>
          <t>I</t>
        </is>
      </c>
      <c r="C4883" s="12" t="inlineStr">
        <is>
          <t>Modular / portable power</t>
        </is>
      </c>
      <c r="D4883" s="12" t="inlineStr">
        <is>
          <t>Home run JB-RICE-3-TC02 to the control / marshalling room</t>
        </is>
      </c>
      <c r="E4883" s="12" t="inlineStr"/>
      <c r="F4883" s="12" t="inlineStr">
        <is>
          <t>PCM: power control module</t>
        </is>
      </c>
      <c r="G4883" s="12" t="inlineStr">
        <is>
          <t>JB-RICE-3-TC02</t>
        </is>
      </c>
      <c r="H4883" s="12" t="inlineStr">
        <is>
          <t>RICE engine-generator 3</t>
        </is>
      </c>
      <c r="I4883" s="12" t="inlineStr">
        <is>
          <t>Instrumentation</t>
        </is>
      </c>
      <c r="J4883" s="12" t="inlineStr">
        <is>
          <t>Thermocouple extension KX, #16 shielded pairs, PLTC</t>
        </is>
      </c>
      <c r="K4883" s="12" t="inlineStr">
        <is>
          <t>TCX|24 pr|16</t>
        </is>
      </c>
      <c r="L4883" s="12" t="inlineStr">
        <is>
          <t>24 pr</t>
        </is>
      </c>
      <c r="M4883" s="12" t="inlineStr">
        <is>
          <t>16</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I-I-0281</t>
        </is>
      </c>
      <c r="B4884" s="12" t="inlineStr">
        <is>
          <t>I</t>
        </is>
      </c>
      <c r="C4884" s="12" t="inlineStr">
        <is>
          <t>Modular / portable power</t>
        </is>
      </c>
      <c r="D4884" s="12" t="inlineStr">
        <is>
          <t>RTD to JB JB-RICE-3-RTD01: 10 x 1 tri (field cables)</t>
        </is>
      </c>
      <c r="E4884" s="12" t="inlineStr">
        <is>
          <t>RICE-3</t>
        </is>
      </c>
      <c r="F4884" s="12" t="inlineStr">
        <is>
          <t>RICE engine-generator 3</t>
        </is>
      </c>
      <c r="G4884" s="12" t="inlineStr">
        <is>
          <t>JB-RICE-3-RTD01</t>
        </is>
      </c>
      <c r="H4884" s="12" t="inlineStr">
        <is>
          <t>RICE engine-generator 3</t>
        </is>
      </c>
      <c r="I4884" s="12" t="inlineStr">
        <is>
          <t>Instrumentation</t>
        </is>
      </c>
      <c r="J4884" s="12" t="inlineStr">
        <is>
          <t>RTD cable, #18 shielded triads, PLTC</t>
        </is>
      </c>
      <c r="K4884" s="12" t="inlineStr">
        <is>
          <t>RTD|1 tri|18</t>
        </is>
      </c>
      <c r="L4884" s="12" t="inlineStr">
        <is>
          <t>1 tri</t>
        </is>
      </c>
      <c r="M4884" s="12" t="inlineStr">
        <is>
          <t>18</t>
        </is>
      </c>
      <c r="N4884" s="12" t="n">
        <v>10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I-I-0282</t>
        </is>
      </c>
      <c r="B4885" s="12" t="inlineStr">
        <is>
          <t>I</t>
        </is>
      </c>
      <c r="C4885" s="12" t="inlineStr">
        <is>
          <t>Modular / portable power</t>
        </is>
      </c>
      <c r="D4885" s="12" t="inlineStr">
        <is>
          <t>Home run JB-RICE-3-RTD01 to the control / marshalling room</t>
        </is>
      </c>
      <c r="E4885" s="12" t="inlineStr"/>
      <c r="F4885" s="12" t="inlineStr">
        <is>
          <t>PCM: power control module</t>
        </is>
      </c>
      <c r="G4885" s="12" t="inlineStr">
        <is>
          <t>JB-RICE-3-RTD01</t>
        </is>
      </c>
      <c r="H4885" s="12" t="inlineStr">
        <is>
          <t>RICE engine-generator 3</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I-I-0283</t>
        </is>
      </c>
      <c r="B4886" s="12" t="inlineStr">
        <is>
          <t>I</t>
        </is>
      </c>
      <c r="C4886" s="12" t="inlineStr">
        <is>
          <t>Modular / portable power</t>
        </is>
      </c>
      <c r="D4886" s="12" t="inlineStr">
        <is>
          <t>RTD to JB JB-RICE-3-RTD02: 2 x 1 tri (field cables)</t>
        </is>
      </c>
      <c r="E4886" s="12" t="inlineStr">
        <is>
          <t>RICE-3</t>
        </is>
      </c>
      <c r="F4886" s="12" t="inlineStr">
        <is>
          <t>RICE engine-generator 3</t>
        </is>
      </c>
      <c r="G4886" s="12" t="inlineStr">
        <is>
          <t>JB-RICE-3-RTD02</t>
        </is>
      </c>
      <c r="H4886" s="12" t="inlineStr">
        <is>
          <t>RICE engine-generator 3</t>
        </is>
      </c>
      <c r="I4886" s="12" t="inlineStr">
        <is>
          <t>Instrumentation</t>
        </is>
      </c>
      <c r="J4886" s="12" t="inlineStr">
        <is>
          <t>RTD cable, #18 shielded triads, PLTC</t>
        </is>
      </c>
      <c r="K4886" s="12" t="inlineStr">
        <is>
          <t>RTD|1 tri|18</t>
        </is>
      </c>
      <c r="L4886" s="12" t="inlineStr">
        <is>
          <t>1 tri</t>
        </is>
      </c>
      <c r="M4886" s="12" t="inlineStr">
        <is>
          <t>18</t>
        </is>
      </c>
      <c r="N4886" s="12" t="n">
        <v>2</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I-I-0284</t>
        </is>
      </c>
      <c r="B4887" s="12" t="inlineStr">
        <is>
          <t>I</t>
        </is>
      </c>
      <c r="C4887" s="12" t="inlineStr">
        <is>
          <t>Modular / portable power</t>
        </is>
      </c>
      <c r="D4887" s="12" t="inlineStr">
        <is>
          <t>Home run JB-RICE-3-RTD02 to the control / marshalling room</t>
        </is>
      </c>
      <c r="E4887" s="12" t="inlineStr"/>
      <c r="F4887" s="12" t="inlineStr">
        <is>
          <t>PCM: power control module</t>
        </is>
      </c>
      <c r="G4887" s="12" t="inlineStr">
        <is>
          <t>JB-RICE-3-RTD02</t>
        </is>
      </c>
      <c r="H4887" s="12" t="inlineStr">
        <is>
          <t>RICE engine-generator 3</t>
        </is>
      </c>
      <c r="I4887" s="12" t="inlineStr">
        <is>
          <t>Instrumentation</t>
        </is>
      </c>
      <c r="J4887" s="12" t="inlineStr">
        <is>
          <t>RTD cable, #18 shielded triads, PLTC</t>
        </is>
      </c>
      <c r="K4887" s="12" t="inlineStr">
        <is>
          <t>RTD|12 tri|18</t>
        </is>
      </c>
      <c r="L4887" s="12" t="inlineStr">
        <is>
          <t>12 tri</t>
        </is>
      </c>
      <c r="M4887" s="12" t="inlineStr">
        <is>
          <t>18</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I-I-0285</t>
        </is>
      </c>
      <c r="B4888" s="12" t="inlineStr">
        <is>
          <t>I</t>
        </is>
      </c>
      <c r="C4888" s="12" t="inlineStr">
        <is>
          <t>Modular / portable power</t>
        </is>
      </c>
      <c r="D4888" s="12" t="inlineStr">
        <is>
          <t>Analog instrument to JB JB-RICE-4-AI01: 20 x 1 pr (field cables)</t>
        </is>
      </c>
      <c r="E4888" s="12" t="inlineStr">
        <is>
          <t>RICE-4</t>
        </is>
      </c>
      <c r="F4888" s="12" t="inlineStr">
        <is>
          <t>RICE engine-generator 4</t>
        </is>
      </c>
      <c r="G4888" s="12" t="inlineStr">
        <is>
          <t>JB-RICE-4-AI01</t>
        </is>
      </c>
      <c r="H4888" s="12" t="inlineStr">
        <is>
          <t>RICE engine-generator 4</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I-I-0286</t>
        </is>
      </c>
      <c r="B4889" s="12" t="inlineStr">
        <is>
          <t>I</t>
        </is>
      </c>
      <c r="C4889" s="12" t="inlineStr">
        <is>
          <t>Modular / portable power</t>
        </is>
      </c>
      <c r="D4889" s="12" t="inlineStr">
        <is>
          <t>Home run JB-RICE-4-AI01 to the control / marshalling room</t>
        </is>
      </c>
      <c r="E4889" s="12" t="inlineStr"/>
      <c r="F4889" s="12" t="inlineStr">
        <is>
          <t>PCM: power control module</t>
        </is>
      </c>
      <c r="G4889" s="12" t="inlineStr">
        <is>
          <t>JB-RICE-4-AI01</t>
        </is>
      </c>
      <c r="H4889" s="12" t="inlineStr">
        <is>
          <t>RICE engine-generator 4</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Duct bank</t>
        </is>
      </c>
      <c r="T4889" s="15" t="n">
        <v>516</v>
      </c>
      <c r="U4889" s="15" t="n">
        <v>53</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I-I-0287</t>
        </is>
      </c>
      <c r="B4890" s="12" t="inlineStr">
        <is>
          <t>I</t>
        </is>
      </c>
      <c r="C4890" s="12" t="inlineStr">
        <is>
          <t>Modular / portable power</t>
        </is>
      </c>
      <c r="D4890" s="12" t="inlineStr">
        <is>
          <t>Analog instrument to JB JB-RICE-4-AI02: 20 x 1 pr (field cables)</t>
        </is>
      </c>
      <c r="E4890" s="12" t="inlineStr">
        <is>
          <t>RICE-4</t>
        </is>
      </c>
      <c r="F4890" s="12" t="inlineStr">
        <is>
          <t>RICE engine-generator 4</t>
        </is>
      </c>
      <c r="G4890" s="12" t="inlineStr">
        <is>
          <t>JB-RICE-4-AI02</t>
        </is>
      </c>
      <c r="H4890" s="12" t="inlineStr">
        <is>
          <t>RICE engine-generator 4</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I-I-0288</t>
        </is>
      </c>
      <c r="B4891" s="12" t="inlineStr">
        <is>
          <t>I</t>
        </is>
      </c>
      <c r="C4891" s="12" t="inlineStr">
        <is>
          <t>Modular / portable power</t>
        </is>
      </c>
      <c r="D4891" s="12" t="inlineStr">
        <is>
          <t>Home run JB-RICE-4-AI02 to the control / marshalling room</t>
        </is>
      </c>
      <c r="E4891" s="12" t="inlineStr"/>
      <c r="F4891" s="12" t="inlineStr">
        <is>
          <t>PCM: power control module</t>
        </is>
      </c>
      <c r="G4891" s="12" t="inlineStr">
        <is>
          <t>JB-RICE-4-AI02</t>
        </is>
      </c>
      <c r="H4891" s="12" t="inlineStr">
        <is>
          <t>RICE engine-generator 4</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Duct bank</t>
        </is>
      </c>
      <c r="T4891" s="15" t="n">
        <v>516</v>
      </c>
      <c r="U4891" s="15" t="n">
        <v>53</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I-I-0289</t>
        </is>
      </c>
      <c r="B4892" s="12" t="inlineStr">
        <is>
          <t>I</t>
        </is>
      </c>
      <c r="C4892" s="12" t="inlineStr">
        <is>
          <t>Modular / portable power</t>
        </is>
      </c>
      <c r="D4892" s="12" t="inlineStr">
        <is>
          <t>Analog instrument to JB JB-RICE-4-AI03: 20 x 1 pr (field cables)</t>
        </is>
      </c>
      <c r="E4892" s="12" t="inlineStr">
        <is>
          <t>RICE-4</t>
        </is>
      </c>
      <c r="F4892" s="12" t="inlineStr">
        <is>
          <t>RICE engine-generator 4</t>
        </is>
      </c>
      <c r="G4892" s="12" t="inlineStr">
        <is>
          <t>JB-RICE-4-AI03</t>
        </is>
      </c>
      <c r="H4892" s="12" t="inlineStr">
        <is>
          <t>RICE engine-generator 4</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I-I-0290</t>
        </is>
      </c>
      <c r="B4893" s="12" t="inlineStr">
        <is>
          <t>I</t>
        </is>
      </c>
      <c r="C4893" s="12" t="inlineStr">
        <is>
          <t>Modular / portable power</t>
        </is>
      </c>
      <c r="D4893" s="12" t="inlineStr">
        <is>
          <t>Home run JB-RICE-4-AI03 to the control / marshalling room</t>
        </is>
      </c>
      <c r="E4893" s="12" t="inlineStr"/>
      <c r="F4893" s="12" t="inlineStr">
        <is>
          <t>PCM: power control module</t>
        </is>
      </c>
      <c r="G4893" s="12" t="inlineStr">
        <is>
          <t>JB-RICE-4-AI03</t>
        </is>
      </c>
      <c r="H4893" s="12" t="inlineStr">
        <is>
          <t>RICE engine-generator 4</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516</v>
      </c>
      <c r="U4893" s="15" t="n">
        <v>53</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I-I-0291</t>
        </is>
      </c>
      <c r="B4894" s="12" t="inlineStr">
        <is>
          <t>I</t>
        </is>
      </c>
      <c r="C4894" s="12" t="inlineStr">
        <is>
          <t>Modular / portable power</t>
        </is>
      </c>
      <c r="D4894" s="12" t="inlineStr">
        <is>
          <t>Analog instrument to JB JB-RICE-4-AI04: 20 x 1 pr (field cables)</t>
        </is>
      </c>
      <c r="E4894" s="12" t="inlineStr">
        <is>
          <t>RICE-4</t>
        </is>
      </c>
      <c r="F4894" s="12" t="inlineStr">
        <is>
          <t>RICE engine-generator 4</t>
        </is>
      </c>
      <c r="G4894" s="12" t="inlineStr">
        <is>
          <t>JB-RICE-4-AI04</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I-I-0292</t>
        </is>
      </c>
      <c r="B4895" s="12" t="inlineStr">
        <is>
          <t>I</t>
        </is>
      </c>
      <c r="C4895" s="12" t="inlineStr">
        <is>
          <t>Modular / portable power</t>
        </is>
      </c>
      <c r="D4895" s="12" t="inlineStr">
        <is>
          <t>Home run JB-RICE-4-AI04 to the control / marshalling room</t>
        </is>
      </c>
      <c r="E4895" s="12" t="inlineStr"/>
      <c r="F4895" s="12" t="inlineStr">
        <is>
          <t>PCM: power control module</t>
        </is>
      </c>
      <c r="G4895" s="12" t="inlineStr">
        <is>
          <t>JB-RICE-4-AI04</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I-I-0293</t>
        </is>
      </c>
      <c r="B4896" s="12" t="inlineStr">
        <is>
          <t>I</t>
        </is>
      </c>
      <c r="C4896" s="12" t="inlineStr">
        <is>
          <t>Modular / portable power</t>
        </is>
      </c>
      <c r="D4896" s="12" t="inlineStr">
        <is>
          <t>Discrete device to JB JB-RICE-4-DI01: 20 x 1 pr (field cables)</t>
        </is>
      </c>
      <c r="E4896" s="12" t="inlineStr">
        <is>
          <t>RICE-4</t>
        </is>
      </c>
      <c r="F4896" s="12" t="inlineStr">
        <is>
          <t>RICE engine-generator 4</t>
        </is>
      </c>
      <c r="G4896" s="12" t="inlineStr">
        <is>
          <t>JB-RICE-4-DI01</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I-I-0294</t>
        </is>
      </c>
      <c r="B4897" s="12" t="inlineStr">
        <is>
          <t>I</t>
        </is>
      </c>
      <c r="C4897" s="12" t="inlineStr">
        <is>
          <t>Modular / portable power</t>
        </is>
      </c>
      <c r="D4897" s="12" t="inlineStr">
        <is>
          <t>Home run JB-RICE-4-DI01 to the control / marshalling room</t>
        </is>
      </c>
      <c r="E4897" s="12" t="inlineStr"/>
      <c r="F4897" s="12" t="inlineStr">
        <is>
          <t>PCM: power control module</t>
        </is>
      </c>
      <c r="G4897" s="12" t="inlineStr">
        <is>
          <t>JB-RICE-4-DI01</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I-I-0295</t>
        </is>
      </c>
      <c r="B4898" s="12" t="inlineStr">
        <is>
          <t>I</t>
        </is>
      </c>
      <c r="C4898" s="12" t="inlineStr">
        <is>
          <t>Modular / portable power</t>
        </is>
      </c>
      <c r="D4898" s="12" t="inlineStr">
        <is>
          <t>Discrete device to JB JB-RICE-4-DI02: 20 x 1 pr (field cables)</t>
        </is>
      </c>
      <c r="E4898" s="12" t="inlineStr">
        <is>
          <t>RICE-4</t>
        </is>
      </c>
      <c r="F4898" s="12" t="inlineStr">
        <is>
          <t>RICE engine-generator 4</t>
        </is>
      </c>
      <c r="G4898" s="12" t="inlineStr">
        <is>
          <t>JB-RICE-4-DI02</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I-I-0296</t>
        </is>
      </c>
      <c r="B4899" s="12" t="inlineStr">
        <is>
          <t>I</t>
        </is>
      </c>
      <c r="C4899" s="12" t="inlineStr">
        <is>
          <t>Modular / portable power</t>
        </is>
      </c>
      <c r="D4899" s="12" t="inlineStr">
        <is>
          <t>Home run JB-RICE-4-DI02 to the control / marshalling room</t>
        </is>
      </c>
      <c r="E4899" s="12" t="inlineStr"/>
      <c r="F4899" s="12" t="inlineStr">
        <is>
          <t>PCM: power control module</t>
        </is>
      </c>
      <c r="G4899" s="12" t="inlineStr">
        <is>
          <t>JB-RICE-4-DI02</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I-I-0297</t>
        </is>
      </c>
      <c r="B4900" s="12" t="inlineStr">
        <is>
          <t>I</t>
        </is>
      </c>
      <c r="C4900" s="12" t="inlineStr">
        <is>
          <t>Modular / portable power</t>
        </is>
      </c>
      <c r="D4900" s="12" t="inlineStr">
        <is>
          <t>Discrete device to JB JB-RICE-4-DI03: 20 x 1 pr (field cables)</t>
        </is>
      </c>
      <c r="E4900" s="12" t="inlineStr">
        <is>
          <t>RICE-4</t>
        </is>
      </c>
      <c r="F4900" s="12" t="inlineStr">
        <is>
          <t>RICE engine-generator 4</t>
        </is>
      </c>
      <c r="G4900" s="12" t="inlineStr">
        <is>
          <t>JB-RICE-4-DI03</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I-I-0298</t>
        </is>
      </c>
      <c r="B4901" s="12" t="inlineStr">
        <is>
          <t>I</t>
        </is>
      </c>
      <c r="C4901" s="12" t="inlineStr">
        <is>
          <t>Modular / portable power</t>
        </is>
      </c>
      <c r="D4901" s="12" t="inlineStr">
        <is>
          <t>Home run JB-RICE-4-DI03 to the control / marshalling room</t>
        </is>
      </c>
      <c r="E4901" s="12" t="inlineStr"/>
      <c r="F4901" s="12" t="inlineStr">
        <is>
          <t>PCM: power control module</t>
        </is>
      </c>
      <c r="G4901" s="12" t="inlineStr">
        <is>
          <t>JB-RICE-4-DI03</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I-I-0299</t>
        </is>
      </c>
      <c r="B4902" s="12" t="inlineStr">
        <is>
          <t>I</t>
        </is>
      </c>
      <c r="C4902" s="12" t="inlineStr">
        <is>
          <t>Modular / portable power</t>
        </is>
      </c>
      <c r="D4902" s="12" t="inlineStr">
        <is>
          <t>Thermocouple to TC JB JB-RICE-4-TC01: 20 x 1 pr (field cables)</t>
        </is>
      </c>
      <c r="E4902" s="12" t="inlineStr">
        <is>
          <t>RICE-4</t>
        </is>
      </c>
      <c r="F4902" s="12" t="inlineStr">
        <is>
          <t>RICE engine-generator 4</t>
        </is>
      </c>
      <c r="G4902" s="12" t="inlineStr">
        <is>
          <t>JB-RICE-4-TC01</t>
        </is>
      </c>
      <c r="H4902" s="12" t="inlineStr">
        <is>
          <t>RICE engine-generator 4</t>
        </is>
      </c>
      <c r="I4902" s="12" t="inlineStr">
        <is>
          <t>Instrumentation</t>
        </is>
      </c>
      <c r="J4902" s="12" t="inlineStr">
        <is>
          <t>Thermocouple extension KX, #16 shielded pairs, PLTC</t>
        </is>
      </c>
      <c r="K4902" s="12" t="inlineStr">
        <is>
          <t>TCX|1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I-I-0300</t>
        </is>
      </c>
      <c r="B4903" s="12" t="inlineStr">
        <is>
          <t>I</t>
        </is>
      </c>
      <c r="C4903" s="12" t="inlineStr">
        <is>
          <t>Modular / portable power</t>
        </is>
      </c>
      <c r="D4903" s="12" t="inlineStr">
        <is>
          <t>Home run JB-RICE-4-TC01 to the control / marshalling room</t>
        </is>
      </c>
      <c r="E4903" s="12" t="inlineStr"/>
      <c r="F4903" s="12" t="inlineStr">
        <is>
          <t>PCM: power control module</t>
        </is>
      </c>
      <c r="G4903" s="12" t="inlineStr">
        <is>
          <t>JB-RICE-4-TC01</t>
        </is>
      </c>
      <c r="H4903" s="12" t="inlineStr">
        <is>
          <t>RICE engine-generator 4</t>
        </is>
      </c>
      <c r="I4903" s="12" t="inlineStr">
        <is>
          <t>Instrumentation</t>
        </is>
      </c>
      <c r="J4903" s="12" t="inlineStr">
        <is>
          <t>Thermocouple extension KX, #16 shielded pairs, PLTC</t>
        </is>
      </c>
      <c r="K4903" s="12" t="inlineStr">
        <is>
          <t>TCX|24 pr|16</t>
        </is>
      </c>
      <c r="L4903" s="12" t="inlineStr">
        <is>
          <t>24 pr</t>
        </is>
      </c>
      <c r="M4903" s="12" t="inlineStr">
        <is>
          <t>16</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I-I-0301</t>
        </is>
      </c>
      <c r="B4904" s="12" t="inlineStr">
        <is>
          <t>I</t>
        </is>
      </c>
      <c r="C4904" s="12" t="inlineStr">
        <is>
          <t>Modular / portable power</t>
        </is>
      </c>
      <c r="D4904" s="12" t="inlineStr">
        <is>
          <t>Thermocouple to TC JB JB-RICE-4-TC02: 10 x 1 pr (field cables)</t>
        </is>
      </c>
      <c r="E4904" s="12" t="inlineStr">
        <is>
          <t>RICE-4</t>
        </is>
      </c>
      <c r="F4904" s="12" t="inlineStr">
        <is>
          <t>RICE engine-generator 4</t>
        </is>
      </c>
      <c r="G4904" s="12" t="inlineStr">
        <is>
          <t>JB-RICE-4-TC02</t>
        </is>
      </c>
      <c r="H4904" s="12" t="inlineStr">
        <is>
          <t>RICE engine-generator 4</t>
        </is>
      </c>
      <c r="I4904" s="12" t="inlineStr">
        <is>
          <t>Instrumentation</t>
        </is>
      </c>
      <c r="J4904" s="12" t="inlineStr">
        <is>
          <t>Thermocouple extension KX, #16 shielded pairs, PLTC</t>
        </is>
      </c>
      <c r="K4904" s="12" t="inlineStr">
        <is>
          <t>TCX|1 pr|16</t>
        </is>
      </c>
      <c r="L4904" s="12" t="inlineStr">
        <is>
          <t>1 pr</t>
        </is>
      </c>
      <c r="M4904" s="12" t="inlineStr">
        <is>
          <t>16</t>
        </is>
      </c>
      <c r="N4904" s="12" t="n">
        <v>10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I-I-0302</t>
        </is>
      </c>
      <c r="B4905" s="12" t="inlineStr">
        <is>
          <t>I</t>
        </is>
      </c>
      <c r="C4905" s="12" t="inlineStr">
        <is>
          <t>Modular / portable power</t>
        </is>
      </c>
      <c r="D4905" s="12" t="inlineStr">
        <is>
          <t>Home run JB-RICE-4-TC02 to the control / marshalling room</t>
        </is>
      </c>
      <c r="E4905" s="12" t="inlineStr"/>
      <c r="F4905" s="12" t="inlineStr">
        <is>
          <t>PCM: power control module</t>
        </is>
      </c>
      <c r="G4905" s="12" t="inlineStr">
        <is>
          <t>JB-RICE-4-TC02</t>
        </is>
      </c>
      <c r="H4905" s="12" t="inlineStr">
        <is>
          <t>RICE engine-generator 4</t>
        </is>
      </c>
      <c r="I4905" s="12" t="inlineStr">
        <is>
          <t>Instrumentation</t>
        </is>
      </c>
      <c r="J4905" s="12" t="inlineStr">
        <is>
          <t>Thermocouple extension KX, #16 shielded pairs, PLTC</t>
        </is>
      </c>
      <c r="K4905" s="12" t="inlineStr">
        <is>
          <t>TCX|24 pr|16</t>
        </is>
      </c>
      <c r="L4905" s="12" t="inlineStr">
        <is>
          <t>24 pr</t>
        </is>
      </c>
      <c r="M4905" s="12" t="inlineStr">
        <is>
          <t>16</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I-I-0303</t>
        </is>
      </c>
      <c r="B4906" s="12" t="inlineStr">
        <is>
          <t>I</t>
        </is>
      </c>
      <c r="C4906" s="12" t="inlineStr">
        <is>
          <t>Modular / portable power</t>
        </is>
      </c>
      <c r="D4906" s="12" t="inlineStr">
        <is>
          <t>RTD to JB JB-RICE-4-RTD01: 10 x 1 tri (field cables)</t>
        </is>
      </c>
      <c r="E4906" s="12" t="inlineStr">
        <is>
          <t>RICE-4</t>
        </is>
      </c>
      <c r="F4906" s="12" t="inlineStr">
        <is>
          <t>RICE engine-generator 4</t>
        </is>
      </c>
      <c r="G4906" s="12" t="inlineStr">
        <is>
          <t>JB-RICE-4-RTD01</t>
        </is>
      </c>
      <c r="H4906" s="12" t="inlineStr">
        <is>
          <t>RICE engine-generator 4</t>
        </is>
      </c>
      <c r="I4906" s="12" t="inlineStr">
        <is>
          <t>Instrumentation</t>
        </is>
      </c>
      <c r="J4906" s="12" t="inlineStr">
        <is>
          <t>RTD cable, #18 shielded triads, PLTC</t>
        </is>
      </c>
      <c r="K4906" s="12" t="inlineStr">
        <is>
          <t>RTD|1 tri|18</t>
        </is>
      </c>
      <c r="L4906" s="12" t="inlineStr">
        <is>
          <t>1 tri</t>
        </is>
      </c>
      <c r="M4906" s="12" t="inlineStr">
        <is>
          <t>18</t>
        </is>
      </c>
      <c r="N4906" s="12" t="n">
        <v>10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I-I-0304</t>
        </is>
      </c>
      <c r="B4907" s="12" t="inlineStr">
        <is>
          <t>I</t>
        </is>
      </c>
      <c r="C4907" s="12" t="inlineStr">
        <is>
          <t>Modular / portable power</t>
        </is>
      </c>
      <c r="D4907" s="12" t="inlineStr">
        <is>
          <t>Home run JB-RICE-4-RTD01 to the control / marshalling room</t>
        </is>
      </c>
      <c r="E4907" s="12" t="inlineStr"/>
      <c r="F4907" s="12" t="inlineStr">
        <is>
          <t>PCM: power control module</t>
        </is>
      </c>
      <c r="G4907" s="12" t="inlineStr">
        <is>
          <t>JB-RICE-4-RTD01</t>
        </is>
      </c>
      <c r="H4907" s="12" t="inlineStr">
        <is>
          <t>RICE engine-generator 4</t>
        </is>
      </c>
      <c r="I4907" s="12" t="inlineStr">
        <is>
          <t>Instrumentation</t>
        </is>
      </c>
      <c r="J4907" s="12" t="inlineStr">
        <is>
          <t>RTD cable, #18 shielded triads, PLTC</t>
        </is>
      </c>
      <c r="K4907" s="12" t="inlineStr">
        <is>
          <t>RTD|12 tri|18</t>
        </is>
      </c>
      <c r="L4907" s="12" t="inlineStr">
        <is>
          <t>12 tri</t>
        </is>
      </c>
      <c r="M4907" s="12" t="inlineStr">
        <is>
          <t>18</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I-I-0305</t>
        </is>
      </c>
      <c r="B4908" s="12" t="inlineStr">
        <is>
          <t>I</t>
        </is>
      </c>
      <c r="C4908" s="12" t="inlineStr">
        <is>
          <t>Modular / portable power</t>
        </is>
      </c>
      <c r="D4908" s="12" t="inlineStr">
        <is>
          <t>RTD to JB JB-RICE-4-RTD02: 2 x 1 tri (field cables)</t>
        </is>
      </c>
      <c r="E4908" s="12" t="inlineStr">
        <is>
          <t>RICE-4</t>
        </is>
      </c>
      <c r="F4908" s="12" t="inlineStr">
        <is>
          <t>RICE engine-generator 4</t>
        </is>
      </c>
      <c r="G4908" s="12" t="inlineStr">
        <is>
          <t>JB-RICE-4-RTD02</t>
        </is>
      </c>
      <c r="H4908" s="12" t="inlineStr">
        <is>
          <t>RICE engine-generator 4</t>
        </is>
      </c>
      <c r="I4908" s="12" t="inlineStr">
        <is>
          <t>Instrumentation</t>
        </is>
      </c>
      <c r="J4908" s="12" t="inlineStr">
        <is>
          <t>RTD cable, #18 shielded triads, PLTC</t>
        </is>
      </c>
      <c r="K4908" s="12" t="inlineStr">
        <is>
          <t>RTD|1 tri|18</t>
        </is>
      </c>
      <c r="L4908" s="12" t="inlineStr">
        <is>
          <t>1 tri</t>
        </is>
      </c>
      <c r="M4908" s="12" t="inlineStr">
        <is>
          <t>18</t>
        </is>
      </c>
      <c r="N4908" s="12" t="n">
        <v>2</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I-I-0306</t>
        </is>
      </c>
      <c r="B4909" s="12" t="inlineStr">
        <is>
          <t>I</t>
        </is>
      </c>
      <c r="C4909" s="12" t="inlineStr">
        <is>
          <t>Modular / portable power</t>
        </is>
      </c>
      <c r="D4909" s="12" t="inlineStr">
        <is>
          <t>Home run JB-RICE-4-RTD02 to the control / marshalling room</t>
        </is>
      </c>
      <c r="E4909" s="12" t="inlineStr"/>
      <c r="F4909" s="12" t="inlineStr">
        <is>
          <t>PCM: power control module</t>
        </is>
      </c>
      <c r="G4909" s="12" t="inlineStr">
        <is>
          <t>JB-RICE-4-RTD02</t>
        </is>
      </c>
      <c r="H4909" s="12" t="inlineStr">
        <is>
          <t>RICE engine-generator 4</t>
        </is>
      </c>
      <c r="I4909" s="12" t="inlineStr">
        <is>
          <t>Instrumentation</t>
        </is>
      </c>
      <c r="J4909" s="12" t="inlineStr">
        <is>
          <t>RTD cable, #18 shielded triads, PLTC</t>
        </is>
      </c>
      <c r="K4909" s="12" t="inlineStr">
        <is>
          <t>RTD|12 tri|18</t>
        </is>
      </c>
      <c r="L4909" s="12" t="inlineStr">
        <is>
          <t>12 tri</t>
        </is>
      </c>
      <c r="M4909" s="12" t="inlineStr">
        <is>
          <t>18</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I-I-0307</t>
        </is>
      </c>
      <c r="B4910" s="12" t="inlineStr">
        <is>
          <t>I</t>
        </is>
      </c>
      <c r="C4910" s="12" t="inlineStr">
        <is>
          <t>Modular / portable power</t>
        </is>
      </c>
      <c r="D4910" s="12" t="inlineStr">
        <is>
          <t>Analog instrument to JB JB-RICE-5-AI01: 20 x 1 pr (field cables)</t>
        </is>
      </c>
      <c r="E4910" s="12" t="inlineStr">
        <is>
          <t>RICE-5</t>
        </is>
      </c>
      <c r="F4910" s="12" t="inlineStr">
        <is>
          <t>RICE engine-generator 5</t>
        </is>
      </c>
      <c r="G4910" s="12" t="inlineStr">
        <is>
          <t>JB-RICE-5-AI01</t>
        </is>
      </c>
      <c r="H4910" s="12" t="inlineStr">
        <is>
          <t>RICE engine-generator 5</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20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I-I-0308</t>
        </is>
      </c>
      <c r="B4911" s="12" t="inlineStr">
        <is>
          <t>I</t>
        </is>
      </c>
      <c r="C4911" s="12" t="inlineStr">
        <is>
          <t>Modular / portable power</t>
        </is>
      </c>
      <c r="D4911" s="12" t="inlineStr">
        <is>
          <t>Home run JB-RICE-5-AI01 to the control / marshalling room</t>
        </is>
      </c>
      <c r="E4911" s="12" t="inlineStr"/>
      <c r="F4911" s="12" t="inlineStr">
        <is>
          <t>PCM: power control module</t>
        </is>
      </c>
      <c r="G4911" s="12" t="inlineStr">
        <is>
          <t>JB-RICE-5-AI01</t>
        </is>
      </c>
      <c r="H4911" s="12" t="inlineStr">
        <is>
          <t>RICE engine-generator 5</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Duct bank</t>
        </is>
      </c>
      <c r="T4911" s="15" t="n">
        <v>57</v>
      </c>
      <c r="U4911" s="15" t="n">
        <v>181</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I-I-0309</t>
        </is>
      </c>
      <c r="B4912" s="12" t="inlineStr">
        <is>
          <t>I</t>
        </is>
      </c>
      <c r="C4912" s="12" t="inlineStr">
        <is>
          <t>Modular / portable power</t>
        </is>
      </c>
      <c r="D4912" s="12" t="inlineStr">
        <is>
          <t>Analog instrument to JB JB-RICE-5-AI02: 20 x 1 pr (field cables)</t>
        </is>
      </c>
      <c r="E4912" s="12" t="inlineStr">
        <is>
          <t>RICE-5</t>
        </is>
      </c>
      <c r="F4912" s="12" t="inlineStr">
        <is>
          <t>RICE engine-generator 5</t>
        </is>
      </c>
      <c r="G4912" s="12" t="inlineStr">
        <is>
          <t>JB-RICE-5-AI02</t>
        </is>
      </c>
      <c r="H4912" s="12" t="inlineStr">
        <is>
          <t>RICE engine-generator 5</t>
        </is>
      </c>
      <c r="I4912" s="12" t="inlineStr">
        <is>
          <t>Instrumentation</t>
        </is>
      </c>
      <c r="J4912" s="12" t="inlineStr">
        <is>
          <t>Instrumentation PLTC / TC-ER 300 V, #18 twisted shielded pairs, overall shield</t>
        </is>
      </c>
      <c r="K4912" s="12" t="inlineStr">
        <is>
          <t>PLTC|1 pr|16</t>
        </is>
      </c>
      <c r="L4912" s="12" t="inlineStr">
        <is>
          <t>1 pr</t>
        </is>
      </c>
      <c r="M4912" s="12" t="inlineStr">
        <is>
          <t>16</t>
        </is>
      </c>
      <c r="N4912" s="12" t="n">
        <v>20</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I-I-0310</t>
        </is>
      </c>
      <c r="B4913" s="12" t="inlineStr">
        <is>
          <t>I</t>
        </is>
      </c>
      <c r="C4913" s="12" t="inlineStr">
        <is>
          <t>Modular / portable power</t>
        </is>
      </c>
      <c r="D4913" s="12" t="inlineStr">
        <is>
          <t>Home run JB-RICE-5-AI02 to the control / marshalling room</t>
        </is>
      </c>
      <c r="E4913" s="12" t="inlineStr"/>
      <c r="F4913" s="12" t="inlineStr">
        <is>
          <t>PCM: power control module</t>
        </is>
      </c>
      <c r="G4913" s="12" t="inlineStr">
        <is>
          <t>JB-RICE-5-AI02</t>
        </is>
      </c>
      <c r="H4913" s="12" t="inlineStr">
        <is>
          <t>RICE engine-generator 5</t>
        </is>
      </c>
      <c r="I4913" s="12" t="inlineStr">
        <is>
          <t>Instrumentation</t>
        </is>
      </c>
      <c r="J4913" s="12" t="inlineStr">
        <is>
          <t>Instrumentation PLTC / TC-ER 300 V, #18 twisted shielded pairs, overall shield</t>
        </is>
      </c>
      <c r="K4913" s="12" t="inlineStr">
        <is>
          <t>PLTC|24 pr|18</t>
        </is>
      </c>
      <c r="L4913" s="12" t="inlineStr">
        <is>
          <t>24 pr</t>
        </is>
      </c>
      <c r="M4913" s="12" t="inlineStr">
        <is>
          <t>18</t>
        </is>
      </c>
      <c r="N4913" s="12" t="n">
        <v>1</v>
      </c>
      <c r="O4913" s="12" t="n">
        <v>1</v>
      </c>
      <c r="P4913" s="12" t="n"/>
      <c r="Q4913" s="12" t="n"/>
      <c r="R4913" s="12" t="n"/>
      <c r="S4913" s="12" t="inlineStr">
        <is>
          <t>Duct bank</t>
        </is>
      </c>
      <c r="T4913" s="15" t="n">
        <v>57</v>
      </c>
      <c r="U4913" s="15" t="n">
        <v>181</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I-I-0311</t>
        </is>
      </c>
      <c r="B4914" s="12" t="inlineStr">
        <is>
          <t>I</t>
        </is>
      </c>
      <c r="C4914" s="12" t="inlineStr">
        <is>
          <t>Modular / portable power</t>
        </is>
      </c>
      <c r="D4914" s="12" t="inlineStr">
        <is>
          <t>Analog instrument to JB JB-RICE-5-AI03: 20 x 1 pr (field cables)</t>
        </is>
      </c>
      <c r="E4914" s="12" t="inlineStr">
        <is>
          <t>RICE-5</t>
        </is>
      </c>
      <c r="F4914" s="12" t="inlineStr">
        <is>
          <t>RICE engine-generator 5</t>
        </is>
      </c>
      <c r="G4914" s="12" t="inlineStr">
        <is>
          <t>JB-RICE-5-AI03</t>
        </is>
      </c>
      <c r="H4914" s="12" t="inlineStr">
        <is>
          <t>RICE engine-generator 5</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I-I-0312</t>
        </is>
      </c>
      <c r="B4915" s="12" t="inlineStr">
        <is>
          <t>I</t>
        </is>
      </c>
      <c r="C4915" s="12" t="inlineStr">
        <is>
          <t>Modular / portable power</t>
        </is>
      </c>
      <c r="D4915" s="12" t="inlineStr">
        <is>
          <t>Home run JB-RICE-5-AI03 to the control / marshalling room</t>
        </is>
      </c>
      <c r="E4915" s="12" t="inlineStr"/>
      <c r="F4915" s="12" t="inlineStr">
        <is>
          <t>PCM: power control module</t>
        </is>
      </c>
      <c r="G4915" s="12" t="inlineStr">
        <is>
          <t>JB-RICE-5-AI03</t>
        </is>
      </c>
      <c r="H4915" s="12" t="inlineStr">
        <is>
          <t>RICE engine-generator 5</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57</v>
      </c>
      <c r="U4915" s="15" t="n">
        <v>181</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I-I-0313</t>
        </is>
      </c>
      <c r="B4916" s="12" t="inlineStr">
        <is>
          <t>I</t>
        </is>
      </c>
      <c r="C4916" s="12" t="inlineStr">
        <is>
          <t>Modular / portable power</t>
        </is>
      </c>
      <c r="D4916" s="12" t="inlineStr">
        <is>
          <t>Analog instrument to JB JB-RICE-5-AI04: 20 x 1 pr (field cables)</t>
        </is>
      </c>
      <c r="E4916" s="12" t="inlineStr">
        <is>
          <t>RICE-5</t>
        </is>
      </c>
      <c r="F4916" s="12" t="inlineStr">
        <is>
          <t>RICE engine-generator 5</t>
        </is>
      </c>
      <c r="G4916" s="12" t="inlineStr">
        <is>
          <t>JB-RICE-5-AI04</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I-I-0314</t>
        </is>
      </c>
      <c r="B4917" s="12" t="inlineStr">
        <is>
          <t>I</t>
        </is>
      </c>
      <c r="C4917" s="12" t="inlineStr">
        <is>
          <t>Modular / portable power</t>
        </is>
      </c>
      <c r="D4917" s="12" t="inlineStr">
        <is>
          <t>Home run JB-RICE-5-AI04 to the control / marshalling room</t>
        </is>
      </c>
      <c r="E4917" s="12" t="inlineStr"/>
      <c r="F4917" s="12" t="inlineStr">
        <is>
          <t>PCM: power control module</t>
        </is>
      </c>
      <c r="G4917" s="12" t="inlineStr">
        <is>
          <t>JB-RICE-5-AI04</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181</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I-I-0315</t>
        </is>
      </c>
      <c r="B4918" s="12" t="inlineStr">
        <is>
          <t>I</t>
        </is>
      </c>
      <c r="C4918" s="12" t="inlineStr">
        <is>
          <t>Modular / portable power</t>
        </is>
      </c>
      <c r="D4918" s="12" t="inlineStr">
        <is>
          <t>Discrete device to JB JB-RICE-5-DI01: 20 x 1 pr (field cables)</t>
        </is>
      </c>
      <c r="E4918" s="12" t="inlineStr">
        <is>
          <t>RICE-5</t>
        </is>
      </c>
      <c r="F4918" s="12" t="inlineStr">
        <is>
          <t>RICE engine-generator 5</t>
        </is>
      </c>
      <c r="G4918" s="12" t="inlineStr">
        <is>
          <t>JB-RICE-5-DI01</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I-I-0316</t>
        </is>
      </c>
      <c r="B4919" s="12" t="inlineStr">
        <is>
          <t>I</t>
        </is>
      </c>
      <c r="C4919" s="12" t="inlineStr">
        <is>
          <t>Modular / portable power</t>
        </is>
      </c>
      <c r="D4919" s="12" t="inlineStr">
        <is>
          <t>Home run JB-RICE-5-DI01 to the control / marshalling room</t>
        </is>
      </c>
      <c r="E4919" s="12" t="inlineStr"/>
      <c r="F4919" s="12" t="inlineStr">
        <is>
          <t>PCM: power control module</t>
        </is>
      </c>
      <c r="G4919" s="12" t="inlineStr">
        <is>
          <t>JB-RICE-5-DI01</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57</v>
      </c>
      <c r="U4919" s="15" t="n">
        <v>181</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I-I-0317</t>
        </is>
      </c>
      <c r="B4920" s="12" t="inlineStr">
        <is>
          <t>I</t>
        </is>
      </c>
      <c r="C4920" s="12" t="inlineStr">
        <is>
          <t>Modular / portable power</t>
        </is>
      </c>
      <c r="D4920" s="12" t="inlineStr">
        <is>
          <t>Discrete device to JB JB-RICE-5-DI02: 20 x 1 pr (field cables)</t>
        </is>
      </c>
      <c r="E4920" s="12" t="inlineStr">
        <is>
          <t>RICE-5</t>
        </is>
      </c>
      <c r="F4920" s="12" t="inlineStr">
        <is>
          <t>RICE engine-generator 5</t>
        </is>
      </c>
      <c r="G4920" s="12" t="inlineStr">
        <is>
          <t>JB-RICE-5-DI02</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I-I-0318</t>
        </is>
      </c>
      <c r="B4921" s="12" t="inlineStr">
        <is>
          <t>I</t>
        </is>
      </c>
      <c r="C4921" s="12" t="inlineStr">
        <is>
          <t>Modular / portable power</t>
        </is>
      </c>
      <c r="D4921" s="12" t="inlineStr">
        <is>
          <t>Home run JB-RICE-5-DI02 to the control / marshalling room</t>
        </is>
      </c>
      <c r="E4921" s="12" t="inlineStr"/>
      <c r="F4921" s="12" t="inlineStr">
        <is>
          <t>PCM: power control module</t>
        </is>
      </c>
      <c r="G4921" s="12" t="inlineStr">
        <is>
          <t>JB-RICE-5-DI02</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57</v>
      </c>
      <c r="U4921" s="15" t="n">
        <v>181</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I-I-0319</t>
        </is>
      </c>
      <c r="B4922" s="12" t="inlineStr">
        <is>
          <t>I</t>
        </is>
      </c>
      <c r="C4922" s="12" t="inlineStr">
        <is>
          <t>Modular / portable power</t>
        </is>
      </c>
      <c r="D4922" s="12" t="inlineStr">
        <is>
          <t>Discrete device to JB JB-RICE-5-DI03: 20 x 1 pr (field cables)</t>
        </is>
      </c>
      <c r="E4922" s="12" t="inlineStr">
        <is>
          <t>RICE-5</t>
        </is>
      </c>
      <c r="F4922" s="12" t="inlineStr">
        <is>
          <t>RICE engine-generator 5</t>
        </is>
      </c>
      <c r="G4922" s="12" t="inlineStr">
        <is>
          <t>JB-RICE-5-DI03</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I-I-0320</t>
        </is>
      </c>
      <c r="B4923" s="12" t="inlineStr">
        <is>
          <t>I</t>
        </is>
      </c>
      <c r="C4923" s="12" t="inlineStr">
        <is>
          <t>Modular / portable power</t>
        </is>
      </c>
      <c r="D4923" s="12" t="inlineStr">
        <is>
          <t>Home run JB-RICE-5-DI03 to the control / marshalling room</t>
        </is>
      </c>
      <c r="E4923" s="12" t="inlineStr"/>
      <c r="F4923" s="12" t="inlineStr">
        <is>
          <t>PCM: power control module</t>
        </is>
      </c>
      <c r="G4923" s="12" t="inlineStr">
        <is>
          <t>JB-RICE-5-DI03</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57</v>
      </c>
      <c r="U4923" s="15" t="n">
        <v>181</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I-I-0321</t>
        </is>
      </c>
      <c r="B4924" s="12" t="inlineStr">
        <is>
          <t>I</t>
        </is>
      </c>
      <c r="C4924" s="12" t="inlineStr">
        <is>
          <t>Modular / portable power</t>
        </is>
      </c>
      <c r="D4924" s="12" t="inlineStr">
        <is>
          <t>Thermocouple to TC JB JB-RICE-5-TC01: 20 x 1 pr (field cables)</t>
        </is>
      </c>
      <c r="E4924" s="12" t="inlineStr">
        <is>
          <t>RICE-5</t>
        </is>
      </c>
      <c r="F4924" s="12" t="inlineStr">
        <is>
          <t>RICE engine-generator 5</t>
        </is>
      </c>
      <c r="G4924" s="12" t="inlineStr">
        <is>
          <t>JB-RICE-5-TC01</t>
        </is>
      </c>
      <c r="H4924" s="12" t="inlineStr">
        <is>
          <t>RICE engine-generator 5</t>
        </is>
      </c>
      <c r="I4924" s="12" t="inlineStr">
        <is>
          <t>Instrumentation</t>
        </is>
      </c>
      <c r="J4924" s="12" t="inlineStr">
        <is>
          <t>Thermocouple extension KX, #16 shielded pairs, PLTC</t>
        </is>
      </c>
      <c r="K4924" s="12" t="inlineStr">
        <is>
          <t>TCX|1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I-I-0322</t>
        </is>
      </c>
      <c r="B4925" s="12" t="inlineStr">
        <is>
          <t>I</t>
        </is>
      </c>
      <c r="C4925" s="12" t="inlineStr">
        <is>
          <t>Modular / portable power</t>
        </is>
      </c>
      <c r="D4925" s="12" t="inlineStr">
        <is>
          <t>Home run JB-RICE-5-TC01 to the control / marshalling room</t>
        </is>
      </c>
      <c r="E4925" s="12" t="inlineStr"/>
      <c r="F4925" s="12" t="inlineStr">
        <is>
          <t>PCM: power control module</t>
        </is>
      </c>
      <c r="G4925" s="12" t="inlineStr">
        <is>
          <t>JB-RICE-5-TC01</t>
        </is>
      </c>
      <c r="H4925" s="12" t="inlineStr">
        <is>
          <t>RICE engine-generator 5</t>
        </is>
      </c>
      <c r="I4925" s="12" t="inlineStr">
        <is>
          <t>Instrumentation</t>
        </is>
      </c>
      <c r="J4925" s="12" t="inlineStr">
        <is>
          <t>Thermocouple extension KX, #16 shielded pairs, PLTC</t>
        </is>
      </c>
      <c r="K4925" s="12" t="inlineStr">
        <is>
          <t>TCX|24 pr|16</t>
        </is>
      </c>
      <c r="L4925" s="12" t="inlineStr">
        <is>
          <t>24 pr</t>
        </is>
      </c>
      <c r="M4925" s="12" t="inlineStr">
        <is>
          <t>16</t>
        </is>
      </c>
      <c r="N4925" s="12" t="n">
        <v>1</v>
      </c>
      <c r="O4925" s="12" t="n">
        <v>1</v>
      </c>
      <c r="P4925" s="12" t="n"/>
      <c r="Q4925" s="12" t="n"/>
      <c r="R4925" s="12" t="n"/>
      <c r="S4925" s="12" t="inlineStr">
        <is>
          <t>Duct bank</t>
        </is>
      </c>
      <c r="T4925" s="15" t="n">
        <v>57</v>
      </c>
      <c r="U4925" s="15" t="n">
        <v>181</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I-I-0323</t>
        </is>
      </c>
      <c r="B4926" s="12" t="inlineStr">
        <is>
          <t>I</t>
        </is>
      </c>
      <c r="C4926" s="12" t="inlineStr">
        <is>
          <t>Modular / portable power</t>
        </is>
      </c>
      <c r="D4926" s="12" t="inlineStr">
        <is>
          <t>Thermocouple to TC JB JB-RICE-5-TC02: 10 x 1 pr (field cables)</t>
        </is>
      </c>
      <c r="E4926" s="12" t="inlineStr">
        <is>
          <t>RICE-5</t>
        </is>
      </c>
      <c r="F4926" s="12" t="inlineStr">
        <is>
          <t>RICE engine-generator 5</t>
        </is>
      </c>
      <c r="G4926" s="12" t="inlineStr">
        <is>
          <t>JB-RICE-5-TC02</t>
        </is>
      </c>
      <c r="H4926" s="12" t="inlineStr">
        <is>
          <t>RICE engine-generator 5</t>
        </is>
      </c>
      <c r="I4926" s="12" t="inlineStr">
        <is>
          <t>Instrumentation</t>
        </is>
      </c>
      <c r="J4926" s="12" t="inlineStr">
        <is>
          <t>Thermocouple extension KX, #16 shielded pairs, PLTC</t>
        </is>
      </c>
      <c r="K4926" s="12" t="inlineStr">
        <is>
          <t>TCX|1 pr|16</t>
        </is>
      </c>
      <c r="L4926" s="12" t="inlineStr">
        <is>
          <t>1 pr</t>
        </is>
      </c>
      <c r="M4926" s="12" t="inlineStr">
        <is>
          <t>16</t>
        </is>
      </c>
      <c r="N4926" s="12" t="n">
        <v>10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I-I-0324</t>
        </is>
      </c>
      <c r="B4927" s="12" t="inlineStr">
        <is>
          <t>I</t>
        </is>
      </c>
      <c r="C4927" s="12" t="inlineStr">
        <is>
          <t>Modular / portable power</t>
        </is>
      </c>
      <c r="D4927" s="12" t="inlineStr">
        <is>
          <t>Home run JB-RICE-5-TC02 to the control / marshalling room</t>
        </is>
      </c>
      <c r="E4927" s="12" t="inlineStr"/>
      <c r="F4927" s="12" t="inlineStr">
        <is>
          <t>PCM: power control module</t>
        </is>
      </c>
      <c r="G4927" s="12" t="inlineStr">
        <is>
          <t>JB-RICE-5-TC02</t>
        </is>
      </c>
      <c r="H4927" s="12" t="inlineStr">
        <is>
          <t>RICE engine-generator 5</t>
        </is>
      </c>
      <c r="I4927" s="12" t="inlineStr">
        <is>
          <t>Instrumentation</t>
        </is>
      </c>
      <c r="J4927" s="12" t="inlineStr">
        <is>
          <t>Thermocouple extension KX, #16 shielded pairs, PLTC</t>
        </is>
      </c>
      <c r="K4927" s="12" t="inlineStr">
        <is>
          <t>TCX|24 pr|16</t>
        </is>
      </c>
      <c r="L4927" s="12" t="inlineStr">
        <is>
          <t>24 pr</t>
        </is>
      </c>
      <c r="M4927" s="12" t="inlineStr">
        <is>
          <t>16</t>
        </is>
      </c>
      <c r="N4927" s="12" t="n">
        <v>1</v>
      </c>
      <c r="O4927" s="12" t="n">
        <v>1</v>
      </c>
      <c r="P4927" s="12" t="n"/>
      <c r="Q4927" s="12" t="n"/>
      <c r="R4927" s="12" t="n"/>
      <c r="S4927" s="12" t="inlineStr">
        <is>
          <t>Duct bank</t>
        </is>
      </c>
      <c r="T4927" s="15" t="n">
        <v>57</v>
      </c>
      <c r="U4927" s="15" t="n">
        <v>181</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I-I-0325</t>
        </is>
      </c>
      <c r="B4928" s="12" t="inlineStr">
        <is>
          <t>I</t>
        </is>
      </c>
      <c r="C4928" s="12" t="inlineStr">
        <is>
          <t>Modular / portable power</t>
        </is>
      </c>
      <c r="D4928" s="12" t="inlineStr">
        <is>
          <t>RTD to JB JB-RICE-5-RTD01: 10 x 1 tri (field cables)</t>
        </is>
      </c>
      <c r="E4928" s="12" t="inlineStr">
        <is>
          <t>RICE-5</t>
        </is>
      </c>
      <c r="F4928" s="12" t="inlineStr">
        <is>
          <t>RICE engine-generator 5</t>
        </is>
      </c>
      <c r="G4928" s="12" t="inlineStr">
        <is>
          <t>JB-RICE-5-RTD01</t>
        </is>
      </c>
      <c r="H4928" s="12" t="inlineStr">
        <is>
          <t>RICE engine-generator 5</t>
        </is>
      </c>
      <c r="I4928" s="12" t="inlineStr">
        <is>
          <t>Instrumentation</t>
        </is>
      </c>
      <c r="J4928" s="12" t="inlineStr">
        <is>
          <t>RTD cable, #18 shielded triads, PLTC</t>
        </is>
      </c>
      <c r="K4928" s="12" t="inlineStr">
        <is>
          <t>RTD|1 tri|18</t>
        </is>
      </c>
      <c r="L4928" s="12" t="inlineStr">
        <is>
          <t>1 tri</t>
        </is>
      </c>
      <c r="M4928" s="12" t="inlineStr">
        <is>
          <t>18</t>
        </is>
      </c>
      <c r="N4928" s="12" t="n">
        <v>10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I-I-0326</t>
        </is>
      </c>
      <c r="B4929" s="12" t="inlineStr">
        <is>
          <t>I</t>
        </is>
      </c>
      <c r="C4929" s="12" t="inlineStr">
        <is>
          <t>Modular / portable power</t>
        </is>
      </c>
      <c r="D4929" s="12" t="inlineStr">
        <is>
          <t>Home run JB-RICE-5-RTD01 to the control / marshalling room</t>
        </is>
      </c>
      <c r="E4929" s="12" t="inlineStr"/>
      <c r="F4929" s="12" t="inlineStr">
        <is>
          <t>PCM: power control module</t>
        </is>
      </c>
      <c r="G4929" s="12" t="inlineStr">
        <is>
          <t>JB-RICE-5-RTD01</t>
        </is>
      </c>
      <c r="H4929" s="12" t="inlineStr">
        <is>
          <t>RICE engine-generator 5</t>
        </is>
      </c>
      <c r="I4929" s="12" t="inlineStr">
        <is>
          <t>Instrumentation</t>
        </is>
      </c>
      <c r="J4929" s="12" t="inlineStr">
        <is>
          <t>RTD cable, #18 shielded triads, PLTC</t>
        </is>
      </c>
      <c r="K4929" s="12" t="inlineStr">
        <is>
          <t>RTD|12 tri|18</t>
        </is>
      </c>
      <c r="L4929" s="12" t="inlineStr">
        <is>
          <t>12 tri</t>
        </is>
      </c>
      <c r="M4929" s="12" t="inlineStr">
        <is>
          <t>18</t>
        </is>
      </c>
      <c r="N4929" s="12" t="n">
        <v>1</v>
      </c>
      <c r="O4929" s="12" t="n">
        <v>1</v>
      </c>
      <c r="P4929" s="12" t="n"/>
      <c r="Q4929" s="12" t="n"/>
      <c r="R4929" s="12" t="n"/>
      <c r="S4929" s="12" t="inlineStr">
        <is>
          <t>Duct bank</t>
        </is>
      </c>
      <c r="T4929" s="15" t="n">
        <v>57</v>
      </c>
      <c r="U4929" s="15" t="n">
        <v>181</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I-I-0327</t>
        </is>
      </c>
      <c r="B4930" s="12" t="inlineStr">
        <is>
          <t>I</t>
        </is>
      </c>
      <c r="C4930" s="12" t="inlineStr">
        <is>
          <t>Modular / portable power</t>
        </is>
      </c>
      <c r="D4930" s="12" t="inlineStr">
        <is>
          <t>RTD to JB JB-RICE-5-RTD02: 2 x 1 tri (field cables)</t>
        </is>
      </c>
      <c r="E4930" s="12" t="inlineStr">
        <is>
          <t>RICE-5</t>
        </is>
      </c>
      <c r="F4930" s="12" t="inlineStr">
        <is>
          <t>RICE engine-generator 5</t>
        </is>
      </c>
      <c r="G4930" s="12" t="inlineStr">
        <is>
          <t>JB-RICE-5-RTD02</t>
        </is>
      </c>
      <c r="H4930" s="12" t="inlineStr">
        <is>
          <t>RICE engine-generator 5</t>
        </is>
      </c>
      <c r="I4930" s="12" t="inlineStr">
        <is>
          <t>Instrumentation</t>
        </is>
      </c>
      <c r="J4930" s="12" t="inlineStr">
        <is>
          <t>RTD cable, #18 shielded triads, PLTC</t>
        </is>
      </c>
      <c r="K4930" s="12" t="inlineStr">
        <is>
          <t>RTD|1 tri|18</t>
        </is>
      </c>
      <c r="L4930" s="12" t="inlineStr">
        <is>
          <t>1 tri</t>
        </is>
      </c>
      <c r="M4930" s="12" t="inlineStr">
        <is>
          <t>18</t>
        </is>
      </c>
      <c r="N4930" s="12" t="n">
        <v>2</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I-I-0328</t>
        </is>
      </c>
      <c r="B4931" s="12" t="inlineStr">
        <is>
          <t>I</t>
        </is>
      </c>
      <c r="C4931" s="12" t="inlineStr">
        <is>
          <t>Modular / portable power</t>
        </is>
      </c>
      <c r="D4931" s="12" t="inlineStr">
        <is>
          <t>Home run JB-RICE-5-RTD02 to the control / marshalling room</t>
        </is>
      </c>
      <c r="E4931" s="12" t="inlineStr"/>
      <c r="F4931" s="12" t="inlineStr">
        <is>
          <t>PCM: power control module</t>
        </is>
      </c>
      <c r="G4931" s="12" t="inlineStr">
        <is>
          <t>JB-RICE-5-RTD02</t>
        </is>
      </c>
      <c r="H4931" s="12" t="inlineStr">
        <is>
          <t>RICE engine-generator 5</t>
        </is>
      </c>
      <c r="I4931" s="12" t="inlineStr">
        <is>
          <t>Instrumentation</t>
        </is>
      </c>
      <c r="J4931" s="12" t="inlineStr">
        <is>
          <t>RTD cable, #18 shielded triads, PLTC</t>
        </is>
      </c>
      <c r="K4931" s="12" t="inlineStr">
        <is>
          <t>RTD|12 tri|18</t>
        </is>
      </c>
      <c r="L4931" s="12" t="inlineStr">
        <is>
          <t>12 tri</t>
        </is>
      </c>
      <c r="M4931" s="12" t="inlineStr">
        <is>
          <t>18</t>
        </is>
      </c>
      <c r="N4931" s="12" t="n">
        <v>1</v>
      </c>
      <c r="O4931" s="12" t="n">
        <v>1</v>
      </c>
      <c r="P4931" s="12" t="n"/>
      <c r="Q4931" s="12" t="n"/>
      <c r="R4931" s="12" t="n"/>
      <c r="S4931" s="12" t="inlineStr">
        <is>
          <t>Duct bank</t>
        </is>
      </c>
      <c r="T4931" s="15" t="n">
        <v>57</v>
      </c>
      <c r="U4931" s="15" t="n">
        <v>181</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I-I-0329</t>
        </is>
      </c>
      <c r="B4932" s="12" t="inlineStr">
        <is>
          <t>I</t>
        </is>
      </c>
      <c r="C4932" s="12" t="inlineStr">
        <is>
          <t>Modular / portable power</t>
        </is>
      </c>
      <c r="D4932" s="12" t="inlineStr">
        <is>
          <t>Analog instrument to JB JB-RICE-6-AI01: 20 x 1 pr (field cables)</t>
        </is>
      </c>
      <c r="E4932" s="12" t="inlineStr">
        <is>
          <t>RICE-6</t>
        </is>
      </c>
      <c r="F4932" s="12" t="inlineStr">
        <is>
          <t>RICE engine-generator 6</t>
        </is>
      </c>
      <c r="G4932" s="12" t="inlineStr">
        <is>
          <t>JB-RICE-6-AI01</t>
        </is>
      </c>
      <c r="H4932" s="12" t="inlineStr">
        <is>
          <t>RICE engine-generator 6</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I-I-0330</t>
        </is>
      </c>
      <c r="B4933" s="12" t="inlineStr">
        <is>
          <t>I</t>
        </is>
      </c>
      <c r="C4933" s="12" t="inlineStr">
        <is>
          <t>Modular / portable power</t>
        </is>
      </c>
      <c r="D4933" s="12" t="inlineStr">
        <is>
          <t>Home run JB-RICE-6-AI01 to the control / marshalling room</t>
        </is>
      </c>
      <c r="E4933" s="12" t="inlineStr"/>
      <c r="F4933" s="12" t="inlineStr">
        <is>
          <t>PCM: power control module</t>
        </is>
      </c>
      <c r="G4933" s="12" t="inlineStr">
        <is>
          <t>JB-RICE-6-AI01</t>
        </is>
      </c>
      <c r="H4933" s="12" t="inlineStr">
        <is>
          <t>RICE engine-generator 6</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Duct bank</t>
        </is>
      </c>
      <c r="T4933" s="15" t="n">
        <v>57</v>
      </c>
      <c r="U4933" s="15" t="n">
        <v>153</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I-I-0331</t>
        </is>
      </c>
      <c r="B4934" s="12" t="inlineStr">
        <is>
          <t>I</t>
        </is>
      </c>
      <c r="C4934" s="12" t="inlineStr">
        <is>
          <t>Modular / portable power</t>
        </is>
      </c>
      <c r="D4934" s="12" t="inlineStr">
        <is>
          <t>Analog instrument to JB JB-RICE-6-AI02: 20 x 1 pr (field cables)</t>
        </is>
      </c>
      <c r="E4934" s="12" t="inlineStr">
        <is>
          <t>RICE-6</t>
        </is>
      </c>
      <c r="F4934" s="12" t="inlineStr">
        <is>
          <t>RICE engine-generator 6</t>
        </is>
      </c>
      <c r="G4934" s="12" t="inlineStr">
        <is>
          <t>JB-RICE-6-AI02</t>
        </is>
      </c>
      <c r="H4934" s="12" t="inlineStr">
        <is>
          <t>RICE engine-generator 6</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I-I-0332</t>
        </is>
      </c>
      <c r="B4935" s="12" t="inlineStr">
        <is>
          <t>I</t>
        </is>
      </c>
      <c r="C4935" s="12" t="inlineStr">
        <is>
          <t>Modular / portable power</t>
        </is>
      </c>
      <c r="D4935" s="12" t="inlineStr">
        <is>
          <t>Home run JB-RICE-6-AI02 to the control / marshalling room</t>
        </is>
      </c>
      <c r="E4935" s="12" t="inlineStr"/>
      <c r="F4935" s="12" t="inlineStr">
        <is>
          <t>PCM: power control module</t>
        </is>
      </c>
      <c r="G4935" s="12" t="inlineStr">
        <is>
          <t>JB-RICE-6-AI02</t>
        </is>
      </c>
      <c r="H4935" s="12" t="inlineStr">
        <is>
          <t>RICE engine-generator 6</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Duct bank</t>
        </is>
      </c>
      <c r="T4935" s="15" t="n">
        <v>57</v>
      </c>
      <c r="U4935" s="15" t="n">
        <v>153</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I-I-0333</t>
        </is>
      </c>
      <c r="B4936" s="12" t="inlineStr">
        <is>
          <t>I</t>
        </is>
      </c>
      <c r="C4936" s="12" t="inlineStr">
        <is>
          <t>Modular / portable power</t>
        </is>
      </c>
      <c r="D4936" s="12" t="inlineStr">
        <is>
          <t>Analog instrument to JB JB-RICE-6-AI03: 20 x 1 pr (field cables)</t>
        </is>
      </c>
      <c r="E4936" s="12" t="inlineStr">
        <is>
          <t>RICE-6</t>
        </is>
      </c>
      <c r="F4936" s="12" t="inlineStr">
        <is>
          <t>RICE engine-generator 6</t>
        </is>
      </c>
      <c r="G4936" s="12" t="inlineStr">
        <is>
          <t>JB-RICE-6-AI03</t>
        </is>
      </c>
      <c r="H4936" s="12" t="inlineStr">
        <is>
          <t>RICE engine-generator 6</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I-I-0334</t>
        </is>
      </c>
      <c r="B4937" s="12" t="inlineStr">
        <is>
          <t>I</t>
        </is>
      </c>
      <c r="C4937" s="12" t="inlineStr">
        <is>
          <t>Modular / portable power</t>
        </is>
      </c>
      <c r="D4937" s="12" t="inlineStr">
        <is>
          <t>Home run JB-RICE-6-AI03 to the control / marshalling room</t>
        </is>
      </c>
      <c r="E4937" s="12" t="inlineStr"/>
      <c r="F4937" s="12" t="inlineStr">
        <is>
          <t>PCM: power control module</t>
        </is>
      </c>
      <c r="G4937" s="12" t="inlineStr">
        <is>
          <t>JB-RICE-6-AI03</t>
        </is>
      </c>
      <c r="H4937" s="12" t="inlineStr">
        <is>
          <t>RICE engine-generator 6</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57</v>
      </c>
      <c r="U4937" s="15" t="n">
        <v>153</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I-I-0335</t>
        </is>
      </c>
      <c r="B4938" s="12" t="inlineStr">
        <is>
          <t>I</t>
        </is>
      </c>
      <c r="C4938" s="12" t="inlineStr">
        <is>
          <t>Modular / portable power</t>
        </is>
      </c>
      <c r="D4938" s="12" t="inlineStr">
        <is>
          <t>Analog instrument to JB JB-RICE-6-AI04: 20 x 1 pr (field cables)</t>
        </is>
      </c>
      <c r="E4938" s="12" t="inlineStr">
        <is>
          <t>RICE-6</t>
        </is>
      </c>
      <c r="F4938" s="12" t="inlineStr">
        <is>
          <t>RICE engine-generator 6</t>
        </is>
      </c>
      <c r="G4938" s="12" t="inlineStr">
        <is>
          <t>JB-RICE-6-AI04</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I-I-0336</t>
        </is>
      </c>
      <c r="B4939" s="12" t="inlineStr">
        <is>
          <t>I</t>
        </is>
      </c>
      <c r="C4939" s="12" t="inlineStr">
        <is>
          <t>Modular / portable power</t>
        </is>
      </c>
      <c r="D4939" s="12" t="inlineStr">
        <is>
          <t>Home run JB-RICE-6-AI04 to the control / marshalling room</t>
        </is>
      </c>
      <c r="E4939" s="12" t="inlineStr"/>
      <c r="F4939" s="12" t="inlineStr">
        <is>
          <t>PCM: power control module</t>
        </is>
      </c>
      <c r="G4939" s="12" t="inlineStr">
        <is>
          <t>JB-RICE-6-AI04</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153</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I-I-0337</t>
        </is>
      </c>
      <c r="B4940" s="12" t="inlineStr">
        <is>
          <t>I</t>
        </is>
      </c>
      <c r="C4940" s="12" t="inlineStr">
        <is>
          <t>Modular / portable power</t>
        </is>
      </c>
      <c r="D4940" s="12" t="inlineStr">
        <is>
          <t>Discrete device to JB JB-RICE-6-DI01: 20 x 1 pr (field cables)</t>
        </is>
      </c>
      <c r="E4940" s="12" t="inlineStr">
        <is>
          <t>RICE-6</t>
        </is>
      </c>
      <c r="F4940" s="12" t="inlineStr">
        <is>
          <t>RICE engine-generator 6</t>
        </is>
      </c>
      <c r="G4940" s="12" t="inlineStr">
        <is>
          <t>JB-RICE-6-DI01</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I-I-0338</t>
        </is>
      </c>
      <c r="B4941" s="12" t="inlineStr">
        <is>
          <t>I</t>
        </is>
      </c>
      <c r="C4941" s="12" t="inlineStr">
        <is>
          <t>Modular / portable power</t>
        </is>
      </c>
      <c r="D4941" s="12" t="inlineStr">
        <is>
          <t>Home run JB-RICE-6-DI01 to the control / marshalling room</t>
        </is>
      </c>
      <c r="E4941" s="12" t="inlineStr"/>
      <c r="F4941" s="12" t="inlineStr">
        <is>
          <t>PCM: power control module</t>
        </is>
      </c>
      <c r="G4941" s="12" t="inlineStr">
        <is>
          <t>JB-RICE-6-DI01</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57</v>
      </c>
      <c r="U4941" s="15" t="n">
        <v>153</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I-I-0339</t>
        </is>
      </c>
      <c r="B4942" s="12" t="inlineStr">
        <is>
          <t>I</t>
        </is>
      </c>
      <c r="C4942" s="12" t="inlineStr">
        <is>
          <t>Modular / portable power</t>
        </is>
      </c>
      <c r="D4942" s="12" t="inlineStr">
        <is>
          <t>Discrete device to JB JB-RICE-6-DI02: 20 x 1 pr (field cables)</t>
        </is>
      </c>
      <c r="E4942" s="12" t="inlineStr">
        <is>
          <t>RICE-6</t>
        </is>
      </c>
      <c r="F4942" s="12" t="inlineStr">
        <is>
          <t>RICE engine-generator 6</t>
        </is>
      </c>
      <c r="G4942" s="12" t="inlineStr">
        <is>
          <t>JB-RICE-6-DI02</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I-I-0340</t>
        </is>
      </c>
      <c r="B4943" s="12" t="inlineStr">
        <is>
          <t>I</t>
        </is>
      </c>
      <c r="C4943" s="12" t="inlineStr">
        <is>
          <t>Modular / portable power</t>
        </is>
      </c>
      <c r="D4943" s="12" t="inlineStr">
        <is>
          <t>Home run JB-RICE-6-DI02 to the control / marshalling room</t>
        </is>
      </c>
      <c r="E4943" s="12" t="inlineStr"/>
      <c r="F4943" s="12" t="inlineStr">
        <is>
          <t>PCM: power control module</t>
        </is>
      </c>
      <c r="G4943" s="12" t="inlineStr">
        <is>
          <t>JB-RICE-6-DI02</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57</v>
      </c>
      <c r="U4943" s="15" t="n">
        <v>153</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I-I-0341</t>
        </is>
      </c>
      <c r="B4944" s="12" t="inlineStr">
        <is>
          <t>I</t>
        </is>
      </c>
      <c r="C4944" s="12" t="inlineStr">
        <is>
          <t>Modular / portable power</t>
        </is>
      </c>
      <c r="D4944" s="12" t="inlineStr">
        <is>
          <t>Discrete device to JB JB-RICE-6-DI03: 20 x 1 pr (field cables)</t>
        </is>
      </c>
      <c r="E4944" s="12" t="inlineStr">
        <is>
          <t>RICE-6</t>
        </is>
      </c>
      <c r="F4944" s="12" t="inlineStr">
        <is>
          <t>RICE engine-generator 6</t>
        </is>
      </c>
      <c r="G4944" s="12" t="inlineStr">
        <is>
          <t>JB-RICE-6-DI03</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I-I-0342</t>
        </is>
      </c>
      <c r="B4945" s="12" t="inlineStr">
        <is>
          <t>I</t>
        </is>
      </c>
      <c r="C4945" s="12" t="inlineStr">
        <is>
          <t>Modular / portable power</t>
        </is>
      </c>
      <c r="D4945" s="12" t="inlineStr">
        <is>
          <t>Home run JB-RICE-6-DI03 to the control / marshalling room</t>
        </is>
      </c>
      <c r="E4945" s="12" t="inlineStr"/>
      <c r="F4945" s="12" t="inlineStr">
        <is>
          <t>PCM: power control module</t>
        </is>
      </c>
      <c r="G4945" s="12" t="inlineStr">
        <is>
          <t>JB-RICE-6-DI03</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57</v>
      </c>
      <c r="U4945" s="15" t="n">
        <v>153</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I-I-0343</t>
        </is>
      </c>
      <c r="B4946" s="12" t="inlineStr">
        <is>
          <t>I</t>
        </is>
      </c>
      <c r="C4946" s="12" t="inlineStr">
        <is>
          <t>Modular / portable power</t>
        </is>
      </c>
      <c r="D4946" s="12" t="inlineStr">
        <is>
          <t>Thermocouple to TC JB JB-RICE-6-TC01: 20 x 1 pr (field cables)</t>
        </is>
      </c>
      <c r="E4946" s="12" t="inlineStr">
        <is>
          <t>RICE-6</t>
        </is>
      </c>
      <c r="F4946" s="12" t="inlineStr">
        <is>
          <t>RICE engine-generator 6</t>
        </is>
      </c>
      <c r="G4946" s="12" t="inlineStr">
        <is>
          <t>JB-RICE-6-TC01</t>
        </is>
      </c>
      <c r="H4946" s="12" t="inlineStr">
        <is>
          <t>RICE engine-generator 6</t>
        </is>
      </c>
      <c r="I4946" s="12" t="inlineStr">
        <is>
          <t>Instrumentation</t>
        </is>
      </c>
      <c r="J4946" s="12" t="inlineStr">
        <is>
          <t>Thermocouple extension KX, #16 shielded pairs, PLTC</t>
        </is>
      </c>
      <c r="K4946" s="12" t="inlineStr">
        <is>
          <t>TCX|1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I-I-0344</t>
        </is>
      </c>
      <c r="B4947" s="12" t="inlineStr">
        <is>
          <t>I</t>
        </is>
      </c>
      <c r="C4947" s="12" t="inlineStr">
        <is>
          <t>Modular / portable power</t>
        </is>
      </c>
      <c r="D4947" s="12" t="inlineStr">
        <is>
          <t>Home run JB-RICE-6-TC01 to the control / marshalling room</t>
        </is>
      </c>
      <c r="E4947" s="12" t="inlineStr"/>
      <c r="F4947" s="12" t="inlineStr">
        <is>
          <t>PCM: power control module</t>
        </is>
      </c>
      <c r="G4947" s="12" t="inlineStr">
        <is>
          <t>JB-RICE-6-TC01</t>
        </is>
      </c>
      <c r="H4947" s="12" t="inlineStr">
        <is>
          <t>RICE engine-generator 6</t>
        </is>
      </c>
      <c r="I4947" s="12" t="inlineStr">
        <is>
          <t>Instrumentation</t>
        </is>
      </c>
      <c r="J4947" s="12" t="inlineStr">
        <is>
          <t>Thermocouple extension KX, #16 shielded pairs, PLTC</t>
        </is>
      </c>
      <c r="K4947" s="12" t="inlineStr">
        <is>
          <t>TCX|24 pr|16</t>
        </is>
      </c>
      <c r="L4947" s="12" t="inlineStr">
        <is>
          <t>24 pr</t>
        </is>
      </c>
      <c r="M4947" s="12" t="inlineStr">
        <is>
          <t>16</t>
        </is>
      </c>
      <c r="N4947" s="12" t="n">
        <v>1</v>
      </c>
      <c r="O4947" s="12" t="n">
        <v>1</v>
      </c>
      <c r="P4947" s="12" t="n"/>
      <c r="Q4947" s="12" t="n"/>
      <c r="R4947" s="12" t="n"/>
      <c r="S4947" s="12" t="inlineStr">
        <is>
          <t>Duct bank</t>
        </is>
      </c>
      <c r="T4947" s="15" t="n">
        <v>57</v>
      </c>
      <c r="U4947" s="15" t="n">
        <v>153</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I-I-0345</t>
        </is>
      </c>
      <c r="B4948" s="12" t="inlineStr">
        <is>
          <t>I</t>
        </is>
      </c>
      <c r="C4948" s="12" t="inlineStr">
        <is>
          <t>Modular / portable power</t>
        </is>
      </c>
      <c r="D4948" s="12" t="inlineStr">
        <is>
          <t>Thermocouple to TC JB JB-RICE-6-TC02: 10 x 1 pr (field cables)</t>
        </is>
      </c>
      <c r="E4948" s="12" t="inlineStr">
        <is>
          <t>RICE-6</t>
        </is>
      </c>
      <c r="F4948" s="12" t="inlineStr">
        <is>
          <t>RICE engine-generator 6</t>
        </is>
      </c>
      <c r="G4948" s="12" t="inlineStr">
        <is>
          <t>JB-RICE-6-TC02</t>
        </is>
      </c>
      <c r="H4948" s="12" t="inlineStr">
        <is>
          <t>RICE engine-generator 6</t>
        </is>
      </c>
      <c r="I4948" s="12" t="inlineStr">
        <is>
          <t>Instrumentation</t>
        </is>
      </c>
      <c r="J4948" s="12" t="inlineStr">
        <is>
          <t>Thermocouple extension KX, #16 shielded pairs, PLTC</t>
        </is>
      </c>
      <c r="K4948" s="12" t="inlineStr">
        <is>
          <t>TCX|1 pr|16</t>
        </is>
      </c>
      <c r="L4948" s="12" t="inlineStr">
        <is>
          <t>1 pr</t>
        </is>
      </c>
      <c r="M4948" s="12" t="inlineStr">
        <is>
          <t>16</t>
        </is>
      </c>
      <c r="N4948" s="12" t="n">
        <v>10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I-I-0346</t>
        </is>
      </c>
      <c r="B4949" s="12" t="inlineStr">
        <is>
          <t>I</t>
        </is>
      </c>
      <c r="C4949" s="12" t="inlineStr">
        <is>
          <t>Modular / portable power</t>
        </is>
      </c>
      <c r="D4949" s="12" t="inlineStr">
        <is>
          <t>Home run JB-RICE-6-TC02 to the control / marshalling room</t>
        </is>
      </c>
      <c r="E4949" s="12" t="inlineStr"/>
      <c r="F4949" s="12" t="inlineStr">
        <is>
          <t>PCM: power control module</t>
        </is>
      </c>
      <c r="G4949" s="12" t="inlineStr">
        <is>
          <t>JB-RICE-6-TC02</t>
        </is>
      </c>
      <c r="H4949" s="12" t="inlineStr">
        <is>
          <t>RICE engine-generator 6</t>
        </is>
      </c>
      <c r="I4949" s="12" t="inlineStr">
        <is>
          <t>Instrumentation</t>
        </is>
      </c>
      <c r="J4949" s="12" t="inlineStr">
        <is>
          <t>Thermocouple extension KX, #16 shielded pairs, PLTC</t>
        </is>
      </c>
      <c r="K4949" s="12" t="inlineStr">
        <is>
          <t>TCX|24 pr|16</t>
        </is>
      </c>
      <c r="L4949" s="12" t="inlineStr">
        <is>
          <t>24 pr</t>
        </is>
      </c>
      <c r="M4949" s="12" t="inlineStr">
        <is>
          <t>16</t>
        </is>
      </c>
      <c r="N4949" s="12" t="n">
        <v>1</v>
      </c>
      <c r="O4949" s="12" t="n">
        <v>1</v>
      </c>
      <c r="P4949" s="12" t="n"/>
      <c r="Q4949" s="12" t="n"/>
      <c r="R4949" s="12" t="n"/>
      <c r="S4949" s="12" t="inlineStr">
        <is>
          <t>Duct bank</t>
        </is>
      </c>
      <c r="T4949" s="15" t="n">
        <v>57</v>
      </c>
      <c r="U4949" s="15" t="n">
        <v>153</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I-I-0347</t>
        </is>
      </c>
      <c r="B4950" s="12" t="inlineStr">
        <is>
          <t>I</t>
        </is>
      </c>
      <c r="C4950" s="12" t="inlineStr">
        <is>
          <t>Modular / portable power</t>
        </is>
      </c>
      <c r="D4950" s="12" t="inlineStr">
        <is>
          <t>RTD to JB JB-RICE-6-RTD01: 10 x 1 tri (field cables)</t>
        </is>
      </c>
      <c r="E4950" s="12" t="inlineStr">
        <is>
          <t>RICE-6</t>
        </is>
      </c>
      <c r="F4950" s="12" t="inlineStr">
        <is>
          <t>RICE engine-generator 6</t>
        </is>
      </c>
      <c r="G4950" s="12" t="inlineStr">
        <is>
          <t>JB-RICE-6-RTD01</t>
        </is>
      </c>
      <c r="H4950" s="12" t="inlineStr">
        <is>
          <t>RICE engine-generator 6</t>
        </is>
      </c>
      <c r="I4950" s="12" t="inlineStr">
        <is>
          <t>Instrumentation</t>
        </is>
      </c>
      <c r="J4950" s="12" t="inlineStr">
        <is>
          <t>RTD cable, #18 shielded triads, PLTC</t>
        </is>
      </c>
      <c r="K4950" s="12" t="inlineStr">
        <is>
          <t>RTD|1 tri|18</t>
        </is>
      </c>
      <c r="L4950" s="12" t="inlineStr">
        <is>
          <t>1 tri</t>
        </is>
      </c>
      <c r="M4950" s="12" t="inlineStr">
        <is>
          <t>18</t>
        </is>
      </c>
      <c r="N4950" s="12" t="n">
        <v>10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I-I-0348</t>
        </is>
      </c>
      <c r="B4951" s="12" t="inlineStr">
        <is>
          <t>I</t>
        </is>
      </c>
      <c r="C4951" s="12" t="inlineStr">
        <is>
          <t>Modular / portable power</t>
        </is>
      </c>
      <c r="D4951" s="12" t="inlineStr">
        <is>
          <t>Home run JB-RICE-6-RTD01 to the control / marshalling room</t>
        </is>
      </c>
      <c r="E4951" s="12" t="inlineStr"/>
      <c r="F4951" s="12" t="inlineStr">
        <is>
          <t>PCM: power control module</t>
        </is>
      </c>
      <c r="G4951" s="12" t="inlineStr">
        <is>
          <t>JB-RICE-6-RTD01</t>
        </is>
      </c>
      <c r="H4951" s="12" t="inlineStr">
        <is>
          <t>RICE engine-generator 6</t>
        </is>
      </c>
      <c r="I4951" s="12" t="inlineStr">
        <is>
          <t>Instrumentation</t>
        </is>
      </c>
      <c r="J4951" s="12" t="inlineStr">
        <is>
          <t>RTD cable, #18 shielded triads, PLTC</t>
        </is>
      </c>
      <c r="K4951" s="12" t="inlineStr">
        <is>
          <t>RTD|12 tri|18</t>
        </is>
      </c>
      <c r="L4951" s="12" t="inlineStr">
        <is>
          <t>12 tri</t>
        </is>
      </c>
      <c r="M4951" s="12" t="inlineStr">
        <is>
          <t>18</t>
        </is>
      </c>
      <c r="N4951" s="12" t="n">
        <v>1</v>
      </c>
      <c r="O4951" s="12" t="n">
        <v>1</v>
      </c>
      <c r="P4951" s="12" t="n"/>
      <c r="Q4951" s="12" t="n"/>
      <c r="R4951" s="12" t="n"/>
      <c r="S4951" s="12" t="inlineStr">
        <is>
          <t>Duct bank</t>
        </is>
      </c>
      <c r="T4951" s="15" t="n">
        <v>57</v>
      </c>
      <c r="U4951" s="15" t="n">
        <v>153</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I-I-0349</t>
        </is>
      </c>
      <c r="B4952" s="12" t="inlineStr">
        <is>
          <t>I</t>
        </is>
      </c>
      <c r="C4952" s="12" t="inlineStr">
        <is>
          <t>Modular / portable power</t>
        </is>
      </c>
      <c r="D4952" s="12" t="inlineStr">
        <is>
          <t>RTD to JB JB-RICE-6-RTD02: 2 x 1 tri (field cables)</t>
        </is>
      </c>
      <c r="E4952" s="12" t="inlineStr">
        <is>
          <t>RICE-6</t>
        </is>
      </c>
      <c r="F4952" s="12" t="inlineStr">
        <is>
          <t>RICE engine-generator 6</t>
        </is>
      </c>
      <c r="G4952" s="12" t="inlineStr">
        <is>
          <t>JB-RICE-6-RTD02</t>
        </is>
      </c>
      <c r="H4952" s="12" t="inlineStr">
        <is>
          <t>RICE engine-generator 6</t>
        </is>
      </c>
      <c r="I4952" s="12" t="inlineStr">
        <is>
          <t>Instrumentation</t>
        </is>
      </c>
      <c r="J4952" s="12" t="inlineStr">
        <is>
          <t>RTD cable, #18 shielded triads, PLTC</t>
        </is>
      </c>
      <c r="K4952" s="12" t="inlineStr">
        <is>
          <t>RTD|1 tri|18</t>
        </is>
      </c>
      <c r="L4952" s="12" t="inlineStr">
        <is>
          <t>1 tri</t>
        </is>
      </c>
      <c r="M4952" s="12" t="inlineStr">
        <is>
          <t>18</t>
        </is>
      </c>
      <c r="N4952" s="12" t="n">
        <v>2</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I-I-0350</t>
        </is>
      </c>
      <c r="B4953" s="12" t="inlineStr">
        <is>
          <t>I</t>
        </is>
      </c>
      <c r="C4953" s="12" t="inlineStr">
        <is>
          <t>Modular / portable power</t>
        </is>
      </c>
      <c r="D4953" s="12" t="inlineStr">
        <is>
          <t>Home run JB-RICE-6-RTD02 to the control / marshalling room</t>
        </is>
      </c>
      <c r="E4953" s="12" t="inlineStr"/>
      <c r="F4953" s="12" t="inlineStr">
        <is>
          <t>PCM: power control module</t>
        </is>
      </c>
      <c r="G4953" s="12" t="inlineStr">
        <is>
          <t>JB-RICE-6-RTD02</t>
        </is>
      </c>
      <c r="H4953" s="12" t="inlineStr">
        <is>
          <t>RICE engine-generator 6</t>
        </is>
      </c>
      <c r="I4953" s="12" t="inlineStr">
        <is>
          <t>Instrumentation</t>
        </is>
      </c>
      <c r="J4953" s="12" t="inlineStr">
        <is>
          <t>RTD cable, #18 shielded triads, PLTC</t>
        </is>
      </c>
      <c r="K4953" s="12" t="inlineStr">
        <is>
          <t>RTD|12 tri|18</t>
        </is>
      </c>
      <c r="L4953" s="12" t="inlineStr">
        <is>
          <t>12 tri</t>
        </is>
      </c>
      <c r="M4953" s="12" t="inlineStr">
        <is>
          <t>18</t>
        </is>
      </c>
      <c r="N4953" s="12" t="n">
        <v>1</v>
      </c>
      <c r="O4953" s="12" t="n">
        <v>1</v>
      </c>
      <c r="P4953" s="12" t="n"/>
      <c r="Q4953" s="12" t="n"/>
      <c r="R4953" s="12" t="n"/>
      <c r="S4953" s="12" t="inlineStr">
        <is>
          <t>Duct bank</t>
        </is>
      </c>
      <c r="T4953" s="15" t="n">
        <v>57</v>
      </c>
      <c r="U4953" s="15" t="n">
        <v>153</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I-I-0351</t>
        </is>
      </c>
      <c r="B4954" s="12" t="inlineStr">
        <is>
          <t>I</t>
        </is>
      </c>
      <c r="C4954" s="12" t="inlineStr">
        <is>
          <t>Modular / portable power</t>
        </is>
      </c>
      <c r="D4954" s="12" t="inlineStr">
        <is>
          <t>Analog instrument to JB JB-RICE-7-AI01: 20 x 1 pr (field cables)</t>
        </is>
      </c>
      <c r="E4954" s="12" t="inlineStr">
        <is>
          <t>RICE-7</t>
        </is>
      </c>
      <c r="F4954" s="12" t="inlineStr">
        <is>
          <t>RICE engine-generator 7</t>
        </is>
      </c>
      <c r="G4954" s="12" t="inlineStr">
        <is>
          <t>JB-RICE-7-AI01</t>
        </is>
      </c>
      <c r="H4954" s="12" t="inlineStr">
        <is>
          <t>RICE engine-generator 7</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I-I-0352</t>
        </is>
      </c>
      <c r="B4955" s="12" t="inlineStr">
        <is>
          <t>I</t>
        </is>
      </c>
      <c r="C4955" s="12" t="inlineStr">
        <is>
          <t>Modular / portable power</t>
        </is>
      </c>
      <c r="D4955" s="12" t="inlineStr">
        <is>
          <t>Home run JB-RICE-7-AI01 to the control / marshalling room</t>
        </is>
      </c>
      <c r="E4955" s="12" t="inlineStr"/>
      <c r="F4955" s="12" t="inlineStr">
        <is>
          <t>PCM: power control module</t>
        </is>
      </c>
      <c r="G4955" s="12" t="inlineStr">
        <is>
          <t>JB-RICE-7-AI01</t>
        </is>
      </c>
      <c r="H4955" s="12" t="inlineStr">
        <is>
          <t>RICE engine-generator 7</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Duct bank</t>
        </is>
      </c>
      <c r="T4955" s="15" t="n">
        <v>57</v>
      </c>
      <c r="U4955" s="15" t="n">
        <v>125</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I-I-0353</t>
        </is>
      </c>
      <c r="B4956" s="12" t="inlineStr">
        <is>
          <t>I</t>
        </is>
      </c>
      <c r="C4956" s="12" t="inlineStr">
        <is>
          <t>Modular / portable power</t>
        </is>
      </c>
      <c r="D4956" s="12" t="inlineStr">
        <is>
          <t>Analog instrument to JB JB-RICE-7-AI02: 20 x 1 pr (field cables)</t>
        </is>
      </c>
      <c r="E4956" s="12" t="inlineStr">
        <is>
          <t>RICE-7</t>
        </is>
      </c>
      <c r="F4956" s="12" t="inlineStr">
        <is>
          <t>RICE engine-generator 7</t>
        </is>
      </c>
      <c r="G4956" s="12" t="inlineStr">
        <is>
          <t>JB-RICE-7-AI02</t>
        </is>
      </c>
      <c r="H4956" s="12" t="inlineStr">
        <is>
          <t>RICE engine-generator 7</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I-I-0354</t>
        </is>
      </c>
      <c r="B4957" s="12" t="inlineStr">
        <is>
          <t>I</t>
        </is>
      </c>
      <c r="C4957" s="12" t="inlineStr">
        <is>
          <t>Modular / portable power</t>
        </is>
      </c>
      <c r="D4957" s="12" t="inlineStr">
        <is>
          <t>Home run JB-RICE-7-AI02 to the control / marshalling room</t>
        </is>
      </c>
      <c r="E4957" s="12" t="inlineStr"/>
      <c r="F4957" s="12" t="inlineStr">
        <is>
          <t>PCM: power control module</t>
        </is>
      </c>
      <c r="G4957" s="12" t="inlineStr">
        <is>
          <t>JB-RICE-7-AI02</t>
        </is>
      </c>
      <c r="H4957" s="12" t="inlineStr">
        <is>
          <t>RICE engine-generator 7</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Duct bank</t>
        </is>
      </c>
      <c r="T4957" s="15" t="n">
        <v>57</v>
      </c>
      <c r="U4957" s="15" t="n">
        <v>125</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I-I-0355</t>
        </is>
      </c>
      <c r="B4958" s="12" t="inlineStr">
        <is>
          <t>I</t>
        </is>
      </c>
      <c r="C4958" s="12" t="inlineStr">
        <is>
          <t>Modular / portable power</t>
        </is>
      </c>
      <c r="D4958" s="12" t="inlineStr">
        <is>
          <t>Analog instrument to JB JB-RICE-7-AI03: 20 x 1 pr (field cables)</t>
        </is>
      </c>
      <c r="E4958" s="12" t="inlineStr">
        <is>
          <t>RICE-7</t>
        </is>
      </c>
      <c r="F4958" s="12" t="inlineStr">
        <is>
          <t>RICE engine-generator 7</t>
        </is>
      </c>
      <c r="G4958" s="12" t="inlineStr">
        <is>
          <t>JB-RICE-7-AI03</t>
        </is>
      </c>
      <c r="H4958" s="12" t="inlineStr">
        <is>
          <t>RICE engine-generator 7</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I-I-0356</t>
        </is>
      </c>
      <c r="B4959" s="12" t="inlineStr">
        <is>
          <t>I</t>
        </is>
      </c>
      <c r="C4959" s="12" t="inlineStr">
        <is>
          <t>Modular / portable power</t>
        </is>
      </c>
      <c r="D4959" s="12" t="inlineStr">
        <is>
          <t>Home run JB-RICE-7-AI03 to the control / marshalling room</t>
        </is>
      </c>
      <c r="E4959" s="12" t="inlineStr"/>
      <c r="F4959" s="12" t="inlineStr">
        <is>
          <t>PCM: power control module</t>
        </is>
      </c>
      <c r="G4959" s="12" t="inlineStr">
        <is>
          <t>JB-RICE-7-AI03</t>
        </is>
      </c>
      <c r="H4959" s="12" t="inlineStr">
        <is>
          <t>RICE engine-generator 7</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57</v>
      </c>
      <c r="U4959" s="15" t="n">
        <v>125</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I-I-0357</t>
        </is>
      </c>
      <c r="B4960" s="12" t="inlineStr">
        <is>
          <t>I</t>
        </is>
      </c>
      <c r="C4960" s="12" t="inlineStr">
        <is>
          <t>Modular / portable power</t>
        </is>
      </c>
      <c r="D4960" s="12" t="inlineStr">
        <is>
          <t>Analog instrument to JB JB-RICE-7-AI04: 20 x 1 pr (field cables)</t>
        </is>
      </c>
      <c r="E4960" s="12" t="inlineStr">
        <is>
          <t>RICE-7</t>
        </is>
      </c>
      <c r="F4960" s="12" t="inlineStr">
        <is>
          <t>RICE engine-generator 7</t>
        </is>
      </c>
      <c r="G4960" s="12" t="inlineStr">
        <is>
          <t>JB-RICE-7-AI04</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I-I-0358</t>
        </is>
      </c>
      <c r="B4961" s="12" t="inlineStr">
        <is>
          <t>I</t>
        </is>
      </c>
      <c r="C4961" s="12" t="inlineStr">
        <is>
          <t>Modular / portable power</t>
        </is>
      </c>
      <c r="D4961" s="12" t="inlineStr">
        <is>
          <t>Home run JB-RICE-7-AI04 to the control / marshalling room</t>
        </is>
      </c>
      <c r="E4961" s="12" t="inlineStr"/>
      <c r="F4961" s="12" t="inlineStr">
        <is>
          <t>PCM: power control module</t>
        </is>
      </c>
      <c r="G4961" s="12" t="inlineStr">
        <is>
          <t>JB-RICE-7-AI04</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125</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I-I-0359</t>
        </is>
      </c>
      <c r="B4962" s="12" t="inlineStr">
        <is>
          <t>I</t>
        </is>
      </c>
      <c r="C4962" s="12" t="inlineStr">
        <is>
          <t>Modular / portable power</t>
        </is>
      </c>
      <c r="D4962" s="12" t="inlineStr">
        <is>
          <t>Discrete device to JB JB-RICE-7-DI01: 20 x 1 pr (field cables)</t>
        </is>
      </c>
      <c r="E4962" s="12" t="inlineStr">
        <is>
          <t>RICE-7</t>
        </is>
      </c>
      <c r="F4962" s="12" t="inlineStr">
        <is>
          <t>RICE engine-generator 7</t>
        </is>
      </c>
      <c r="G4962" s="12" t="inlineStr">
        <is>
          <t>JB-RICE-7-DI01</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I-I-0360</t>
        </is>
      </c>
      <c r="B4963" s="12" t="inlineStr">
        <is>
          <t>I</t>
        </is>
      </c>
      <c r="C4963" s="12" t="inlineStr">
        <is>
          <t>Modular / portable power</t>
        </is>
      </c>
      <c r="D4963" s="12" t="inlineStr">
        <is>
          <t>Home run JB-RICE-7-DI01 to the control / marshalling room</t>
        </is>
      </c>
      <c r="E4963" s="12" t="inlineStr"/>
      <c r="F4963" s="12" t="inlineStr">
        <is>
          <t>PCM: power control module</t>
        </is>
      </c>
      <c r="G4963" s="12" t="inlineStr">
        <is>
          <t>JB-RICE-7-DI01</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57</v>
      </c>
      <c r="U4963" s="15" t="n">
        <v>125</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I-I-0361</t>
        </is>
      </c>
      <c r="B4964" s="12" t="inlineStr">
        <is>
          <t>I</t>
        </is>
      </c>
      <c r="C4964" s="12" t="inlineStr">
        <is>
          <t>Modular / portable power</t>
        </is>
      </c>
      <c r="D4964" s="12" t="inlineStr">
        <is>
          <t>Discrete device to JB JB-RICE-7-DI02: 20 x 1 pr (field cables)</t>
        </is>
      </c>
      <c r="E4964" s="12" t="inlineStr">
        <is>
          <t>RICE-7</t>
        </is>
      </c>
      <c r="F4964" s="12" t="inlineStr">
        <is>
          <t>RICE engine-generator 7</t>
        </is>
      </c>
      <c r="G4964" s="12" t="inlineStr">
        <is>
          <t>JB-RICE-7-DI02</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I-I-0362</t>
        </is>
      </c>
      <c r="B4965" s="12" t="inlineStr">
        <is>
          <t>I</t>
        </is>
      </c>
      <c r="C4965" s="12" t="inlineStr">
        <is>
          <t>Modular / portable power</t>
        </is>
      </c>
      <c r="D4965" s="12" t="inlineStr">
        <is>
          <t>Home run JB-RICE-7-DI02 to the control / marshalling room</t>
        </is>
      </c>
      <c r="E4965" s="12" t="inlineStr"/>
      <c r="F4965" s="12" t="inlineStr">
        <is>
          <t>PCM: power control module</t>
        </is>
      </c>
      <c r="G4965" s="12" t="inlineStr">
        <is>
          <t>JB-RICE-7-DI02</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57</v>
      </c>
      <c r="U4965" s="15" t="n">
        <v>125</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I-I-0363</t>
        </is>
      </c>
      <c r="B4966" s="12" t="inlineStr">
        <is>
          <t>I</t>
        </is>
      </c>
      <c r="C4966" s="12" t="inlineStr">
        <is>
          <t>Modular / portable power</t>
        </is>
      </c>
      <c r="D4966" s="12" t="inlineStr">
        <is>
          <t>Discrete device to JB JB-RICE-7-DI03: 20 x 1 pr (field cables)</t>
        </is>
      </c>
      <c r="E4966" s="12" t="inlineStr">
        <is>
          <t>RICE-7</t>
        </is>
      </c>
      <c r="F4966" s="12" t="inlineStr">
        <is>
          <t>RICE engine-generator 7</t>
        </is>
      </c>
      <c r="G4966" s="12" t="inlineStr">
        <is>
          <t>JB-RICE-7-DI03</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I-I-0364</t>
        </is>
      </c>
      <c r="B4967" s="12" t="inlineStr">
        <is>
          <t>I</t>
        </is>
      </c>
      <c r="C4967" s="12" t="inlineStr">
        <is>
          <t>Modular / portable power</t>
        </is>
      </c>
      <c r="D4967" s="12" t="inlineStr">
        <is>
          <t>Home run JB-RICE-7-DI03 to the control / marshalling room</t>
        </is>
      </c>
      <c r="E4967" s="12" t="inlineStr"/>
      <c r="F4967" s="12" t="inlineStr">
        <is>
          <t>PCM: power control module</t>
        </is>
      </c>
      <c r="G4967" s="12" t="inlineStr">
        <is>
          <t>JB-RICE-7-DI03</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57</v>
      </c>
      <c r="U4967" s="15" t="n">
        <v>125</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I-I-0365</t>
        </is>
      </c>
      <c r="B4968" s="12" t="inlineStr">
        <is>
          <t>I</t>
        </is>
      </c>
      <c r="C4968" s="12" t="inlineStr">
        <is>
          <t>Modular / portable power</t>
        </is>
      </c>
      <c r="D4968" s="12" t="inlineStr">
        <is>
          <t>Thermocouple to TC JB JB-RICE-7-TC01: 20 x 1 pr (field cables)</t>
        </is>
      </c>
      <c r="E4968" s="12" t="inlineStr">
        <is>
          <t>RICE-7</t>
        </is>
      </c>
      <c r="F4968" s="12" t="inlineStr">
        <is>
          <t>RICE engine-generator 7</t>
        </is>
      </c>
      <c r="G4968" s="12" t="inlineStr">
        <is>
          <t>JB-RICE-7-TC01</t>
        </is>
      </c>
      <c r="H4968" s="12" t="inlineStr">
        <is>
          <t>RICE engine-generator 7</t>
        </is>
      </c>
      <c r="I4968" s="12" t="inlineStr">
        <is>
          <t>Instrumentation</t>
        </is>
      </c>
      <c r="J4968" s="12" t="inlineStr">
        <is>
          <t>Thermocouple extension KX, #16 shielded pairs, PLTC</t>
        </is>
      </c>
      <c r="K4968" s="12" t="inlineStr">
        <is>
          <t>TCX|1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I-I-0366</t>
        </is>
      </c>
      <c r="B4969" s="12" t="inlineStr">
        <is>
          <t>I</t>
        </is>
      </c>
      <c r="C4969" s="12" t="inlineStr">
        <is>
          <t>Modular / portable power</t>
        </is>
      </c>
      <c r="D4969" s="12" t="inlineStr">
        <is>
          <t>Home run JB-RICE-7-TC01 to the control / marshalling room</t>
        </is>
      </c>
      <c r="E4969" s="12" t="inlineStr"/>
      <c r="F4969" s="12" t="inlineStr">
        <is>
          <t>PCM: power control module</t>
        </is>
      </c>
      <c r="G4969" s="12" t="inlineStr">
        <is>
          <t>JB-RICE-7-TC01</t>
        </is>
      </c>
      <c r="H4969" s="12" t="inlineStr">
        <is>
          <t>RICE engine-generator 7</t>
        </is>
      </c>
      <c r="I4969" s="12" t="inlineStr">
        <is>
          <t>Instrumentation</t>
        </is>
      </c>
      <c r="J4969" s="12" t="inlineStr">
        <is>
          <t>Thermocouple extension KX, #16 shielded pairs, PLTC</t>
        </is>
      </c>
      <c r="K4969" s="12" t="inlineStr">
        <is>
          <t>TCX|24 pr|16</t>
        </is>
      </c>
      <c r="L4969" s="12" t="inlineStr">
        <is>
          <t>24 pr</t>
        </is>
      </c>
      <c r="M4969" s="12" t="inlineStr">
        <is>
          <t>16</t>
        </is>
      </c>
      <c r="N4969" s="12" t="n">
        <v>1</v>
      </c>
      <c r="O4969" s="12" t="n">
        <v>1</v>
      </c>
      <c r="P4969" s="12" t="n"/>
      <c r="Q4969" s="12" t="n"/>
      <c r="R4969" s="12" t="n"/>
      <c r="S4969" s="12" t="inlineStr">
        <is>
          <t>Duct bank</t>
        </is>
      </c>
      <c r="T4969" s="15" t="n">
        <v>57</v>
      </c>
      <c r="U4969" s="15" t="n">
        <v>125</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I-I-0367</t>
        </is>
      </c>
      <c r="B4970" s="12" t="inlineStr">
        <is>
          <t>I</t>
        </is>
      </c>
      <c r="C4970" s="12" t="inlineStr">
        <is>
          <t>Modular / portable power</t>
        </is>
      </c>
      <c r="D4970" s="12" t="inlineStr">
        <is>
          <t>Thermocouple to TC JB JB-RICE-7-TC02: 10 x 1 pr (field cables)</t>
        </is>
      </c>
      <c r="E4970" s="12" t="inlineStr">
        <is>
          <t>RICE-7</t>
        </is>
      </c>
      <c r="F4970" s="12" t="inlineStr">
        <is>
          <t>RICE engine-generator 7</t>
        </is>
      </c>
      <c r="G4970" s="12" t="inlineStr">
        <is>
          <t>JB-RICE-7-TC02</t>
        </is>
      </c>
      <c r="H4970" s="12" t="inlineStr">
        <is>
          <t>RICE engine-generator 7</t>
        </is>
      </c>
      <c r="I4970" s="12" t="inlineStr">
        <is>
          <t>Instrumentation</t>
        </is>
      </c>
      <c r="J4970" s="12" t="inlineStr">
        <is>
          <t>Thermocouple extension KX, #16 shielded pairs, PLTC</t>
        </is>
      </c>
      <c r="K4970" s="12" t="inlineStr">
        <is>
          <t>TCX|1 pr|16</t>
        </is>
      </c>
      <c r="L4970" s="12" t="inlineStr">
        <is>
          <t>1 pr</t>
        </is>
      </c>
      <c r="M4970" s="12" t="inlineStr">
        <is>
          <t>16</t>
        </is>
      </c>
      <c r="N4970" s="12" t="n">
        <v>10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I-I-0368</t>
        </is>
      </c>
      <c r="B4971" s="12" t="inlineStr">
        <is>
          <t>I</t>
        </is>
      </c>
      <c r="C4971" s="12" t="inlineStr">
        <is>
          <t>Modular / portable power</t>
        </is>
      </c>
      <c r="D4971" s="12" t="inlineStr">
        <is>
          <t>Home run JB-RICE-7-TC02 to the control / marshalling room</t>
        </is>
      </c>
      <c r="E4971" s="12" t="inlineStr"/>
      <c r="F4971" s="12" t="inlineStr">
        <is>
          <t>PCM: power control module</t>
        </is>
      </c>
      <c r="G4971" s="12" t="inlineStr">
        <is>
          <t>JB-RICE-7-TC02</t>
        </is>
      </c>
      <c r="H4971" s="12" t="inlineStr">
        <is>
          <t>RICE engine-generator 7</t>
        </is>
      </c>
      <c r="I4971" s="12" t="inlineStr">
        <is>
          <t>Instrumentation</t>
        </is>
      </c>
      <c r="J4971" s="12" t="inlineStr">
        <is>
          <t>Thermocouple extension KX, #16 shielded pairs, PLTC</t>
        </is>
      </c>
      <c r="K4971" s="12" t="inlineStr">
        <is>
          <t>TCX|24 pr|16</t>
        </is>
      </c>
      <c r="L4971" s="12" t="inlineStr">
        <is>
          <t>24 pr</t>
        </is>
      </c>
      <c r="M4971" s="12" t="inlineStr">
        <is>
          <t>16</t>
        </is>
      </c>
      <c r="N4971" s="12" t="n">
        <v>1</v>
      </c>
      <c r="O4971" s="12" t="n">
        <v>1</v>
      </c>
      <c r="P4971" s="12" t="n"/>
      <c r="Q4971" s="12" t="n"/>
      <c r="R4971" s="12" t="n"/>
      <c r="S4971" s="12" t="inlineStr">
        <is>
          <t>Duct bank</t>
        </is>
      </c>
      <c r="T4971" s="15" t="n">
        <v>57</v>
      </c>
      <c r="U4971" s="15" t="n">
        <v>125</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I-I-0369</t>
        </is>
      </c>
      <c r="B4972" s="12" t="inlineStr">
        <is>
          <t>I</t>
        </is>
      </c>
      <c r="C4972" s="12" t="inlineStr">
        <is>
          <t>Modular / portable power</t>
        </is>
      </c>
      <c r="D4972" s="12" t="inlineStr">
        <is>
          <t>RTD to JB JB-RICE-7-RTD01: 10 x 1 tri (field cables)</t>
        </is>
      </c>
      <c r="E4972" s="12" t="inlineStr">
        <is>
          <t>RICE-7</t>
        </is>
      </c>
      <c r="F4972" s="12" t="inlineStr">
        <is>
          <t>RICE engine-generator 7</t>
        </is>
      </c>
      <c r="G4972" s="12" t="inlineStr">
        <is>
          <t>JB-RICE-7-RTD01</t>
        </is>
      </c>
      <c r="H4972" s="12" t="inlineStr">
        <is>
          <t>RICE engine-generator 7</t>
        </is>
      </c>
      <c r="I4972" s="12" t="inlineStr">
        <is>
          <t>Instrumentation</t>
        </is>
      </c>
      <c r="J4972" s="12" t="inlineStr">
        <is>
          <t>RTD cable, #18 shielded triads, PLTC</t>
        </is>
      </c>
      <c r="K4972" s="12" t="inlineStr">
        <is>
          <t>RTD|1 tri|18</t>
        </is>
      </c>
      <c r="L4972" s="12" t="inlineStr">
        <is>
          <t>1 tri</t>
        </is>
      </c>
      <c r="M4972" s="12" t="inlineStr">
        <is>
          <t>18</t>
        </is>
      </c>
      <c r="N4972" s="12" t="n">
        <v>10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I-I-0370</t>
        </is>
      </c>
      <c r="B4973" s="12" t="inlineStr">
        <is>
          <t>I</t>
        </is>
      </c>
      <c r="C4973" s="12" t="inlineStr">
        <is>
          <t>Modular / portable power</t>
        </is>
      </c>
      <c r="D4973" s="12" t="inlineStr">
        <is>
          <t>Home run JB-RICE-7-RTD01 to the control / marshalling room</t>
        </is>
      </c>
      <c r="E4973" s="12" t="inlineStr"/>
      <c r="F4973" s="12" t="inlineStr">
        <is>
          <t>PCM: power control module</t>
        </is>
      </c>
      <c r="G4973" s="12" t="inlineStr">
        <is>
          <t>JB-RICE-7-RTD01</t>
        </is>
      </c>
      <c r="H4973" s="12" t="inlineStr">
        <is>
          <t>RICE engine-generator 7</t>
        </is>
      </c>
      <c r="I4973" s="12" t="inlineStr">
        <is>
          <t>Instrumentation</t>
        </is>
      </c>
      <c r="J4973" s="12" t="inlineStr">
        <is>
          <t>RTD cable, #18 shielded triads, PLTC</t>
        </is>
      </c>
      <c r="K4973" s="12" t="inlineStr">
        <is>
          <t>RTD|12 tri|18</t>
        </is>
      </c>
      <c r="L4973" s="12" t="inlineStr">
        <is>
          <t>12 tri</t>
        </is>
      </c>
      <c r="M4973" s="12" t="inlineStr">
        <is>
          <t>18</t>
        </is>
      </c>
      <c r="N4973" s="12" t="n">
        <v>1</v>
      </c>
      <c r="O4973" s="12" t="n">
        <v>1</v>
      </c>
      <c r="P4973" s="12" t="n"/>
      <c r="Q4973" s="12" t="n"/>
      <c r="R4973" s="12" t="n"/>
      <c r="S4973" s="12" t="inlineStr">
        <is>
          <t>Duct bank</t>
        </is>
      </c>
      <c r="T4973" s="15" t="n">
        <v>57</v>
      </c>
      <c r="U4973" s="15" t="n">
        <v>125</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I-I-0371</t>
        </is>
      </c>
      <c r="B4974" s="12" t="inlineStr">
        <is>
          <t>I</t>
        </is>
      </c>
      <c r="C4974" s="12" t="inlineStr">
        <is>
          <t>Modular / portable power</t>
        </is>
      </c>
      <c r="D4974" s="12" t="inlineStr">
        <is>
          <t>RTD to JB JB-RICE-7-RTD02: 2 x 1 tri (field cables)</t>
        </is>
      </c>
      <c r="E4974" s="12" t="inlineStr">
        <is>
          <t>RICE-7</t>
        </is>
      </c>
      <c r="F4974" s="12" t="inlineStr">
        <is>
          <t>RICE engine-generator 7</t>
        </is>
      </c>
      <c r="G4974" s="12" t="inlineStr">
        <is>
          <t>JB-RICE-7-RTD02</t>
        </is>
      </c>
      <c r="H4974" s="12" t="inlineStr">
        <is>
          <t>RICE engine-generator 7</t>
        </is>
      </c>
      <c r="I4974" s="12" t="inlineStr">
        <is>
          <t>Instrumentation</t>
        </is>
      </c>
      <c r="J4974" s="12" t="inlineStr">
        <is>
          <t>RTD cable, #18 shielded triads, PLTC</t>
        </is>
      </c>
      <c r="K4974" s="12" t="inlineStr">
        <is>
          <t>RTD|1 tri|18</t>
        </is>
      </c>
      <c r="L4974" s="12" t="inlineStr">
        <is>
          <t>1 tri</t>
        </is>
      </c>
      <c r="M4974" s="12" t="inlineStr">
        <is>
          <t>18</t>
        </is>
      </c>
      <c r="N4974" s="12" t="n">
        <v>2</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I-I-0372</t>
        </is>
      </c>
      <c r="B4975" s="12" t="inlineStr">
        <is>
          <t>I</t>
        </is>
      </c>
      <c r="C4975" s="12" t="inlineStr">
        <is>
          <t>Modular / portable power</t>
        </is>
      </c>
      <c r="D4975" s="12" t="inlineStr">
        <is>
          <t>Home run JB-RICE-7-RTD02 to the control / marshalling room</t>
        </is>
      </c>
      <c r="E4975" s="12" t="inlineStr"/>
      <c r="F4975" s="12" t="inlineStr">
        <is>
          <t>PCM: power control module</t>
        </is>
      </c>
      <c r="G4975" s="12" t="inlineStr">
        <is>
          <t>JB-RICE-7-RTD02</t>
        </is>
      </c>
      <c r="H4975" s="12" t="inlineStr">
        <is>
          <t>RICE engine-generator 7</t>
        </is>
      </c>
      <c r="I4975" s="12" t="inlineStr">
        <is>
          <t>Instrumentation</t>
        </is>
      </c>
      <c r="J4975" s="12" t="inlineStr">
        <is>
          <t>RTD cable, #18 shielded triads, PLTC</t>
        </is>
      </c>
      <c r="K4975" s="12" t="inlineStr">
        <is>
          <t>RTD|12 tri|18</t>
        </is>
      </c>
      <c r="L4975" s="12" t="inlineStr">
        <is>
          <t>12 tri</t>
        </is>
      </c>
      <c r="M4975" s="12" t="inlineStr">
        <is>
          <t>18</t>
        </is>
      </c>
      <c r="N4975" s="12" t="n">
        <v>1</v>
      </c>
      <c r="O4975" s="12" t="n">
        <v>1</v>
      </c>
      <c r="P4975" s="12" t="n"/>
      <c r="Q4975" s="12" t="n"/>
      <c r="R4975" s="12" t="n"/>
      <c r="S4975" s="12" t="inlineStr">
        <is>
          <t>Duct bank</t>
        </is>
      </c>
      <c r="T4975" s="15" t="n">
        <v>57</v>
      </c>
      <c r="U4975" s="15" t="n">
        <v>125</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I-I-0373</t>
        </is>
      </c>
      <c r="B4976" s="12" t="inlineStr">
        <is>
          <t>I</t>
        </is>
      </c>
      <c r="C4976" s="12" t="inlineStr">
        <is>
          <t>Modular / portable power</t>
        </is>
      </c>
      <c r="D4976" s="12" t="inlineStr">
        <is>
          <t>Analog instrument to JB JB-RICE-8-AI01: 20 x 1 pr (field cables)</t>
        </is>
      </c>
      <c r="E4976" s="12" t="inlineStr">
        <is>
          <t>RICE-8</t>
        </is>
      </c>
      <c r="F4976" s="12" t="inlineStr">
        <is>
          <t>RICE engine-generator 8</t>
        </is>
      </c>
      <c r="G4976" s="12" t="inlineStr">
        <is>
          <t>JB-RICE-8-AI01</t>
        </is>
      </c>
      <c r="H4976" s="12" t="inlineStr">
        <is>
          <t>RICE engine-generator 8</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20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I-I-0374</t>
        </is>
      </c>
      <c r="B4977" s="12" t="inlineStr">
        <is>
          <t>I</t>
        </is>
      </c>
      <c r="C4977" s="12" t="inlineStr">
        <is>
          <t>Modular / portable power</t>
        </is>
      </c>
      <c r="D4977" s="12" t="inlineStr">
        <is>
          <t>Home run JB-RICE-8-AI01 to the control / marshalling room</t>
        </is>
      </c>
      <c r="E4977" s="12" t="inlineStr"/>
      <c r="F4977" s="12" t="inlineStr">
        <is>
          <t>PCM: power control module</t>
        </is>
      </c>
      <c r="G4977" s="12" t="inlineStr">
        <is>
          <t>JB-RICE-8-AI01</t>
        </is>
      </c>
      <c r="H4977" s="12" t="inlineStr">
        <is>
          <t>RICE engine-generator 8</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Duct bank</t>
        </is>
      </c>
      <c r="T4977" s="15" t="n">
        <v>57</v>
      </c>
      <c r="U4977" s="15" t="n">
        <v>97</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I-I-0375</t>
        </is>
      </c>
      <c r="B4978" s="12" t="inlineStr">
        <is>
          <t>I</t>
        </is>
      </c>
      <c r="C4978" s="12" t="inlineStr">
        <is>
          <t>Modular / portable power</t>
        </is>
      </c>
      <c r="D4978" s="12" t="inlineStr">
        <is>
          <t>Analog instrument to JB JB-RICE-8-AI02: 20 x 1 pr (field cables)</t>
        </is>
      </c>
      <c r="E4978" s="12" t="inlineStr">
        <is>
          <t>RICE-8</t>
        </is>
      </c>
      <c r="F4978" s="12" t="inlineStr">
        <is>
          <t>RICE engine-generator 8</t>
        </is>
      </c>
      <c r="G4978" s="12" t="inlineStr">
        <is>
          <t>JB-RICE-8-AI02</t>
        </is>
      </c>
      <c r="H4978" s="12" t="inlineStr">
        <is>
          <t>RICE engine-generator 8</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20</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I-I-0376</t>
        </is>
      </c>
      <c r="B4979" s="12" t="inlineStr">
        <is>
          <t>I</t>
        </is>
      </c>
      <c r="C4979" s="12" t="inlineStr">
        <is>
          <t>Modular / portable power</t>
        </is>
      </c>
      <c r="D4979" s="12" t="inlineStr">
        <is>
          <t>Home run JB-RICE-8-AI02 to the control / marshalling room</t>
        </is>
      </c>
      <c r="E4979" s="12" t="inlineStr"/>
      <c r="F4979" s="12" t="inlineStr">
        <is>
          <t>PCM: power control module</t>
        </is>
      </c>
      <c r="G4979" s="12" t="inlineStr">
        <is>
          <t>JB-RICE-8-AI02</t>
        </is>
      </c>
      <c r="H4979" s="12" t="inlineStr">
        <is>
          <t>RICE engine-generator 8</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Duct bank</t>
        </is>
      </c>
      <c r="T4979" s="15" t="n">
        <v>57</v>
      </c>
      <c r="U4979" s="15" t="n">
        <v>97</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I-I-0377</t>
        </is>
      </c>
      <c r="B4980" s="12" t="inlineStr">
        <is>
          <t>I</t>
        </is>
      </c>
      <c r="C4980" s="12" t="inlineStr">
        <is>
          <t>Modular / portable power</t>
        </is>
      </c>
      <c r="D4980" s="12" t="inlineStr">
        <is>
          <t>Analog instrument to JB JB-RICE-8-AI03: 20 x 1 pr (field cables)</t>
        </is>
      </c>
      <c r="E4980" s="12" t="inlineStr">
        <is>
          <t>RICE-8</t>
        </is>
      </c>
      <c r="F4980" s="12" t="inlineStr">
        <is>
          <t>RICE engine-generator 8</t>
        </is>
      </c>
      <c r="G4980" s="12" t="inlineStr">
        <is>
          <t>JB-RICE-8-AI03</t>
        </is>
      </c>
      <c r="H4980" s="12" t="inlineStr">
        <is>
          <t>RICE engine-generator 8</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I-I-0378</t>
        </is>
      </c>
      <c r="B4981" s="12" t="inlineStr">
        <is>
          <t>I</t>
        </is>
      </c>
      <c r="C4981" s="12" t="inlineStr">
        <is>
          <t>Modular / portable power</t>
        </is>
      </c>
      <c r="D4981" s="12" t="inlineStr">
        <is>
          <t>Home run JB-RICE-8-AI03 to the control / marshalling room</t>
        </is>
      </c>
      <c r="E4981" s="12" t="inlineStr"/>
      <c r="F4981" s="12" t="inlineStr">
        <is>
          <t>PCM: power control module</t>
        </is>
      </c>
      <c r="G4981" s="12" t="inlineStr">
        <is>
          <t>JB-RICE-8-AI03</t>
        </is>
      </c>
      <c r="H4981" s="12" t="inlineStr">
        <is>
          <t>RICE engine-generator 8</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5" t="n">
        <v>57</v>
      </c>
      <c r="U4981" s="15" t="n">
        <v>97</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I-I-0379</t>
        </is>
      </c>
      <c r="B4982" s="12" t="inlineStr">
        <is>
          <t>I</t>
        </is>
      </c>
      <c r="C4982" s="12" t="inlineStr">
        <is>
          <t>Modular / portable power</t>
        </is>
      </c>
      <c r="D4982" s="12" t="inlineStr">
        <is>
          <t>Analog instrument to JB JB-RICE-8-AI04: 20 x 1 pr (field cables)</t>
        </is>
      </c>
      <c r="E4982" s="12" t="inlineStr">
        <is>
          <t>RICE-8</t>
        </is>
      </c>
      <c r="F4982" s="12" t="inlineStr">
        <is>
          <t>RICE engine-generator 8</t>
        </is>
      </c>
      <c r="G4982" s="12" t="inlineStr">
        <is>
          <t>JB-RICE-8-AI04</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I-I-0380</t>
        </is>
      </c>
      <c r="B4983" s="12" t="inlineStr">
        <is>
          <t>I</t>
        </is>
      </c>
      <c r="C4983" s="12" t="inlineStr">
        <is>
          <t>Modular / portable power</t>
        </is>
      </c>
      <c r="D4983" s="12" t="inlineStr">
        <is>
          <t>Home run JB-RICE-8-AI04 to the control / marshalling room</t>
        </is>
      </c>
      <c r="E4983" s="12" t="inlineStr"/>
      <c r="F4983" s="12" t="inlineStr">
        <is>
          <t>PCM: power control module</t>
        </is>
      </c>
      <c r="G4983" s="12" t="inlineStr">
        <is>
          <t>JB-RICE-8-AI04</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57</v>
      </c>
      <c r="U4983" s="15" t="n">
        <v>97</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I-I-0381</t>
        </is>
      </c>
      <c r="B4984" s="12" t="inlineStr">
        <is>
          <t>I</t>
        </is>
      </c>
      <c r="C4984" s="12" t="inlineStr">
        <is>
          <t>Modular / portable power</t>
        </is>
      </c>
      <c r="D4984" s="12" t="inlineStr">
        <is>
          <t>Discrete device to JB JB-RICE-8-DI01: 20 x 1 pr (field cables)</t>
        </is>
      </c>
      <c r="E4984" s="12" t="inlineStr">
        <is>
          <t>RICE-8</t>
        </is>
      </c>
      <c r="F4984" s="12" t="inlineStr">
        <is>
          <t>RICE engine-generator 8</t>
        </is>
      </c>
      <c r="G4984" s="12" t="inlineStr">
        <is>
          <t>JB-RICE-8-DI01</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I-I-0382</t>
        </is>
      </c>
      <c r="B4985" s="12" t="inlineStr">
        <is>
          <t>I</t>
        </is>
      </c>
      <c r="C4985" s="12" t="inlineStr">
        <is>
          <t>Modular / portable power</t>
        </is>
      </c>
      <c r="D4985" s="12" t="inlineStr">
        <is>
          <t>Home run JB-RICE-8-DI01 to the control / marshalling room</t>
        </is>
      </c>
      <c r="E4985" s="12" t="inlineStr"/>
      <c r="F4985" s="12" t="inlineStr">
        <is>
          <t>PCM: power control module</t>
        </is>
      </c>
      <c r="G4985" s="12" t="inlineStr">
        <is>
          <t>JB-RICE-8-DI01</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57</v>
      </c>
      <c r="U4985" s="15" t="n">
        <v>97</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I-I-0383</t>
        </is>
      </c>
      <c r="B4986" s="12" t="inlineStr">
        <is>
          <t>I</t>
        </is>
      </c>
      <c r="C4986" s="12" t="inlineStr">
        <is>
          <t>Modular / portable power</t>
        </is>
      </c>
      <c r="D4986" s="12" t="inlineStr">
        <is>
          <t>Discrete device to JB JB-RICE-8-DI02: 20 x 1 pr (field cables)</t>
        </is>
      </c>
      <c r="E4986" s="12" t="inlineStr">
        <is>
          <t>RICE-8</t>
        </is>
      </c>
      <c r="F4986" s="12" t="inlineStr">
        <is>
          <t>RICE engine-generator 8</t>
        </is>
      </c>
      <c r="G4986" s="12" t="inlineStr">
        <is>
          <t>JB-RICE-8-DI02</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I-I-0384</t>
        </is>
      </c>
      <c r="B4987" s="12" t="inlineStr">
        <is>
          <t>I</t>
        </is>
      </c>
      <c r="C4987" s="12" t="inlineStr">
        <is>
          <t>Modular / portable power</t>
        </is>
      </c>
      <c r="D4987" s="12" t="inlineStr">
        <is>
          <t>Home run JB-RICE-8-DI02 to the control / marshalling room</t>
        </is>
      </c>
      <c r="E4987" s="12" t="inlineStr"/>
      <c r="F4987" s="12" t="inlineStr">
        <is>
          <t>PCM: power control module</t>
        </is>
      </c>
      <c r="G4987" s="12" t="inlineStr">
        <is>
          <t>JB-RICE-8-DI02</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57</v>
      </c>
      <c r="U4987" s="15" t="n">
        <v>97</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I-I-0385</t>
        </is>
      </c>
      <c r="B4988" s="12" t="inlineStr">
        <is>
          <t>I</t>
        </is>
      </c>
      <c r="C4988" s="12" t="inlineStr">
        <is>
          <t>Modular / portable power</t>
        </is>
      </c>
      <c r="D4988" s="12" t="inlineStr">
        <is>
          <t>Discrete device to JB JB-RICE-8-DI03: 20 x 1 pr (field cables)</t>
        </is>
      </c>
      <c r="E4988" s="12" t="inlineStr">
        <is>
          <t>RICE-8</t>
        </is>
      </c>
      <c r="F4988" s="12" t="inlineStr">
        <is>
          <t>RICE engine-generator 8</t>
        </is>
      </c>
      <c r="G4988" s="12" t="inlineStr">
        <is>
          <t>JB-RICE-8-DI03</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I-I-0386</t>
        </is>
      </c>
      <c r="B4989" s="12" t="inlineStr">
        <is>
          <t>I</t>
        </is>
      </c>
      <c r="C4989" s="12" t="inlineStr">
        <is>
          <t>Modular / portable power</t>
        </is>
      </c>
      <c r="D4989" s="12" t="inlineStr">
        <is>
          <t>Home run JB-RICE-8-DI03 to the control / marshalling room</t>
        </is>
      </c>
      <c r="E4989" s="12" t="inlineStr"/>
      <c r="F4989" s="12" t="inlineStr">
        <is>
          <t>PCM: power control module</t>
        </is>
      </c>
      <c r="G4989" s="12" t="inlineStr">
        <is>
          <t>JB-RICE-8-DI03</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57</v>
      </c>
      <c r="U4989" s="15" t="n">
        <v>97</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I-I-0387</t>
        </is>
      </c>
      <c r="B4990" s="12" t="inlineStr">
        <is>
          <t>I</t>
        </is>
      </c>
      <c r="C4990" s="12" t="inlineStr">
        <is>
          <t>Modular / portable power</t>
        </is>
      </c>
      <c r="D4990" s="12" t="inlineStr">
        <is>
          <t>Thermocouple to TC JB JB-RICE-8-TC01: 20 x 1 pr (field cables)</t>
        </is>
      </c>
      <c r="E4990" s="12" t="inlineStr">
        <is>
          <t>RICE-8</t>
        </is>
      </c>
      <c r="F4990" s="12" t="inlineStr">
        <is>
          <t>RICE engine-generator 8</t>
        </is>
      </c>
      <c r="G4990" s="12" t="inlineStr">
        <is>
          <t>JB-RICE-8-TC01</t>
        </is>
      </c>
      <c r="H4990" s="12" t="inlineStr">
        <is>
          <t>RICE engine-generator 8</t>
        </is>
      </c>
      <c r="I4990" s="12" t="inlineStr">
        <is>
          <t>Instrumentation</t>
        </is>
      </c>
      <c r="J4990" s="12" t="inlineStr">
        <is>
          <t>Thermocouple extension KX, #16 shielded pairs, PLTC</t>
        </is>
      </c>
      <c r="K4990" s="12" t="inlineStr">
        <is>
          <t>TCX|1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I-I-0388</t>
        </is>
      </c>
      <c r="B4991" s="12" t="inlineStr">
        <is>
          <t>I</t>
        </is>
      </c>
      <c r="C4991" s="12" t="inlineStr">
        <is>
          <t>Modular / portable power</t>
        </is>
      </c>
      <c r="D4991" s="12" t="inlineStr">
        <is>
          <t>Home run JB-RICE-8-TC01 to the control / marshalling room</t>
        </is>
      </c>
      <c r="E4991" s="12" t="inlineStr"/>
      <c r="F4991" s="12" t="inlineStr">
        <is>
          <t>PCM: power control module</t>
        </is>
      </c>
      <c r="G4991" s="12" t="inlineStr">
        <is>
          <t>JB-RICE-8-TC01</t>
        </is>
      </c>
      <c r="H4991" s="12" t="inlineStr">
        <is>
          <t>RICE engine-generator 8</t>
        </is>
      </c>
      <c r="I4991" s="12" t="inlineStr">
        <is>
          <t>Instrumentation</t>
        </is>
      </c>
      <c r="J4991" s="12" t="inlineStr">
        <is>
          <t>Thermocouple extension KX, #16 shielded pairs, PLTC</t>
        </is>
      </c>
      <c r="K4991" s="12" t="inlineStr">
        <is>
          <t>TCX|24 pr|16</t>
        </is>
      </c>
      <c r="L4991" s="12" t="inlineStr">
        <is>
          <t>24 pr</t>
        </is>
      </c>
      <c r="M4991" s="12" t="inlineStr">
        <is>
          <t>16</t>
        </is>
      </c>
      <c r="N4991" s="12" t="n">
        <v>1</v>
      </c>
      <c r="O4991" s="12" t="n">
        <v>1</v>
      </c>
      <c r="P4991" s="12" t="n"/>
      <c r="Q4991" s="12" t="n"/>
      <c r="R4991" s="12" t="n"/>
      <c r="S4991" s="12" t="inlineStr">
        <is>
          <t>Duct bank</t>
        </is>
      </c>
      <c r="T4991" s="15" t="n">
        <v>57</v>
      </c>
      <c r="U4991" s="15" t="n">
        <v>97</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I-I-0389</t>
        </is>
      </c>
      <c r="B4992" s="12" t="inlineStr">
        <is>
          <t>I</t>
        </is>
      </c>
      <c r="C4992" s="12" t="inlineStr">
        <is>
          <t>Modular / portable power</t>
        </is>
      </c>
      <c r="D4992" s="12" t="inlineStr">
        <is>
          <t>Thermocouple to TC JB JB-RICE-8-TC02: 10 x 1 pr (field cables)</t>
        </is>
      </c>
      <c r="E4992" s="12" t="inlineStr">
        <is>
          <t>RICE-8</t>
        </is>
      </c>
      <c r="F4992" s="12" t="inlineStr">
        <is>
          <t>RICE engine-generator 8</t>
        </is>
      </c>
      <c r="G4992" s="12" t="inlineStr">
        <is>
          <t>JB-RICE-8-TC02</t>
        </is>
      </c>
      <c r="H4992" s="12" t="inlineStr">
        <is>
          <t>RICE engine-generator 8</t>
        </is>
      </c>
      <c r="I4992" s="12" t="inlineStr">
        <is>
          <t>Instrumentation</t>
        </is>
      </c>
      <c r="J4992" s="12" t="inlineStr">
        <is>
          <t>Thermocouple extension KX, #16 shielded pairs, PLTC</t>
        </is>
      </c>
      <c r="K4992" s="12" t="inlineStr">
        <is>
          <t>TCX|1 pr|16</t>
        </is>
      </c>
      <c r="L4992" s="12" t="inlineStr">
        <is>
          <t>1 pr</t>
        </is>
      </c>
      <c r="M4992" s="12" t="inlineStr">
        <is>
          <t>16</t>
        </is>
      </c>
      <c r="N4992" s="12" t="n">
        <v>10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I-I-0390</t>
        </is>
      </c>
      <c r="B4993" s="12" t="inlineStr">
        <is>
          <t>I</t>
        </is>
      </c>
      <c r="C4993" s="12" t="inlineStr">
        <is>
          <t>Modular / portable power</t>
        </is>
      </c>
      <c r="D4993" s="12" t="inlineStr">
        <is>
          <t>Home run JB-RICE-8-TC02 to the control / marshalling room</t>
        </is>
      </c>
      <c r="E4993" s="12" t="inlineStr"/>
      <c r="F4993" s="12" t="inlineStr">
        <is>
          <t>PCM: power control module</t>
        </is>
      </c>
      <c r="G4993" s="12" t="inlineStr">
        <is>
          <t>JB-RICE-8-TC02</t>
        </is>
      </c>
      <c r="H4993" s="12" t="inlineStr">
        <is>
          <t>RICE engine-generator 8</t>
        </is>
      </c>
      <c r="I4993" s="12" t="inlineStr">
        <is>
          <t>Instrumentation</t>
        </is>
      </c>
      <c r="J4993" s="12" t="inlineStr">
        <is>
          <t>Thermocouple extension KX, #16 shielded pairs, PLTC</t>
        </is>
      </c>
      <c r="K4993" s="12" t="inlineStr">
        <is>
          <t>TCX|24 pr|16</t>
        </is>
      </c>
      <c r="L4993" s="12" t="inlineStr">
        <is>
          <t>24 pr</t>
        </is>
      </c>
      <c r="M4993" s="12" t="inlineStr">
        <is>
          <t>16</t>
        </is>
      </c>
      <c r="N4993" s="12" t="n">
        <v>1</v>
      </c>
      <c r="O4993" s="12" t="n">
        <v>1</v>
      </c>
      <c r="P4993" s="12" t="n"/>
      <c r="Q4993" s="12" t="n"/>
      <c r="R4993" s="12" t="n"/>
      <c r="S4993" s="12" t="inlineStr">
        <is>
          <t>Duct bank</t>
        </is>
      </c>
      <c r="T4993" s="15" t="n">
        <v>57</v>
      </c>
      <c r="U4993" s="15" t="n">
        <v>97</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I-I-0391</t>
        </is>
      </c>
      <c r="B4994" s="12" t="inlineStr">
        <is>
          <t>I</t>
        </is>
      </c>
      <c r="C4994" s="12" t="inlineStr">
        <is>
          <t>Modular / portable power</t>
        </is>
      </c>
      <c r="D4994" s="12" t="inlineStr">
        <is>
          <t>RTD to JB JB-RICE-8-RTD01: 10 x 1 tri (field cables)</t>
        </is>
      </c>
      <c r="E4994" s="12" t="inlineStr">
        <is>
          <t>RICE-8</t>
        </is>
      </c>
      <c r="F4994" s="12" t="inlineStr">
        <is>
          <t>RICE engine-generator 8</t>
        </is>
      </c>
      <c r="G4994" s="12" t="inlineStr">
        <is>
          <t>JB-RICE-8-RTD01</t>
        </is>
      </c>
      <c r="H4994" s="12" t="inlineStr">
        <is>
          <t>RICE engine-generator 8</t>
        </is>
      </c>
      <c r="I4994" s="12" t="inlineStr">
        <is>
          <t>Instrumentation</t>
        </is>
      </c>
      <c r="J4994" s="12" t="inlineStr">
        <is>
          <t>RTD cable, #18 shielded triads, PLTC</t>
        </is>
      </c>
      <c r="K4994" s="12" t="inlineStr">
        <is>
          <t>RTD|1 tri|18</t>
        </is>
      </c>
      <c r="L4994" s="12" t="inlineStr">
        <is>
          <t>1 tri</t>
        </is>
      </c>
      <c r="M4994" s="12" t="inlineStr">
        <is>
          <t>18</t>
        </is>
      </c>
      <c r="N4994" s="12" t="n">
        <v>10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I-I-0392</t>
        </is>
      </c>
      <c r="B4995" s="12" t="inlineStr">
        <is>
          <t>I</t>
        </is>
      </c>
      <c r="C4995" s="12" t="inlineStr">
        <is>
          <t>Modular / portable power</t>
        </is>
      </c>
      <c r="D4995" s="12" t="inlineStr">
        <is>
          <t>Home run JB-RICE-8-RTD01 to the control / marshalling room</t>
        </is>
      </c>
      <c r="E4995" s="12" t="inlineStr"/>
      <c r="F4995" s="12" t="inlineStr">
        <is>
          <t>PCM: power control module</t>
        </is>
      </c>
      <c r="G4995" s="12" t="inlineStr">
        <is>
          <t>JB-RICE-8-RTD01</t>
        </is>
      </c>
      <c r="H4995" s="12" t="inlineStr">
        <is>
          <t>RICE engine-generator 8</t>
        </is>
      </c>
      <c r="I4995" s="12" t="inlineStr">
        <is>
          <t>Instrumentation</t>
        </is>
      </c>
      <c r="J4995" s="12" t="inlineStr">
        <is>
          <t>RTD cable, #18 shielded triads, PLTC</t>
        </is>
      </c>
      <c r="K4995" s="12" t="inlineStr">
        <is>
          <t>RTD|12 tri|18</t>
        </is>
      </c>
      <c r="L4995" s="12" t="inlineStr">
        <is>
          <t>12 tri</t>
        </is>
      </c>
      <c r="M4995" s="12" t="inlineStr">
        <is>
          <t>18</t>
        </is>
      </c>
      <c r="N4995" s="12" t="n">
        <v>1</v>
      </c>
      <c r="O4995" s="12" t="n">
        <v>1</v>
      </c>
      <c r="P4995" s="12" t="n"/>
      <c r="Q4995" s="12" t="n"/>
      <c r="R4995" s="12" t="n"/>
      <c r="S4995" s="12" t="inlineStr">
        <is>
          <t>Duct bank</t>
        </is>
      </c>
      <c r="T4995" s="15" t="n">
        <v>57</v>
      </c>
      <c r="U4995" s="15" t="n">
        <v>97</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I-I-0393</t>
        </is>
      </c>
      <c r="B4996" s="12" t="inlineStr">
        <is>
          <t>I</t>
        </is>
      </c>
      <c r="C4996" s="12" t="inlineStr">
        <is>
          <t>Modular / portable power</t>
        </is>
      </c>
      <c r="D4996" s="12" t="inlineStr">
        <is>
          <t>RTD to JB JB-RICE-8-RTD02: 2 x 1 tri (field cables)</t>
        </is>
      </c>
      <c r="E4996" s="12" t="inlineStr">
        <is>
          <t>RICE-8</t>
        </is>
      </c>
      <c r="F4996" s="12" t="inlineStr">
        <is>
          <t>RICE engine-generator 8</t>
        </is>
      </c>
      <c r="G4996" s="12" t="inlineStr">
        <is>
          <t>JB-RICE-8-RTD02</t>
        </is>
      </c>
      <c r="H4996" s="12" t="inlineStr">
        <is>
          <t>RICE engine-generator 8</t>
        </is>
      </c>
      <c r="I4996" s="12" t="inlineStr">
        <is>
          <t>Instrumentation</t>
        </is>
      </c>
      <c r="J4996" s="12" t="inlineStr">
        <is>
          <t>RTD cable, #18 shielded triads, PLTC</t>
        </is>
      </c>
      <c r="K4996" s="12" t="inlineStr">
        <is>
          <t>RTD|1 tri|18</t>
        </is>
      </c>
      <c r="L4996" s="12" t="inlineStr">
        <is>
          <t>1 tri</t>
        </is>
      </c>
      <c r="M4996" s="12" t="inlineStr">
        <is>
          <t>18</t>
        </is>
      </c>
      <c r="N4996" s="12" t="n">
        <v>2</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I-I-0394</t>
        </is>
      </c>
      <c r="B4997" s="12" t="inlineStr">
        <is>
          <t>I</t>
        </is>
      </c>
      <c r="C4997" s="12" t="inlineStr">
        <is>
          <t>Modular / portable power</t>
        </is>
      </c>
      <c r="D4997" s="12" t="inlineStr">
        <is>
          <t>Home run JB-RICE-8-RTD02 to the control / marshalling room</t>
        </is>
      </c>
      <c r="E4997" s="12" t="inlineStr"/>
      <c r="F4997" s="12" t="inlineStr">
        <is>
          <t>PCM: power control module</t>
        </is>
      </c>
      <c r="G4997" s="12" t="inlineStr">
        <is>
          <t>JB-RICE-8-RTD02</t>
        </is>
      </c>
      <c r="H4997" s="12" t="inlineStr">
        <is>
          <t>RICE engine-generator 8</t>
        </is>
      </c>
      <c r="I4997" s="12" t="inlineStr">
        <is>
          <t>Instrumentation</t>
        </is>
      </c>
      <c r="J4997" s="12" t="inlineStr">
        <is>
          <t>RTD cable, #18 shielded triads, PLTC</t>
        </is>
      </c>
      <c r="K4997" s="12" t="inlineStr">
        <is>
          <t>RTD|12 tri|18</t>
        </is>
      </c>
      <c r="L4997" s="12" t="inlineStr">
        <is>
          <t>12 tri</t>
        </is>
      </c>
      <c r="M4997" s="12" t="inlineStr">
        <is>
          <t>18</t>
        </is>
      </c>
      <c r="N4997" s="12" t="n">
        <v>1</v>
      </c>
      <c r="O4997" s="12" t="n">
        <v>1</v>
      </c>
      <c r="P4997" s="12" t="n"/>
      <c r="Q4997" s="12" t="n"/>
      <c r="R4997" s="12" t="n"/>
      <c r="S4997" s="12" t="inlineStr">
        <is>
          <t>Duct bank</t>
        </is>
      </c>
      <c r="T4997" s="15" t="n">
        <v>57</v>
      </c>
      <c r="U4997" s="15" t="n">
        <v>97</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I-I-0395</t>
        </is>
      </c>
      <c r="B4998" s="12" t="inlineStr">
        <is>
          <t>I</t>
        </is>
      </c>
      <c r="C4998" s="12" t="inlineStr">
        <is>
          <t>Modular / portable power</t>
        </is>
      </c>
      <c r="D4998" s="12" t="inlineStr">
        <is>
          <t>RICE-GSU-A monitoring: temperatures, gas relay, oil level</t>
        </is>
      </c>
      <c r="E4998" s="12" t="inlineStr"/>
      <c r="F4998" s="12" t="inlineStr">
        <is>
          <t>PCM: power control module</t>
        </is>
      </c>
      <c r="G4998" s="12" t="inlineStr">
        <is>
          <t>RICE-GSU-A</t>
        </is>
      </c>
      <c r="H4998" s="12" t="inlineStr">
        <is>
          <t>RICE-GSU-A: 13.8 / 34.5 kV group step-up, ~45 MVA (RICE 1-2)</t>
        </is>
      </c>
      <c r="I4998" s="12" t="inlineStr">
        <is>
          <t>Instrumentation</t>
        </is>
      </c>
      <c r="J4998" s="12" t="inlineStr">
        <is>
          <t>Instrumentation ITC / PLTC, IS, #18 shielded pairs, blue jacket</t>
        </is>
      </c>
      <c r="K4998" s="12" t="inlineStr">
        <is>
          <t>ITC|4 pr|18</t>
        </is>
      </c>
      <c r="L4998" s="12" t="inlineStr">
        <is>
          <t>4 pr</t>
        </is>
      </c>
      <c r="M4998" s="12" t="inlineStr">
        <is>
          <t>18</t>
        </is>
      </c>
      <c r="N4998" s="12" t="n">
        <v>1</v>
      </c>
      <c r="O4998" s="12" t="n">
        <v>1</v>
      </c>
      <c r="P4998" s="12" t="n"/>
      <c r="Q4998" s="12" t="n"/>
      <c r="R4998" s="12" t="n"/>
      <c r="S4998" s="12" t="inlineStr">
        <is>
          <t>Duct bank</t>
        </is>
      </c>
      <c r="T4998" s="15" t="n">
        <v>78</v>
      </c>
      <c r="U4998" s="15" t="n">
        <v>32</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I-I-0396</t>
        </is>
      </c>
      <c r="B4999" s="12" t="inlineStr">
        <is>
          <t>I</t>
        </is>
      </c>
      <c r="C4999" s="12" t="inlineStr">
        <is>
          <t>Modular / portable power</t>
        </is>
      </c>
      <c r="D4999" s="12" t="inlineStr">
        <is>
          <t>RICE-GSU-B monitoring: temperatures, gas relay, oil level</t>
        </is>
      </c>
      <c r="E4999" s="12" t="inlineStr"/>
      <c r="F4999" s="12" t="inlineStr">
        <is>
          <t>PCM: power control module</t>
        </is>
      </c>
      <c r="G4999" s="12" t="inlineStr">
        <is>
          <t>RICE-GSU-B</t>
        </is>
      </c>
      <c r="H4999" s="12" t="inlineStr">
        <is>
          <t>RICE-GSU-B: 13.8 / 34.5 kV group step-up, ~45 MVA (RICE 3-4)</t>
        </is>
      </c>
      <c r="I4999" s="12" t="inlineStr">
        <is>
          <t>Instrumentation</t>
        </is>
      </c>
      <c r="J4999" s="12" t="inlineStr">
        <is>
          <t>Instrumentation ITC / PLTC, IS, #18 shielded pairs, blue jacket</t>
        </is>
      </c>
      <c r="K4999" s="12" t="inlineStr">
        <is>
          <t>ITC|4 pr|18</t>
        </is>
      </c>
      <c r="L4999" s="12" t="inlineStr">
        <is>
          <t>4 pr</t>
        </is>
      </c>
      <c r="M4999" s="12" t="inlineStr">
        <is>
          <t>18</t>
        </is>
      </c>
      <c r="N4999" s="12" t="n">
        <v>1</v>
      </c>
      <c r="O4999" s="12" t="n">
        <v>1</v>
      </c>
      <c r="P4999" s="12" t="n"/>
      <c r="Q4999" s="12" t="n"/>
      <c r="R4999" s="12" t="n"/>
      <c r="S4999" s="12" t="inlineStr">
        <is>
          <t>Duct bank</t>
        </is>
      </c>
      <c r="T4999" s="15" t="n">
        <v>105</v>
      </c>
      <c r="U4999" s="15" t="n">
        <v>32</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I-I-0397</t>
        </is>
      </c>
      <c r="B5000" s="12" t="inlineStr">
        <is>
          <t>I</t>
        </is>
      </c>
      <c r="C5000" s="12" t="inlineStr">
        <is>
          <t>Modular / portable power</t>
        </is>
      </c>
      <c r="D5000" s="12" t="inlineStr">
        <is>
          <t>RICE-GSU-C monitoring: temperatures, gas relay, oil level</t>
        </is>
      </c>
      <c r="E5000" s="12" t="inlineStr"/>
      <c r="F5000" s="12" t="inlineStr">
        <is>
          <t>PCM: power control module</t>
        </is>
      </c>
      <c r="G5000" s="12" t="inlineStr">
        <is>
          <t>RICE-GSU-C</t>
        </is>
      </c>
      <c r="H5000" s="12" t="inlineStr">
        <is>
          <t>RICE-GSU-C: 13.8 / 34.5 kV group step-up, ~45 MVA (RICE 5-6)</t>
        </is>
      </c>
      <c r="I5000" s="12" t="inlineStr">
        <is>
          <t>Instrumentation</t>
        </is>
      </c>
      <c r="J5000" s="12" t="inlineStr">
        <is>
          <t>Instrumentation ITC / PLTC, IS, #18 shielded pairs, blue jacket</t>
        </is>
      </c>
      <c r="K5000" s="12" t="inlineStr">
        <is>
          <t>ITC|4 pr|18</t>
        </is>
      </c>
      <c r="L5000" s="12" t="inlineStr">
        <is>
          <t>4 pr</t>
        </is>
      </c>
      <c r="M5000" s="12" t="inlineStr">
        <is>
          <t>18</t>
        </is>
      </c>
      <c r="N5000" s="12" t="n">
        <v>1</v>
      </c>
      <c r="O5000" s="12" t="n">
        <v>1</v>
      </c>
      <c r="P5000" s="12" t="n"/>
      <c r="Q5000" s="12" t="n"/>
      <c r="R5000" s="12" t="n"/>
      <c r="S5000" s="12" t="inlineStr">
        <is>
          <t>Duct bank</t>
        </is>
      </c>
      <c r="T5000" s="15" t="n">
        <v>132</v>
      </c>
      <c r="U5000" s="15" t="n">
        <v>32</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I-I-0398</t>
        </is>
      </c>
      <c r="B5001" s="12" t="inlineStr">
        <is>
          <t>I</t>
        </is>
      </c>
      <c r="C5001" s="12" t="inlineStr">
        <is>
          <t>Modular / portable power</t>
        </is>
      </c>
      <c r="D5001" s="12" t="inlineStr">
        <is>
          <t>RICE-GSU-D monitoring: temperatures, gas relay, oil level</t>
        </is>
      </c>
      <c r="E5001" s="12" t="inlineStr"/>
      <c r="F5001" s="12" t="inlineStr">
        <is>
          <t>PCM: power control module</t>
        </is>
      </c>
      <c r="G5001" s="12" t="inlineStr">
        <is>
          <t>RICE-GSU-D</t>
        </is>
      </c>
      <c r="H5001" s="12" t="inlineStr">
        <is>
          <t>RICE-GSU-D: 13.8 / 34.5 kV group step-up, ~45 MVA (RICE 7-8)</t>
        </is>
      </c>
      <c r="I5001" s="12" t="inlineStr">
        <is>
          <t>Instrumentation</t>
        </is>
      </c>
      <c r="J5001" s="12" t="inlineStr">
        <is>
          <t>Instrumentation ITC / PLTC, IS, #18 shielded pairs, blue jacket</t>
        </is>
      </c>
      <c r="K5001" s="12" t="inlineStr">
        <is>
          <t>ITC|4 pr|18</t>
        </is>
      </c>
      <c r="L5001" s="12" t="inlineStr">
        <is>
          <t>4 pr</t>
        </is>
      </c>
      <c r="M5001" s="12" t="inlineStr">
        <is>
          <t>18</t>
        </is>
      </c>
      <c r="N5001" s="12" t="n">
        <v>1</v>
      </c>
      <c r="O5001" s="12" t="n">
        <v>1</v>
      </c>
      <c r="P5001" s="12" t="n"/>
      <c r="Q5001" s="12" t="n"/>
      <c r="R5001" s="12" t="n"/>
      <c r="S5001" s="12" t="inlineStr">
        <is>
          <t>Duct bank</t>
        </is>
      </c>
      <c r="T5001" s="15" t="n">
        <v>159</v>
      </c>
      <c r="U5001" s="15" t="n">
        <v>32</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I-I-0399</t>
        </is>
      </c>
      <c r="B5002" s="12" t="inlineStr">
        <is>
          <t>I</t>
        </is>
      </c>
      <c r="C5002" s="12" t="inlineStr">
        <is>
          <t>Modular / portable power</t>
        </is>
      </c>
      <c r="D5002" s="12" t="inlineStr">
        <is>
          <t>Instrumentation</t>
        </is>
      </c>
      <c r="E5002" s="12" t="inlineStr"/>
      <c r="F5002" s="12" t="inlineStr">
        <is>
          <t>PCM: power control module</t>
        </is>
      </c>
      <c r="G5002" s="12" t="inlineStr"/>
      <c r="H5002" s="12" t="inlineStr">
        <is>
          <t>Reagent storage</t>
        </is>
      </c>
      <c r="I5002" s="12" t="inlineStr">
        <is>
          <t>Instrumentation</t>
        </is>
      </c>
      <c r="J5002" s="12" t="inlineStr">
        <is>
          <t>Instrumentation PLTC / TC-ER 300 V, #18 twisted shielded pairs, overall shield</t>
        </is>
      </c>
      <c r="K5002" s="12" t="inlineStr">
        <is>
          <t>PLTC|4 pr|18</t>
        </is>
      </c>
      <c r="L5002" s="12" t="inlineStr">
        <is>
          <t>4 pr</t>
        </is>
      </c>
      <c r="M5002" s="12" t="inlineStr">
        <is>
          <t>18</t>
        </is>
      </c>
      <c r="N5002" s="12" t="n">
        <v>1</v>
      </c>
      <c r="O5002" s="12" t="n">
        <v>1</v>
      </c>
      <c r="P5002" s="12" t="n"/>
      <c r="Q5002" s="12" t="n"/>
      <c r="R5002" s="12" t="n"/>
      <c r="S5002" s="12" t="inlineStr">
        <is>
          <t>Duct bank</t>
        </is>
      </c>
      <c r="T5002" s="15" t="n">
        <v>258</v>
      </c>
      <c r="U5002" s="15" t="n">
        <v>110</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I-I-0400</t>
        </is>
      </c>
      <c r="B5003" s="12" t="inlineStr">
        <is>
          <t>I</t>
        </is>
      </c>
      <c r="C5003" s="12" t="inlineStr">
        <is>
          <t>Modular / portable power</t>
        </is>
      </c>
      <c r="D5003" s="12" t="inlineStr">
        <is>
          <t>Analog instrument to JB JB-SC-1 CEMS shelter-AI01: 12 x 1 pr (field cables)</t>
        </is>
      </c>
      <c r="E5003" s="12" t="inlineStr"/>
      <c r="F5003" s="12" t="inlineStr">
        <is>
          <t>SC-1 CEMS shelter</t>
        </is>
      </c>
      <c r="G5003" s="12" t="inlineStr">
        <is>
          <t>JB-SC-1 CEMS shelter-AI01</t>
        </is>
      </c>
      <c r="H5003" s="12" t="inlineStr">
        <is>
          <t>SC-1 CEMS shelter</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12</v>
      </c>
      <c r="O5003" s="12" t="n">
        <v>1</v>
      </c>
      <c r="P5003" s="12" t="n"/>
      <c r="Q5003" s="12" t="n"/>
      <c r="R5003" s="12" t="n"/>
      <c r="S5003" s="12" t="inlineStr">
        <is>
          <t>Tray / conduit</t>
        </is>
      </c>
      <c r="T5003" s="15" t="n">
        <v>57</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I-I-0401</t>
        </is>
      </c>
      <c r="B5004" s="12" t="inlineStr">
        <is>
          <t>I</t>
        </is>
      </c>
      <c r="C5004" s="12" t="inlineStr">
        <is>
          <t>Modular / portable power</t>
        </is>
      </c>
      <c r="D5004" s="12" t="inlineStr">
        <is>
          <t>Home run JB-SC-1 CEMS shelter-AI01 to the control / marshalling room</t>
        </is>
      </c>
      <c r="E5004" s="12" t="inlineStr"/>
      <c r="F5004" s="12" t="inlineStr">
        <is>
          <t>SC-1 PCM + 15 kV GCB</t>
        </is>
      </c>
      <c r="G5004" s="12" t="inlineStr">
        <is>
          <t>JB-SC-1 CEMS shelter-AI01</t>
        </is>
      </c>
      <c r="H5004" s="12" t="inlineStr">
        <is>
          <t>SC-1 CEMS shelter</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5" t="n">
        <v>81</v>
      </c>
      <c r="U5004" s="15" t="n">
        <v>106</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I-I-0402</t>
        </is>
      </c>
      <c r="B5005" s="12" t="inlineStr">
        <is>
          <t>I</t>
        </is>
      </c>
      <c r="C5005" s="12" t="inlineStr">
        <is>
          <t>Modular / portable power</t>
        </is>
      </c>
      <c r="D5005" s="12" t="inlineStr">
        <is>
          <t>Discrete device to JB JB-SC-1 CEMS shelter-DI01: 10 x 1 pr (field cables)</t>
        </is>
      </c>
      <c r="E5005" s="12" t="inlineStr"/>
      <c r="F5005" s="12" t="inlineStr">
        <is>
          <t>SC-1 CEMS shelter</t>
        </is>
      </c>
      <c r="G5005" s="12" t="inlineStr">
        <is>
          <t>JB-SC-1 CEMS shelter-DI01</t>
        </is>
      </c>
      <c r="H5005" s="12" t="inlineStr">
        <is>
          <t>SC-1 CEMS shelter</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10</v>
      </c>
      <c r="O5005" s="12" t="n">
        <v>1</v>
      </c>
      <c r="P5005" s="12" t="n"/>
      <c r="Q5005" s="12" t="n"/>
      <c r="R5005" s="12" t="n"/>
      <c r="S5005" s="12" t="inlineStr">
        <is>
          <t>Tray / conduit</t>
        </is>
      </c>
      <c r="T5005" s="15" t="n">
        <v>57</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I-I-0403</t>
        </is>
      </c>
      <c r="B5006" s="12" t="inlineStr">
        <is>
          <t>I</t>
        </is>
      </c>
      <c r="C5006" s="12" t="inlineStr">
        <is>
          <t>Modular / portable power</t>
        </is>
      </c>
      <c r="D5006" s="12" t="inlineStr">
        <is>
          <t>Home run JB-SC-1 CEMS shelter-DI01 to the control / marshalling room</t>
        </is>
      </c>
      <c r="E5006" s="12" t="inlineStr"/>
      <c r="F5006" s="12" t="inlineStr">
        <is>
          <t>SC-1 PCM + 15 kV GCB</t>
        </is>
      </c>
      <c r="G5006" s="12" t="inlineStr">
        <is>
          <t>JB-SC-1 CEMS shelter-DI01</t>
        </is>
      </c>
      <c r="H5006" s="12" t="inlineStr">
        <is>
          <t>SC-1 CEMS shelter</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5" t="n">
        <v>81</v>
      </c>
      <c r="U5006" s="15" t="n">
        <v>106</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I-I-0404</t>
        </is>
      </c>
      <c r="B5007" s="12" t="inlineStr">
        <is>
          <t>I</t>
        </is>
      </c>
      <c r="C5007" s="12" t="inlineStr">
        <is>
          <t>Modular / portable power</t>
        </is>
      </c>
      <c r="D5007" s="12" t="inlineStr">
        <is>
          <t>Analog instrument to JB JB-SC-1 SCR / CO cata-AI01: 16 x 1 pr (field cables)</t>
        </is>
      </c>
      <c r="E5007" s="12" t="inlineStr"/>
      <c r="F5007" s="12" t="inlineStr">
        <is>
          <t>SC-1 SCR / CO catalyst</t>
        </is>
      </c>
      <c r="G5007" s="12" t="inlineStr">
        <is>
          <t>JB-SC-1 SCR / CO cata-AI01</t>
        </is>
      </c>
      <c r="H5007" s="12" t="inlineStr">
        <is>
          <t>SC-1 SCR / CO catalyst</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16</v>
      </c>
      <c r="O5007" s="12" t="n">
        <v>1</v>
      </c>
      <c r="P5007" s="12" t="n"/>
      <c r="Q5007" s="12" t="n"/>
      <c r="R5007" s="12" t="n"/>
      <c r="S5007" s="12" t="inlineStr">
        <is>
          <t>Tray / conduit</t>
        </is>
      </c>
      <c r="T5007" s="15" t="n">
        <v>74</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I-I-0405</t>
        </is>
      </c>
      <c r="B5008" s="12" t="inlineStr">
        <is>
          <t>I</t>
        </is>
      </c>
      <c r="C5008" s="12" t="inlineStr">
        <is>
          <t>Modular / portable power</t>
        </is>
      </c>
      <c r="D5008" s="12" t="inlineStr">
        <is>
          <t>Home run JB-SC-1 SCR / CO cata-AI01 to the control / marshalling room</t>
        </is>
      </c>
      <c r="E5008" s="12" t="inlineStr"/>
      <c r="F5008" s="12" t="inlineStr">
        <is>
          <t>SC-1 PCM + 15 kV GCB</t>
        </is>
      </c>
      <c r="G5008" s="12" t="inlineStr">
        <is>
          <t>JB-SC-1 SCR / CO cata-AI01</t>
        </is>
      </c>
      <c r="H5008" s="12" t="inlineStr">
        <is>
          <t>SC-1 SCR / CO catalyst</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5" t="n">
        <v>55</v>
      </c>
      <c r="U5008" s="15" t="n">
        <v>57</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I-I-0406</t>
        </is>
      </c>
      <c r="B5009" s="12" t="inlineStr">
        <is>
          <t>I</t>
        </is>
      </c>
      <c r="C5009" s="12" t="inlineStr">
        <is>
          <t>Modular / portable power</t>
        </is>
      </c>
      <c r="D5009" s="12" t="inlineStr">
        <is>
          <t>Discrete device to JB JB-SC-1 SCR / CO cata-DI01: 8 x 1 pr (field cables)</t>
        </is>
      </c>
      <c r="E5009" s="12" t="inlineStr"/>
      <c r="F5009" s="12" t="inlineStr">
        <is>
          <t>SC-1 SCR / CO catalyst</t>
        </is>
      </c>
      <c r="G5009" s="12" t="inlineStr">
        <is>
          <t>JB-SC-1 SCR / CO cata-DI01</t>
        </is>
      </c>
      <c r="H5009" s="12" t="inlineStr">
        <is>
          <t>SC-1 SCR / CO catalyst</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8</v>
      </c>
      <c r="O5009" s="12" t="n">
        <v>1</v>
      </c>
      <c r="P5009" s="12" t="n"/>
      <c r="Q5009" s="12" t="n"/>
      <c r="R5009" s="12" t="n"/>
      <c r="S5009" s="12" t="inlineStr">
        <is>
          <t>Tray / conduit</t>
        </is>
      </c>
      <c r="T5009" s="15" t="n">
        <v>74</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I-I-0407</t>
        </is>
      </c>
      <c r="B5010" s="12" t="inlineStr">
        <is>
          <t>I</t>
        </is>
      </c>
      <c r="C5010" s="12" t="inlineStr">
        <is>
          <t>Modular / portable power</t>
        </is>
      </c>
      <c r="D5010" s="12" t="inlineStr">
        <is>
          <t>Home run JB-SC-1 SCR / CO cata-DI01 to the control / marshalling room</t>
        </is>
      </c>
      <c r="E5010" s="12" t="inlineStr"/>
      <c r="F5010" s="12" t="inlineStr">
        <is>
          <t>SC-1 PCM + 15 kV GCB</t>
        </is>
      </c>
      <c r="G5010" s="12" t="inlineStr">
        <is>
          <t>JB-SC-1 SCR / CO cata-DI01</t>
        </is>
      </c>
      <c r="H5010" s="12" t="inlineStr">
        <is>
          <t>SC-1 SCR / CO catalyst</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55</v>
      </c>
      <c r="U5010" s="15" t="n">
        <v>57</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I-I-0408</t>
        </is>
      </c>
      <c r="B5011" s="12" t="inlineStr">
        <is>
          <t>I</t>
        </is>
      </c>
      <c r="C5011" s="12" t="inlineStr">
        <is>
          <t>Modular / portable power</t>
        </is>
      </c>
      <c r="D5011" s="12" t="inlineStr">
        <is>
          <t>Analog instrument to JB JB-SC-1 ammonia flow--AI01: 8 x 1 pr (field cables)</t>
        </is>
      </c>
      <c r="E5011" s="12" t="inlineStr"/>
      <c r="F5011" s="12" t="inlineStr">
        <is>
          <t>SC-1 ammonia flow-control unit</t>
        </is>
      </c>
      <c r="G5011" s="12" t="inlineStr">
        <is>
          <t>JB-SC-1 ammonia flow--AI01</t>
        </is>
      </c>
      <c r="H5011" s="12" t="inlineStr">
        <is>
          <t>SC-1 ammonia flow-control unit</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8</v>
      </c>
      <c r="O5011" s="12" t="n">
        <v>1</v>
      </c>
      <c r="P5011" s="12" t="n"/>
      <c r="Q5011" s="12" t="n"/>
      <c r="R5011" s="12" t="n"/>
      <c r="S5011" s="12" t="inlineStr">
        <is>
          <t>Tray / conduit</t>
        </is>
      </c>
      <c r="T5011" s="15" t="n">
        <v>40</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I-I-0409</t>
        </is>
      </c>
      <c r="B5012" s="12" t="inlineStr">
        <is>
          <t>I</t>
        </is>
      </c>
      <c r="C5012" s="12" t="inlineStr">
        <is>
          <t>Modular / portable power</t>
        </is>
      </c>
      <c r="D5012" s="12" t="inlineStr">
        <is>
          <t>Home run JB-SC-1 ammonia flow--AI01 to the control / marshalling room</t>
        </is>
      </c>
      <c r="E5012" s="12" t="inlineStr"/>
      <c r="F5012" s="12" t="inlineStr">
        <is>
          <t>SC-1 PCM + 15 kV GCB</t>
        </is>
      </c>
      <c r="G5012" s="12" t="inlineStr">
        <is>
          <t>JB-SC-1 ammonia flow--AI01</t>
        </is>
      </c>
      <c r="H5012" s="12" t="inlineStr">
        <is>
          <t>SC-1 ammonia flow-control unit</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55</v>
      </c>
      <c r="U5012" s="15" t="n">
        <v>55</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I-I-0410</t>
        </is>
      </c>
      <c r="B5013" s="12" t="inlineStr">
        <is>
          <t>I</t>
        </is>
      </c>
      <c r="C5013" s="12" t="inlineStr">
        <is>
          <t>Modular / portable power</t>
        </is>
      </c>
      <c r="D5013" s="12" t="inlineStr">
        <is>
          <t>Discrete device to JB JB-SC-1 ammonia flow--DI01: 8 x 1 pr (field cables)</t>
        </is>
      </c>
      <c r="E5013" s="12" t="inlineStr"/>
      <c r="F5013" s="12" t="inlineStr">
        <is>
          <t>SC-1 ammonia flow-control unit</t>
        </is>
      </c>
      <c r="G5013" s="12" t="inlineStr">
        <is>
          <t>JB-SC-1 ammonia flow--DI01</t>
        </is>
      </c>
      <c r="H5013" s="12" t="inlineStr">
        <is>
          <t>SC-1 ammonia flow-control unit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5" t="n">
        <v>40</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I-I-0411</t>
        </is>
      </c>
      <c r="B5014" s="12" t="inlineStr">
        <is>
          <t>I</t>
        </is>
      </c>
      <c r="C5014" s="12" t="inlineStr">
        <is>
          <t>Modular / portable power</t>
        </is>
      </c>
      <c r="D5014" s="12" t="inlineStr">
        <is>
          <t>Home run JB-SC-1 ammonia flow--DI01 to the control / marshalling room</t>
        </is>
      </c>
      <c r="E5014" s="12" t="inlineStr"/>
      <c r="F5014" s="12" t="inlineStr">
        <is>
          <t>SC-1 PCM + 15 kV GCB</t>
        </is>
      </c>
      <c r="G5014" s="12" t="inlineStr">
        <is>
          <t>JB-SC-1 ammonia flow--DI01</t>
        </is>
      </c>
      <c r="H5014" s="12" t="inlineStr">
        <is>
          <t>SC-1 ammonia flow-control unit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55</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I-I-0412</t>
        </is>
      </c>
      <c r="B5015" s="12" t="inlineStr">
        <is>
          <t>I</t>
        </is>
      </c>
      <c r="C5015" s="12" t="inlineStr">
        <is>
          <t>Modular / portable power</t>
        </is>
      </c>
      <c r="D5015" s="12" t="inlineStr">
        <is>
          <t>Analog instrument to JB JB-SC-1 auxiliary ski-AI01: 14 x 1 pr (field cables)</t>
        </is>
      </c>
      <c r="E5015" s="12" t="inlineStr"/>
      <c r="F5015" s="12" t="inlineStr">
        <is>
          <t>SC-1 auxiliary skids: fuel-gas module, water-wash skid</t>
        </is>
      </c>
      <c r="G5015" s="12" t="inlineStr">
        <is>
          <t>JB-SC-1 auxiliary ski-AI01</t>
        </is>
      </c>
      <c r="H5015" s="12" t="inlineStr">
        <is>
          <t>SC-1 auxiliary skids: fuel-gas module, water-wash skid</t>
        </is>
      </c>
      <c r="I5015" s="12" t="inlineStr">
        <is>
          <t>Instrumentation</t>
        </is>
      </c>
      <c r="J5015" s="12" t="inlineStr">
        <is>
          <t>Instrumentation ITC / PLTC, IS, #18 shielded pairs, blue jacket</t>
        </is>
      </c>
      <c r="K5015" s="12" t="inlineStr">
        <is>
          <t>ITC|1 pr|16</t>
        </is>
      </c>
      <c r="L5015" s="12" t="inlineStr">
        <is>
          <t>1 pr</t>
        </is>
      </c>
      <c r="M5015" s="12" t="inlineStr">
        <is>
          <t>16</t>
        </is>
      </c>
      <c r="N5015" s="12" t="n">
        <v>14</v>
      </c>
      <c r="O5015" s="12" t="n">
        <v>1</v>
      </c>
      <c r="P5015" s="12" t="n"/>
      <c r="Q5015" s="12" t="n"/>
      <c r="R5015" s="12" t="n"/>
      <c r="S5015" s="12" t="inlineStr">
        <is>
          <t>Tray / conduit</t>
        </is>
      </c>
      <c r="T5015" s="15" t="n">
        <v>63</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I-I-0413</t>
        </is>
      </c>
      <c r="B5016" s="12" t="inlineStr">
        <is>
          <t>I</t>
        </is>
      </c>
      <c r="C5016" s="12" t="inlineStr">
        <is>
          <t>Modular / portable power</t>
        </is>
      </c>
      <c r="D5016" s="12" t="inlineStr">
        <is>
          <t>Home run JB-SC-1 auxiliary ski-AI01 to the control / marshalling room</t>
        </is>
      </c>
      <c r="E5016" s="12" t="inlineStr"/>
      <c r="F5016" s="12" t="inlineStr">
        <is>
          <t>SC-1 PCM + 15 kV GCB</t>
        </is>
      </c>
      <c r="G5016" s="12" t="inlineStr">
        <is>
          <t>JB-SC-1 auxiliary ski-AI01</t>
        </is>
      </c>
      <c r="H5016" s="12" t="inlineStr">
        <is>
          <t>SC-1 auxiliary skids: fuel-gas module, water-wash skid</t>
        </is>
      </c>
      <c r="I5016" s="12" t="inlineStr">
        <is>
          <t>Instrumentation</t>
        </is>
      </c>
      <c r="J5016" s="12" t="inlineStr">
        <is>
          <t>Instrumentation ITC / PLTC, IS, #18 shielded pairs, blue jacket</t>
        </is>
      </c>
      <c r="K5016" s="12" t="inlineStr">
        <is>
          <t>ITC|24 pr|18</t>
        </is>
      </c>
      <c r="L5016" s="12" t="inlineStr">
        <is>
          <t>24 pr</t>
        </is>
      </c>
      <c r="M5016" s="12" t="inlineStr">
        <is>
          <t>18</t>
        </is>
      </c>
      <c r="N5016" s="12" t="n">
        <v>1</v>
      </c>
      <c r="O5016" s="12" t="n">
        <v>1</v>
      </c>
      <c r="P5016" s="12" t="n"/>
      <c r="Q5016" s="12" t="n"/>
      <c r="R5016" s="12" t="n"/>
      <c r="S5016" s="12" t="inlineStr">
        <is>
          <t>Tray</t>
        </is>
      </c>
      <c r="T5016" s="15" t="n">
        <v>5</v>
      </c>
      <c r="U5016" s="15" t="n">
        <v>49</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I-I-0414</t>
        </is>
      </c>
      <c r="B5017" s="12" t="inlineStr">
        <is>
          <t>I</t>
        </is>
      </c>
      <c r="C5017" s="12" t="inlineStr">
        <is>
          <t>Modular / portable power</t>
        </is>
      </c>
      <c r="D5017" s="12" t="inlineStr">
        <is>
          <t>Discrete device to JB JB-SC-1 auxiliary ski-DI01: 12 x 1 pr (field cables)</t>
        </is>
      </c>
      <c r="E5017" s="12" t="inlineStr"/>
      <c r="F5017" s="12" t="inlineStr">
        <is>
          <t>SC-1 auxiliary skids: fuel-gas module, water-wash skid</t>
        </is>
      </c>
      <c r="G5017" s="12" t="inlineStr">
        <is>
          <t>JB-SC-1 auxiliary ski-DI01</t>
        </is>
      </c>
      <c r="H5017" s="12" t="inlineStr">
        <is>
          <t>SC-1 auxiliary skids: fuel-gas module, water-wash skid</t>
        </is>
      </c>
      <c r="I5017" s="12" t="inlineStr">
        <is>
          <t>Instrumentation</t>
        </is>
      </c>
      <c r="J5017" s="12" t="inlineStr">
        <is>
          <t>Instrumentation ITC / PLTC, IS, #18 shielded pairs, blue jacket</t>
        </is>
      </c>
      <c r="K5017" s="12" t="inlineStr">
        <is>
          <t>ITC|1 pr|16</t>
        </is>
      </c>
      <c r="L5017" s="12" t="inlineStr">
        <is>
          <t>1 pr</t>
        </is>
      </c>
      <c r="M5017" s="12" t="inlineStr">
        <is>
          <t>16</t>
        </is>
      </c>
      <c r="N5017" s="12" t="n">
        <v>12</v>
      </c>
      <c r="O5017" s="12" t="n">
        <v>1</v>
      </c>
      <c r="P5017" s="12" t="n"/>
      <c r="Q5017" s="12" t="n"/>
      <c r="R5017" s="12" t="n"/>
      <c r="S5017" s="12" t="inlineStr">
        <is>
          <t>Tray / conduit</t>
        </is>
      </c>
      <c r="T5017" s="15" t="n">
        <v>63</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I-I-0415</t>
        </is>
      </c>
      <c r="B5018" s="12" t="inlineStr">
        <is>
          <t>I</t>
        </is>
      </c>
      <c r="C5018" s="12" t="inlineStr">
        <is>
          <t>Modular / portable power</t>
        </is>
      </c>
      <c r="D5018" s="12" t="inlineStr">
        <is>
          <t>Home run JB-SC-1 auxiliary ski-DI01 to the control / marshalling room</t>
        </is>
      </c>
      <c r="E5018" s="12" t="inlineStr"/>
      <c r="F5018" s="12" t="inlineStr">
        <is>
          <t>SC-1 PCM + 15 kV GCB</t>
        </is>
      </c>
      <c r="G5018" s="12" t="inlineStr">
        <is>
          <t>JB-SC-1 auxiliary ski-DI01</t>
        </is>
      </c>
      <c r="H5018" s="12" t="inlineStr">
        <is>
          <t>SC-1 auxiliary skids: fuel-gas module, water-wash skid</t>
        </is>
      </c>
      <c r="I5018" s="12" t="inlineStr">
        <is>
          <t>Instrumentation</t>
        </is>
      </c>
      <c r="J5018" s="12" t="inlineStr">
        <is>
          <t>Instrumentation ITC / PLTC, IS, #18 shielded pairs, blue jacket</t>
        </is>
      </c>
      <c r="K5018" s="12" t="inlineStr">
        <is>
          <t>ITC|24 pr|18</t>
        </is>
      </c>
      <c r="L5018" s="12" t="inlineStr">
        <is>
          <t>24 pr</t>
        </is>
      </c>
      <c r="M5018" s="12" t="inlineStr">
        <is>
          <t>18</t>
        </is>
      </c>
      <c r="N5018" s="12" t="n">
        <v>1</v>
      </c>
      <c r="O5018" s="12" t="n">
        <v>1</v>
      </c>
      <c r="P5018" s="12" t="n"/>
      <c r="Q5018" s="12" t="n"/>
      <c r="R5018" s="12" t="n"/>
      <c r="S5018" s="12" t="inlineStr">
        <is>
          <t>Tray</t>
        </is>
      </c>
      <c r="T5018" s="15" t="n">
        <v>5</v>
      </c>
      <c r="U5018" s="15" t="n">
        <v>49</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I-I-0416</t>
        </is>
      </c>
      <c r="B5019" s="12" t="inlineStr">
        <is>
          <t>I</t>
        </is>
      </c>
      <c r="C5019" s="12" t="inlineStr">
        <is>
          <t>Modular / portable power</t>
        </is>
      </c>
      <c r="D5019" s="12" t="inlineStr">
        <is>
          <t>Analog instrument to JB JB-SC-1 lube-oil fin--AI01: 4 x 1 pr (field cables)</t>
        </is>
      </c>
      <c r="E5019" s="12" t="inlineStr"/>
      <c r="F5019" s="12" t="inlineStr">
        <is>
          <t>SC-1 lube-oil fin-fan cooler</t>
        </is>
      </c>
      <c r="G5019" s="12" t="inlineStr">
        <is>
          <t>JB-SC-1 lube-oil fin--AI01</t>
        </is>
      </c>
      <c r="H5019" s="12" t="inlineStr">
        <is>
          <t>SC-1 lube-oil fin-fan cooler</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4</v>
      </c>
      <c r="O5019" s="12" t="n">
        <v>1</v>
      </c>
      <c r="P5019" s="12" t="n"/>
      <c r="Q5019" s="12" t="n"/>
      <c r="R5019" s="12" t="n"/>
      <c r="S5019" s="12" t="inlineStr">
        <is>
          <t>Tray / conduit</t>
        </is>
      </c>
      <c r="T5019" s="15" t="n">
        <v>46</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I-I-0417</t>
        </is>
      </c>
      <c r="B5020" s="12" t="inlineStr">
        <is>
          <t>I</t>
        </is>
      </c>
      <c r="C5020" s="12" t="inlineStr">
        <is>
          <t>Modular / portable power</t>
        </is>
      </c>
      <c r="D5020" s="12" t="inlineStr">
        <is>
          <t>Home run JB-SC-1 lube-oil fin--AI01 to the control / marshalling room</t>
        </is>
      </c>
      <c r="E5020" s="12" t="inlineStr"/>
      <c r="F5020" s="12" t="inlineStr">
        <is>
          <t>SC-1 PCM + 15 kV GCB</t>
        </is>
      </c>
      <c r="G5020" s="12" t="inlineStr">
        <is>
          <t>JB-SC-1 lube-oil fin--AI01</t>
        </is>
      </c>
      <c r="H5020" s="12" t="inlineStr">
        <is>
          <t>SC-1 lube-oil fin-fan cooler</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Riser</t>
        </is>
      </c>
      <c r="T5020" s="15" t="n">
        <v>9</v>
      </c>
      <c r="U5020" s="15" t="n">
        <v>33</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I-I-0418</t>
        </is>
      </c>
      <c r="B5021" s="12" t="inlineStr">
        <is>
          <t>I</t>
        </is>
      </c>
      <c r="C5021" s="12" t="inlineStr">
        <is>
          <t>Modular / portable power</t>
        </is>
      </c>
      <c r="D5021" s="12" t="inlineStr">
        <is>
          <t>Discrete device to JB JB-SC-1 lube-oil fin--DI01: 8 x 1 pr (field cables)</t>
        </is>
      </c>
      <c r="E5021" s="12" t="inlineStr"/>
      <c r="F5021" s="12" t="inlineStr">
        <is>
          <t>SC-1 lube-oil fin-fan cooler</t>
        </is>
      </c>
      <c r="G5021" s="12" t="inlineStr">
        <is>
          <t>JB-SC-1 lube-oil fin--DI01</t>
        </is>
      </c>
      <c r="H5021" s="12" t="inlineStr">
        <is>
          <t>SC-1 lube-oil fin-fan cooler</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8</v>
      </c>
      <c r="O5021" s="12" t="n">
        <v>1</v>
      </c>
      <c r="P5021" s="12" t="n"/>
      <c r="Q5021" s="12" t="n"/>
      <c r="R5021" s="12" t="n"/>
      <c r="S5021" s="12" t="inlineStr">
        <is>
          <t>Tray / conduit</t>
        </is>
      </c>
      <c r="T5021" s="15" t="n">
        <v>46</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I-I-0419</t>
        </is>
      </c>
      <c r="B5022" s="12" t="inlineStr">
        <is>
          <t>I</t>
        </is>
      </c>
      <c r="C5022" s="12" t="inlineStr">
        <is>
          <t>Modular / portable power</t>
        </is>
      </c>
      <c r="D5022" s="12" t="inlineStr">
        <is>
          <t>Home run JB-SC-1 lube-oil fin--DI01 to the control / marshalling room</t>
        </is>
      </c>
      <c r="E5022" s="12" t="inlineStr"/>
      <c r="F5022" s="12" t="inlineStr">
        <is>
          <t>SC-1 PCM + 15 kV GCB</t>
        </is>
      </c>
      <c r="G5022" s="12" t="inlineStr">
        <is>
          <t>JB-SC-1 lube-oil fin--DI01</t>
        </is>
      </c>
      <c r="H5022" s="12" t="inlineStr">
        <is>
          <t>SC-1 lube-oil fin-fan cooler</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Riser</t>
        </is>
      </c>
      <c r="T5022" s="15" t="n">
        <v>9</v>
      </c>
      <c r="U5022" s="15" t="n">
        <v>33</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I-I-0420</t>
        </is>
      </c>
      <c r="B5023" s="12" t="inlineStr">
        <is>
          <t>I</t>
        </is>
      </c>
      <c r="C5023" s="12" t="inlineStr">
        <is>
          <t>Modular / portable power</t>
        </is>
      </c>
      <c r="D5023" s="12" t="inlineStr">
        <is>
          <t>Analog instrument to JB JB-SC-1 tempering-air-AI01: 8 x 1 pr (field cables)</t>
        </is>
      </c>
      <c r="E5023" s="12" t="inlineStr"/>
      <c r="F5023" s="12" t="inlineStr">
        <is>
          <t>SC-1 tempering-air fans (2 x 100 %)</t>
        </is>
      </c>
      <c r="G5023" s="12" t="inlineStr">
        <is>
          <t>JB-SC-1 tempering-air-AI01</t>
        </is>
      </c>
      <c r="H5023" s="12" t="inlineStr">
        <is>
          <t>SC-1 tempering-air fans (2 x 100 %)</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8</v>
      </c>
      <c r="O5023" s="12" t="n">
        <v>1</v>
      </c>
      <c r="P5023" s="12" t="n"/>
      <c r="Q5023" s="12" t="n"/>
      <c r="R5023" s="12" t="n"/>
      <c r="S5023" s="12" t="inlineStr">
        <is>
          <t>Tray / conduit</t>
        </is>
      </c>
      <c r="T5023" s="15" t="n">
        <v>53</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I-I-0421</t>
        </is>
      </c>
      <c r="B5024" s="12" t="inlineStr">
        <is>
          <t>I</t>
        </is>
      </c>
      <c r="C5024" s="12" t="inlineStr">
        <is>
          <t>Modular / portable power</t>
        </is>
      </c>
      <c r="D5024" s="12" t="inlineStr">
        <is>
          <t>Home run JB-SC-1 tempering-air-AI01 to the control / marshalling room</t>
        </is>
      </c>
      <c r="E5024" s="12" t="inlineStr"/>
      <c r="F5024" s="12" t="inlineStr">
        <is>
          <t>SC-1 PCM + 15 kV GCB</t>
        </is>
      </c>
      <c r="G5024" s="12" t="inlineStr">
        <is>
          <t>JB-SC-1 tempering-air-AI01</t>
        </is>
      </c>
      <c r="H5024" s="12" t="inlineStr">
        <is>
          <t>SC-1 tempering-air fans (2 x 100 %)</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Duct bank</t>
        </is>
      </c>
      <c r="T5024" s="15" t="n">
        <v>15</v>
      </c>
      <c r="U5024" s="15" t="n">
        <v>99</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I-I-0422</t>
        </is>
      </c>
      <c r="B5025" s="12" t="inlineStr">
        <is>
          <t>I</t>
        </is>
      </c>
      <c r="C5025" s="12" t="inlineStr">
        <is>
          <t>Modular / portable power</t>
        </is>
      </c>
      <c r="D5025" s="12" t="inlineStr">
        <is>
          <t>Discrete device to JB JB-SC-1 tempering-air-DI01: 8 x 1 pr (field cables)</t>
        </is>
      </c>
      <c r="E5025" s="12" t="inlineStr"/>
      <c r="F5025" s="12" t="inlineStr">
        <is>
          <t>SC-1 tempering-air fans (2 x 100 %)</t>
        </is>
      </c>
      <c r="G5025" s="12" t="inlineStr">
        <is>
          <t>JB-SC-1 tempering-air-DI01</t>
        </is>
      </c>
      <c r="H5025" s="12" t="inlineStr">
        <is>
          <t>SC-1 tempering-air fans (2 x 100 %)</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5" t="n">
        <v>53</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I-I-0423</t>
        </is>
      </c>
      <c r="B5026" s="12" t="inlineStr">
        <is>
          <t>I</t>
        </is>
      </c>
      <c r="C5026" s="12" t="inlineStr">
        <is>
          <t>Modular / portable power</t>
        </is>
      </c>
      <c r="D5026" s="12" t="inlineStr">
        <is>
          <t>Home run JB-SC-1 tempering-air-DI01 to the control / marshalling room</t>
        </is>
      </c>
      <c r="E5026" s="12" t="inlineStr"/>
      <c r="F5026" s="12" t="inlineStr">
        <is>
          <t>SC-1 PCM + 15 kV GCB</t>
        </is>
      </c>
      <c r="G5026" s="12" t="inlineStr">
        <is>
          <t>JB-SC-1 tempering-air-DI01</t>
        </is>
      </c>
      <c r="H5026" s="12" t="inlineStr">
        <is>
          <t>SC-1 tempering-air fans (2 x 100 %)</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Duct bank</t>
        </is>
      </c>
      <c r="T5026" s="15" t="n">
        <v>15</v>
      </c>
      <c r="U5026" s="15" t="n">
        <v>99</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I-I-0424</t>
        </is>
      </c>
      <c r="B5027" s="12" t="inlineStr">
        <is>
          <t>I</t>
        </is>
      </c>
      <c r="C5027" s="12" t="inlineStr">
        <is>
          <t>Modular / portable power</t>
        </is>
      </c>
      <c r="D5027" s="12" t="inlineStr">
        <is>
          <t>Analog instrument to JB JB-SC-1-AI01: 20 x 1 pr (field cables)</t>
        </is>
      </c>
      <c r="E5027" s="12" t="inlineStr">
        <is>
          <t>SC-1</t>
        </is>
      </c>
      <c r="F5027" s="12" t="inlineStr">
        <is>
          <t>SC-1: aeroderivative simple-cycle unit (LM6000 class)</t>
        </is>
      </c>
      <c r="G5027" s="12" t="inlineStr">
        <is>
          <t>JB-SC-1-AI01</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5" t="n">
        <v>99</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I-I-0425</t>
        </is>
      </c>
      <c r="B5028" s="12" t="inlineStr">
        <is>
          <t>I</t>
        </is>
      </c>
      <c r="C5028" s="12" t="inlineStr">
        <is>
          <t>Modular / portable power</t>
        </is>
      </c>
      <c r="D5028" s="12" t="inlineStr">
        <is>
          <t>Home run JB-SC-1-AI01 to the control / marshalling room</t>
        </is>
      </c>
      <c r="E5028" s="12" t="inlineStr"/>
      <c r="F5028" s="12" t="inlineStr">
        <is>
          <t>SC-1 PCM + 15 kV GCB</t>
        </is>
      </c>
      <c r="G5028" s="12" t="inlineStr">
        <is>
          <t>JB-SC-1-AI01</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Tray</t>
        </is>
      </c>
      <c r="T5028" s="15" t="n">
        <v>5</v>
      </c>
      <c r="U5028" s="15" t="n">
        <v>62</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I-I-0426</t>
        </is>
      </c>
      <c r="B5029" s="12" t="inlineStr">
        <is>
          <t>I</t>
        </is>
      </c>
      <c r="C5029" s="12" t="inlineStr">
        <is>
          <t>Modular / portable power</t>
        </is>
      </c>
      <c r="D5029" s="12" t="inlineStr">
        <is>
          <t>Analog instrument to JB JB-SC-1-AI02: 20 x 1 pr (field cables)</t>
        </is>
      </c>
      <c r="E5029" s="12" t="inlineStr">
        <is>
          <t>SC-1</t>
        </is>
      </c>
      <c r="F5029" s="12" t="inlineStr">
        <is>
          <t>SC-1: aeroderivative simple-cycle unit (LM6000 class)</t>
        </is>
      </c>
      <c r="G5029" s="12" t="inlineStr">
        <is>
          <t>JB-SC-1-AI02</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5" t="n">
        <v>99</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I-I-0427</t>
        </is>
      </c>
      <c r="B5030" s="12" t="inlineStr">
        <is>
          <t>I</t>
        </is>
      </c>
      <c r="C5030" s="12" t="inlineStr">
        <is>
          <t>Modular / portable power</t>
        </is>
      </c>
      <c r="D5030" s="12" t="inlineStr">
        <is>
          <t>Home run JB-SC-1-AI02 to the control / marshalling room</t>
        </is>
      </c>
      <c r="E5030" s="12" t="inlineStr"/>
      <c r="F5030" s="12" t="inlineStr">
        <is>
          <t>SC-1 PCM + 15 kV GCB</t>
        </is>
      </c>
      <c r="G5030" s="12" t="inlineStr">
        <is>
          <t>JB-SC-1-AI02</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Tray</t>
        </is>
      </c>
      <c r="T5030" s="15" t="n">
        <v>5</v>
      </c>
      <c r="U5030" s="15" t="n">
        <v>62</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I-I-0428</t>
        </is>
      </c>
      <c r="B5031" s="12" t="inlineStr">
        <is>
          <t>I</t>
        </is>
      </c>
      <c r="C5031" s="12" t="inlineStr">
        <is>
          <t>Modular / portable power</t>
        </is>
      </c>
      <c r="D5031" s="12" t="inlineStr">
        <is>
          <t>Analog instrument to JB JB-SC-1-AI03: 20 x 1 pr (field cables)</t>
        </is>
      </c>
      <c r="E5031" s="12" t="inlineStr">
        <is>
          <t>SC-1</t>
        </is>
      </c>
      <c r="F5031" s="12" t="inlineStr">
        <is>
          <t>SC-1: aeroderivative simple-cycle unit (LM6000 class)</t>
        </is>
      </c>
      <c r="G5031" s="12" t="inlineStr">
        <is>
          <t>JB-SC-1-AI03</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5" t="n">
        <v>99</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I-I-0429</t>
        </is>
      </c>
      <c r="B5032" s="12" t="inlineStr">
        <is>
          <t>I</t>
        </is>
      </c>
      <c r="C5032" s="12" t="inlineStr">
        <is>
          <t>Modular / portable power</t>
        </is>
      </c>
      <c r="D5032" s="12" t="inlineStr">
        <is>
          <t>Home run JB-SC-1-AI03 to the control / marshalling room</t>
        </is>
      </c>
      <c r="E5032" s="12" t="inlineStr"/>
      <c r="F5032" s="12" t="inlineStr">
        <is>
          <t>SC-1 PCM + 15 kV GCB</t>
        </is>
      </c>
      <c r="G5032" s="12" t="inlineStr">
        <is>
          <t>JB-SC-1-AI03</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5</v>
      </c>
      <c r="U5032" s="15" t="n">
        <v>62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I-I-0430</t>
        </is>
      </c>
      <c r="B5033" s="12" t="inlineStr">
        <is>
          <t>I</t>
        </is>
      </c>
      <c r="C5033" s="12" t="inlineStr">
        <is>
          <t>Modular / portable power</t>
        </is>
      </c>
      <c r="D5033" s="12" t="inlineStr">
        <is>
          <t>Analog instrument to JB JB-SC-1-AI04: 20 x 1 pr (field cables)</t>
        </is>
      </c>
      <c r="E5033" s="12" t="inlineStr">
        <is>
          <t>SC-1</t>
        </is>
      </c>
      <c r="F5033" s="12" t="inlineStr">
        <is>
          <t>SC-1: aeroderivative simple-cycle unit (LM6000 class)</t>
        </is>
      </c>
      <c r="G5033" s="12" t="inlineStr">
        <is>
          <t>JB-SC-1-AI04</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I-I-0431</t>
        </is>
      </c>
      <c r="B5034" s="12" t="inlineStr">
        <is>
          <t>I</t>
        </is>
      </c>
      <c r="C5034" s="12" t="inlineStr">
        <is>
          <t>Modular / portable power</t>
        </is>
      </c>
      <c r="D5034" s="12" t="inlineStr">
        <is>
          <t>Home run JB-SC-1-AI04 to the control / marshalling room</t>
        </is>
      </c>
      <c r="E5034" s="12" t="inlineStr"/>
      <c r="F5034" s="12" t="inlineStr">
        <is>
          <t>SC-1 PCM + 15 kV GCB</t>
        </is>
      </c>
      <c r="G5034" s="12" t="inlineStr">
        <is>
          <t>JB-SC-1-AI04</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I-I-0432</t>
        </is>
      </c>
      <c r="B5035" s="12" t="inlineStr">
        <is>
          <t>I</t>
        </is>
      </c>
      <c r="C5035" s="12" t="inlineStr">
        <is>
          <t>Modular / portable power</t>
        </is>
      </c>
      <c r="D5035" s="12" t="inlineStr">
        <is>
          <t>Analog instrument to JB JB-SC-1-AI05: 20 x 1 pr (field cables)</t>
        </is>
      </c>
      <c r="E5035" s="12" t="inlineStr">
        <is>
          <t>SC-1</t>
        </is>
      </c>
      <c r="F5035" s="12" t="inlineStr">
        <is>
          <t>SC-1: aeroderivative simple-cycle unit (LM6000 class)</t>
        </is>
      </c>
      <c r="G5035" s="12" t="inlineStr">
        <is>
          <t>JB-SC-1-AI05</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I-I-0433</t>
        </is>
      </c>
      <c r="B5036" s="12" t="inlineStr">
        <is>
          <t>I</t>
        </is>
      </c>
      <c r="C5036" s="12" t="inlineStr">
        <is>
          <t>Modular / portable power</t>
        </is>
      </c>
      <c r="D5036" s="12" t="inlineStr">
        <is>
          <t>Home run JB-SC-1-AI05 to the control / marshalling room</t>
        </is>
      </c>
      <c r="E5036" s="12" t="inlineStr"/>
      <c r="F5036" s="12" t="inlineStr">
        <is>
          <t>SC-1 PCM + 15 kV GCB</t>
        </is>
      </c>
      <c r="G5036" s="12" t="inlineStr">
        <is>
          <t>JB-SC-1-AI05</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I-I-0434</t>
        </is>
      </c>
      <c r="B5037" s="12" t="inlineStr">
        <is>
          <t>I</t>
        </is>
      </c>
      <c r="C5037" s="12" t="inlineStr">
        <is>
          <t>Modular / portable power</t>
        </is>
      </c>
      <c r="D5037" s="12" t="inlineStr">
        <is>
          <t>Analog instrument to JB JB-SC-1-AI06: 20 x 1 pr (field cables)</t>
        </is>
      </c>
      <c r="E5037" s="12" t="inlineStr">
        <is>
          <t>SC-1</t>
        </is>
      </c>
      <c r="F5037" s="12" t="inlineStr">
        <is>
          <t>SC-1: aeroderivative simple-cycle unit (LM6000 class)</t>
        </is>
      </c>
      <c r="G5037" s="12" t="inlineStr">
        <is>
          <t>JB-SC-1-AI06</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I-I-0435</t>
        </is>
      </c>
      <c r="B5038" s="12" t="inlineStr">
        <is>
          <t>I</t>
        </is>
      </c>
      <c r="C5038" s="12" t="inlineStr">
        <is>
          <t>Modular / portable power</t>
        </is>
      </c>
      <c r="D5038" s="12" t="inlineStr">
        <is>
          <t>Home run JB-SC-1-AI06 to the control / marshalling room</t>
        </is>
      </c>
      <c r="E5038" s="12" t="inlineStr"/>
      <c r="F5038" s="12" t="inlineStr">
        <is>
          <t>SC-1 PCM + 15 kV GCB</t>
        </is>
      </c>
      <c r="G5038" s="12" t="inlineStr">
        <is>
          <t>JB-SC-1-AI06</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I-I-0436</t>
        </is>
      </c>
      <c r="B5039" s="12" t="inlineStr">
        <is>
          <t>I</t>
        </is>
      </c>
      <c r="C5039" s="12" t="inlineStr">
        <is>
          <t>Modular / portable power</t>
        </is>
      </c>
      <c r="D5039" s="12" t="inlineStr">
        <is>
          <t>Analog instrument to JB JB-SC-1-AI07: 20 x 1 pr (field cables)</t>
        </is>
      </c>
      <c r="E5039" s="12" t="inlineStr">
        <is>
          <t>SC-1</t>
        </is>
      </c>
      <c r="F5039" s="12" t="inlineStr">
        <is>
          <t>SC-1: aeroderivative simple-cycle unit (LM6000 class)</t>
        </is>
      </c>
      <c r="G5039" s="12" t="inlineStr">
        <is>
          <t>JB-SC-1-AI07</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I-I-0437</t>
        </is>
      </c>
      <c r="B5040" s="12" t="inlineStr">
        <is>
          <t>I</t>
        </is>
      </c>
      <c r="C5040" s="12" t="inlineStr">
        <is>
          <t>Modular / portable power</t>
        </is>
      </c>
      <c r="D5040" s="12" t="inlineStr">
        <is>
          <t>Home run JB-SC-1-AI07 to the control / marshalling room</t>
        </is>
      </c>
      <c r="E5040" s="12" t="inlineStr"/>
      <c r="F5040" s="12" t="inlineStr">
        <is>
          <t>SC-1 PCM + 15 kV GCB</t>
        </is>
      </c>
      <c r="G5040" s="12" t="inlineStr">
        <is>
          <t>JB-SC-1-AI07</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I-I-0438</t>
        </is>
      </c>
      <c r="B5041" s="12" t="inlineStr">
        <is>
          <t>I</t>
        </is>
      </c>
      <c r="C5041" s="12" t="inlineStr">
        <is>
          <t>Modular / portable power</t>
        </is>
      </c>
      <c r="D5041" s="12" t="inlineStr">
        <is>
          <t>Analog instrument to JB JB-SC-1-AI08: 10 x 1 pr (field cables)</t>
        </is>
      </c>
      <c r="E5041" s="12" t="inlineStr">
        <is>
          <t>SC-1</t>
        </is>
      </c>
      <c r="F5041" s="12" t="inlineStr">
        <is>
          <t>SC-1: aeroderivative simple-cycle unit (LM6000 class)</t>
        </is>
      </c>
      <c r="G5041" s="12" t="inlineStr">
        <is>
          <t>JB-SC-1-AI08</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I-I-0439</t>
        </is>
      </c>
      <c r="B5042" s="12" t="inlineStr">
        <is>
          <t>I</t>
        </is>
      </c>
      <c r="C5042" s="12" t="inlineStr">
        <is>
          <t>Modular / portable power</t>
        </is>
      </c>
      <c r="D5042" s="12" t="inlineStr">
        <is>
          <t>Home run JB-SC-1-AI08 to the control / marshalling room</t>
        </is>
      </c>
      <c r="E5042" s="12" t="inlineStr"/>
      <c r="F5042" s="12" t="inlineStr">
        <is>
          <t>SC-1 PCM + 15 kV GCB</t>
        </is>
      </c>
      <c r="G5042" s="12" t="inlineStr">
        <is>
          <t>JB-SC-1-AI08</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I-I-0440</t>
        </is>
      </c>
      <c r="B5043" s="12" t="inlineStr">
        <is>
          <t>I</t>
        </is>
      </c>
      <c r="C5043" s="12" t="inlineStr">
        <is>
          <t>Modular / portable power</t>
        </is>
      </c>
      <c r="D5043" s="12" t="inlineStr">
        <is>
          <t>Discrete device to JB JB-SC-1-DI01: 20 x 1 pr (field cables)</t>
        </is>
      </c>
      <c r="E5043" s="12" t="inlineStr">
        <is>
          <t>SC-1</t>
        </is>
      </c>
      <c r="F5043" s="12" t="inlineStr">
        <is>
          <t>SC-1: aeroderivative simple-cycle unit (LM6000 class)</t>
        </is>
      </c>
      <c r="G5043" s="12" t="inlineStr">
        <is>
          <t>JB-SC-1-DI01</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I-I-0441</t>
        </is>
      </c>
      <c r="B5044" s="12" t="inlineStr">
        <is>
          <t>I</t>
        </is>
      </c>
      <c r="C5044" s="12" t="inlineStr">
        <is>
          <t>Modular / portable power</t>
        </is>
      </c>
      <c r="D5044" s="12" t="inlineStr">
        <is>
          <t>Home run JB-SC-1-DI01 to the control / marshalling room</t>
        </is>
      </c>
      <c r="E5044" s="12" t="inlineStr"/>
      <c r="F5044" s="12" t="inlineStr">
        <is>
          <t>SC-1 PCM + 15 kV GCB</t>
        </is>
      </c>
      <c r="G5044" s="12" t="inlineStr">
        <is>
          <t>JB-SC-1-DI01</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I-I-0442</t>
        </is>
      </c>
      <c r="B5045" s="12" t="inlineStr">
        <is>
          <t>I</t>
        </is>
      </c>
      <c r="C5045" s="12" t="inlineStr">
        <is>
          <t>Modular / portable power</t>
        </is>
      </c>
      <c r="D5045" s="12" t="inlineStr">
        <is>
          <t>Discrete device to JB JB-SC-1-DI02: 20 x 1 pr (field cables)</t>
        </is>
      </c>
      <c r="E5045" s="12" t="inlineStr">
        <is>
          <t>SC-1</t>
        </is>
      </c>
      <c r="F5045" s="12" t="inlineStr">
        <is>
          <t>SC-1: aeroderivative simple-cycle unit (LM6000 class)</t>
        </is>
      </c>
      <c r="G5045" s="12" t="inlineStr">
        <is>
          <t>JB-SC-1-DI02</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20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I-I-0443</t>
        </is>
      </c>
      <c r="B5046" s="12" t="inlineStr">
        <is>
          <t>I</t>
        </is>
      </c>
      <c r="C5046" s="12" t="inlineStr">
        <is>
          <t>Modular / portable power</t>
        </is>
      </c>
      <c r="D5046" s="12" t="inlineStr">
        <is>
          <t>Home run JB-SC-1-DI02 to the control / marshalling room</t>
        </is>
      </c>
      <c r="E5046" s="12" t="inlineStr"/>
      <c r="F5046" s="12" t="inlineStr">
        <is>
          <t>SC-1 PCM + 15 kV GCB</t>
        </is>
      </c>
      <c r="G5046" s="12" t="inlineStr">
        <is>
          <t>JB-SC-1-DI02</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I-I-0444</t>
        </is>
      </c>
      <c r="B5047" s="12" t="inlineStr">
        <is>
          <t>I</t>
        </is>
      </c>
      <c r="C5047" s="12" t="inlineStr">
        <is>
          <t>Modular / portable power</t>
        </is>
      </c>
      <c r="D5047" s="12" t="inlineStr">
        <is>
          <t>Discrete device to JB JB-SC-1-DI03: 20 x 1 pr (field cables)</t>
        </is>
      </c>
      <c r="E5047" s="12" t="inlineStr">
        <is>
          <t>SC-1</t>
        </is>
      </c>
      <c r="F5047" s="12" t="inlineStr">
        <is>
          <t>SC-1: aeroderivative simple-cycle unit (LM6000 class)</t>
        </is>
      </c>
      <c r="G5047" s="12" t="inlineStr">
        <is>
          <t>JB-SC-1-DI03</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I-I-0445</t>
        </is>
      </c>
      <c r="B5048" s="12" t="inlineStr">
        <is>
          <t>I</t>
        </is>
      </c>
      <c r="C5048" s="12" t="inlineStr">
        <is>
          <t>Modular / portable power</t>
        </is>
      </c>
      <c r="D5048" s="12" t="inlineStr">
        <is>
          <t>Home run JB-SC-1-DI03 to the control / marshalling room</t>
        </is>
      </c>
      <c r="E5048" s="12" t="inlineStr"/>
      <c r="F5048" s="12" t="inlineStr">
        <is>
          <t>SC-1 PCM + 15 kV GCB</t>
        </is>
      </c>
      <c r="G5048" s="12" t="inlineStr">
        <is>
          <t>JB-SC-1-DI03</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I-I-0446</t>
        </is>
      </c>
      <c r="B5049" s="12" t="inlineStr">
        <is>
          <t>I</t>
        </is>
      </c>
      <c r="C5049" s="12" t="inlineStr">
        <is>
          <t>Modular / portable power</t>
        </is>
      </c>
      <c r="D5049" s="12" t="inlineStr">
        <is>
          <t>Discrete device to JB JB-SC-1-DI04: 20 x 1 pr (field cables)</t>
        </is>
      </c>
      <c r="E5049" s="12" t="inlineStr">
        <is>
          <t>SC-1</t>
        </is>
      </c>
      <c r="F5049" s="12" t="inlineStr">
        <is>
          <t>SC-1: aeroderivative simple-cycle unit (LM6000 class)</t>
        </is>
      </c>
      <c r="G5049" s="12" t="inlineStr">
        <is>
          <t>JB-SC-1-DI04</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I-I-0447</t>
        </is>
      </c>
      <c r="B5050" s="12" t="inlineStr">
        <is>
          <t>I</t>
        </is>
      </c>
      <c r="C5050" s="12" t="inlineStr">
        <is>
          <t>Modular / portable power</t>
        </is>
      </c>
      <c r="D5050" s="12" t="inlineStr">
        <is>
          <t>Home run JB-SC-1-DI04 to the control / marshalling room</t>
        </is>
      </c>
      <c r="E5050" s="12" t="inlineStr"/>
      <c r="F5050" s="12" t="inlineStr">
        <is>
          <t>SC-1 PCM + 15 kV GCB</t>
        </is>
      </c>
      <c r="G5050" s="12" t="inlineStr">
        <is>
          <t>JB-SC-1-DI04</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I-I-0448</t>
        </is>
      </c>
      <c r="B5051" s="12" t="inlineStr">
        <is>
          <t>I</t>
        </is>
      </c>
      <c r="C5051" s="12" t="inlineStr">
        <is>
          <t>Modular / portable power</t>
        </is>
      </c>
      <c r="D5051" s="12" t="inlineStr">
        <is>
          <t>Discrete device to JB JB-SC-1-DI05: 20 x 1 pr (field cables)</t>
        </is>
      </c>
      <c r="E5051" s="12" t="inlineStr">
        <is>
          <t>SC-1</t>
        </is>
      </c>
      <c r="F5051" s="12" t="inlineStr">
        <is>
          <t>SC-1: aeroderivative simple-cycle unit (LM6000 class)</t>
        </is>
      </c>
      <c r="G5051" s="12" t="inlineStr">
        <is>
          <t>JB-SC-1-DI05</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I-I-0449</t>
        </is>
      </c>
      <c r="B5052" s="12" t="inlineStr">
        <is>
          <t>I</t>
        </is>
      </c>
      <c r="C5052" s="12" t="inlineStr">
        <is>
          <t>Modular / portable power</t>
        </is>
      </c>
      <c r="D5052" s="12" t="inlineStr">
        <is>
          <t>Home run JB-SC-1-DI05 to the control / marshalling room</t>
        </is>
      </c>
      <c r="E5052" s="12" t="inlineStr"/>
      <c r="F5052" s="12" t="inlineStr">
        <is>
          <t>SC-1 PCM + 15 kV GCB</t>
        </is>
      </c>
      <c r="G5052" s="12" t="inlineStr">
        <is>
          <t>JB-SC-1-DI05</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I-I-0450</t>
        </is>
      </c>
      <c r="B5053" s="12" t="inlineStr">
        <is>
          <t>I</t>
        </is>
      </c>
      <c r="C5053" s="12" t="inlineStr">
        <is>
          <t>Modular / portable power</t>
        </is>
      </c>
      <c r="D5053" s="12" t="inlineStr">
        <is>
          <t>Thermocouple to TC JB JB-SC-1-TC01: 20 x 1 pr (field cables)</t>
        </is>
      </c>
      <c r="E5053" s="12" t="inlineStr">
        <is>
          <t>SC-1</t>
        </is>
      </c>
      <c r="F5053" s="12" t="inlineStr">
        <is>
          <t>SC-1: aeroderivative simple-cycle unit (LM6000 class)</t>
        </is>
      </c>
      <c r="G5053" s="12" t="inlineStr">
        <is>
          <t>JB-SC-1-TC01</t>
        </is>
      </c>
      <c r="H5053" s="12" t="inlineStr">
        <is>
          <t>SC-1: aeroderivative simple-cycle unit (LM6000 class)</t>
        </is>
      </c>
      <c r="I5053" s="12" t="inlineStr">
        <is>
          <t>Instrumentation</t>
        </is>
      </c>
      <c r="J5053" s="12" t="inlineStr">
        <is>
          <t>Thermocouple extension KX, #16 shielded pairs, PLTC</t>
        </is>
      </c>
      <c r="K5053" s="12" t="inlineStr">
        <is>
          <t>TCX|1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I-I-0451</t>
        </is>
      </c>
      <c r="B5054" s="12" t="inlineStr">
        <is>
          <t>I</t>
        </is>
      </c>
      <c r="C5054" s="12" t="inlineStr">
        <is>
          <t>Modular / portable power</t>
        </is>
      </c>
      <c r="D5054" s="12" t="inlineStr">
        <is>
          <t>Home run JB-SC-1-TC01 to the control / marshalling room</t>
        </is>
      </c>
      <c r="E5054" s="12" t="inlineStr"/>
      <c r="F5054" s="12" t="inlineStr">
        <is>
          <t>SC-1 PCM + 15 kV GCB</t>
        </is>
      </c>
      <c r="G5054" s="12" t="inlineStr">
        <is>
          <t>JB-SC-1-TC01</t>
        </is>
      </c>
      <c r="H5054" s="12" t="inlineStr">
        <is>
          <t>SC-1: aeroderivative simple-cycle unit (LM6000 class)</t>
        </is>
      </c>
      <c r="I5054" s="12" t="inlineStr">
        <is>
          <t>Instrumentation</t>
        </is>
      </c>
      <c r="J5054" s="12" t="inlineStr">
        <is>
          <t>Thermocouple extension KX, #16 shielded pairs, PLTC</t>
        </is>
      </c>
      <c r="K5054" s="12" t="inlineStr">
        <is>
          <t>TCX|24 pr|16</t>
        </is>
      </c>
      <c r="L5054" s="12" t="inlineStr">
        <is>
          <t>24 pr</t>
        </is>
      </c>
      <c r="M5054" s="12" t="inlineStr">
        <is>
          <t>16</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I-I-0452</t>
        </is>
      </c>
      <c r="B5055" s="12" t="inlineStr">
        <is>
          <t>I</t>
        </is>
      </c>
      <c r="C5055" s="12" t="inlineStr">
        <is>
          <t>Modular / portable power</t>
        </is>
      </c>
      <c r="D5055" s="12" t="inlineStr">
        <is>
          <t>Thermocouple to TC JB JB-SC-1-TC02: 20 x 1 pr (field cables)</t>
        </is>
      </c>
      <c r="E5055" s="12" t="inlineStr">
        <is>
          <t>SC-1</t>
        </is>
      </c>
      <c r="F5055" s="12" t="inlineStr">
        <is>
          <t>SC-1: aeroderivative simple-cycle unit (LM6000 class)</t>
        </is>
      </c>
      <c r="G5055" s="12" t="inlineStr">
        <is>
          <t>JB-SC-1-TC02</t>
        </is>
      </c>
      <c r="H5055" s="12" t="inlineStr">
        <is>
          <t>SC-1: aeroderivative simple-cycle unit (LM6000 class)</t>
        </is>
      </c>
      <c r="I5055" s="12" t="inlineStr">
        <is>
          <t>Instrumentation</t>
        </is>
      </c>
      <c r="J5055" s="12" t="inlineStr">
        <is>
          <t>Thermocouple extension KX, #16 shielded pairs, PLTC</t>
        </is>
      </c>
      <c r="K5055" s="12" t="inlineStr">
        <is>
          <t>TCX|1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I-I-0453</t>
        </is>
      </c>
      <c r="B5056" s="12" t="inlineStr">
        <is>
          <t>I</t>
        </is>
      </c>
      <c r="C5056" s="12" t="inlineStr">
        <is>
          <t>Modular / portable power</t>
        </is>
      </c>
      <c r="D5056" s="12" t="inlineStr">
        <is>
          <t>Home run JB-SC-1-TC02 to the control / marshalling room</t>
        </is>
      </c>
      <c r="E5056" s="12" t="inlineStr"/>
      <c r="F5056" s="12" t="inlineStr">
        <is>
          <t>SC-1 PCM + 15 kV GCB</t>
        </is>
      </c>
      <c r="G5056" s="12" t="inlineStr">
        <is>
          <t>JB-SC-1-TC02</t>
        </is>
      </c>
      <c r="H5056" s="12" t="inlineStr">
        <is>
          <t>SC-1: aeroderivative simple-cycle unit (LM6000 class)</t>
        </is>
      </c>
      <c r="I5056" s="12" t="inlineStr">
        <is>
          <t>Instrumentation</t>
        </is>
      </c>
      <c r="J5056" s="12" t="inlineStr">
        <is>
          <t>Thermocouple extension KX, #16 shielded pairs, PLTC</t>
        </is>
      </c>
      <c r="K5056" s="12" t="inlineStr">
        <is>
          <t>TCX|24 pr|16</t>
        </is>
      </c>
      <c r="L5056" s="12" t="inlineStr">
        <is>
          <t>24 pr</t>
        </is>
      </c>
      <c r="M5056" s="12" t="inlineStr">
        <is>
          <t>16</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I-I-0454</t>
        </is>
      </c>
      <c r="B5057" s="12" t="inlineStr">
        <is>
          <t>I</t>
        </is>
      </c>
      <c r="C5057" s="12" t="inlineStr">
        <is>
          <t>Modular / portable power</t>
        </is>
      </c>
      <c r="D5057" s="12" t="inlineStr">
        <is>
          <t>Analog instrument to JB JB-SC-2 CEMS shelter-AI01: 12 x 1 pr (field cables)</t>
        </is>
      </c>
      <c r="E5057" s="12" t="inlineStr"/>
      <c r="F5057" s="12" t="inlineStr">
        <is>
          <t>SC-2 CEMS shelter</t>
        </is>
      </c>
      <c r="G5057" s="12" t="inlineStr">
        <is>
          <t>JB-SC-2 CEMS shelter-AI01</t>
        </is>
      </c>
      <c r="H5057" s="12" t="inlineStr">
        <is>
          <t>SC-2 CEMS shelter</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12</v>
      </c>
      <c r="O5057" s="12" t="n">
        <v>1</v>
      </c>
      <c r="P5057" s="12" t="n"/>
      <c r="Q5057" s="12" t="n"/>
      <c r="R5057" s="12" t="n"/>
      <c r="S5057" s="12" t="inlineStr">
        <is>
          <t>Tray / conduit</t>
        </is>
      </c>
      <c r="T5057" s="15" t="n">
        <v>57</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I-I-0455</t>
        </is>
      </c>
      <c r="B5058" s="12" t="inlineStr">
        <is>
          <t>I</t>
        </is>
      </c>
      <c r="C5058" s="12" t="inlineStr">
        <is>
          <t>Modular / portable power</t>
        </is>
      </c>
      <c r="D5058" s="12" t="inlineStr">
        <is>
          <t>Home run JB-SC-2 CEMS shelter-AI01 to the control / marshalling room</t>
        </is>
      </c>
      <c r="E5058" s="12" t="inlineStr"/>
      <c r="F5058" s="12" t="inlineStr">
        <is>
          <t>SC-2 PCM + 15 kV GCB</t>
        </is>
      </c>
      <c r="G5058" s="12" t="inlineStr">
        <is>
          <t>JB-SC-2 CEMS shelter-AI01</t>
        </is>
      </c>
      <c r="H5058" s="12" t="inlineStr">
        <is>
          <t>SC-2 CEMS shelter</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Duct bank</t>
        </is>
      </c>
      <c r="T5058" s="15" t="n">
        <v>74</v>
      </c>
      <c r="U5058" s="15" t="n">
        <v>112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I-I-0456</t>
        </is>
      </c>
      <c r="B5059" s="12" t="inlineStr">
        <is>
          <t>I</t>
        </is>
      </c>
      <c r="C5059" s="12" t="inlineStr">
        <is>
          <t>Modular / portable power</t>
        </is>
      </c>
      <c r="D5059" s="12" t="inlineStr">
        <is>
          <t>Discrete device to JB JB-SC-2 CEMS shelter-DI01: 10 x 1 pr (field cables)</t>
        </is>
      </c>
      <c r="E5059" s="12" t="inlineStr"/>
      <c r="F5059" s="12" t="inlineStr">
        <is>
          <t>SC-2 CEMS shelter</t>
        </is>
      </c>
      <c r="G5059" s="12" t="inlineStr">
        <is>
          <t>JB-SC-2 CEMS shelter-DI01</t>
        </is>
      </c>
      <c r="H5059" s="12" t="inlineStr">
        <is>
          <t>SC-2 CEMS shelter</t>
        </is>
      </c>
      <c r="I5059" s="12" t="inlineStr">
        <is>
          <t>Instrumentation</t>
        </is>
      </c>
      <c r="J5059" s="12" t="inlineStr">
        <is>
          <t>Instrumentation PLTC / TC-ER 300 V, #18 twisted shielded pairs, overall shield</t>
        </is>
      </c>
      <c r="K5059" s="12" t="inlineStr">
        <is>
          <t>PLTC|1 pr|16</t>
        </is>
      </c>
      <c r="L5059" s="12" t="inlineStr">
        <is>
          <t>1 pr</t>
        </is>
      </c>
      <c r="M5059" s="12" t="inlineStr">
        <is>
          <t>16</t>
        </is>
      </c>
      <c r="N5059" s="12" t="n">
        <v>10</v>
      </c>
      <c r="O5059" s="12" t="n">
        <v>1</v>
      </c>
      <c r="P5059" s="12" t="n"/>
      <c r="Q5059" s="12" t="n"/>
      <c r="R5059" s="12" t="n"/>
      <c r="S5059" s="12" t="inlineStr">
        <is>
          <t>Tray / conduit</t>
        </is>
      </c>
      <c r="T5059" s="15" t="n">
        <v>57</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I-I-0457</t>
        </is>
      </c>
      <c r="B5060" s="12" t="inlineStr">
        <is>
          <t>I</t>
        </is>
      </c>
      <c r="C5060" s="12" t="inlineStr">
        <is>
          <t>Modular / portable power</t>
        </is>
      </c>
      <c r="D5060" s="12" t="inlineStr">
        <is>
          <t>Home run JB-SC-2 CEMS shelter-DI01 to the control / marshalling room</t>
        </is>
      </c>
      <c r="E5060" s="12" t="inlineStr"/>
      <c r="F5060" s="12" t="inlineStr">
        <is>
          <t>SC-2 PCM + 15 kV GCB</t>
        </is>
      </c>
      <c r="G5060" s="12" t="inlineStr">
        <is>
          <t>JB-SC-2 CEMS shelter-DI01</t>
        </is>
      </c>
      <c r="H5060" s="12" t="inlineStr">
        <is>
          <t>SC-2 CEMS shelter</t>
        </is>
      </c>
      <c r="I5060" s="12" t="inlineStr">
        <is>
          <t>Instrumentation</t>
        </is>
      </c>
      <c r="J5060" s="12" t="inlineStr">
        <is>
          <t>Instrumentation PLTC / TC-ER 300 V, #18 twisted shielded pairs, overall shield</t>
        </is>
      </c>
      <c r="K5060" s="12" t="inlineStr">
        <is>
          <t>PLTC|24 pr|18</t>
        </is>
      </c>
      <c r="L5060" s="12" t="inlineStr">
        <is>
          <t>24 pr</t>
        </is>
      </c>
      <c r="M5060" s="12" t="inlineStr">
        <is>
          <t>18</t>
        </is>
      </c>
      <c r="N5060" s="12" t="n">
        <v>1</v>
      </c>
      <c r="O5060" s="12" t="n">
        <v>1</v>
      </c>
      <c r="P5060" s="12" t="n"/>
      <c r="Q5060" s="12" t="n"/>
      <c r="R5060" s="12" t="n"/>
      <c r="S5060" s="12" t="inlineStr">
        <is>
          <t>Duct bank</t>
        </is>
      </c>
      <c r="T5060" s="15" t="n">
        <v>74</v>
      </c>
      <c r="U5060" s="15" t="n">
        <v>112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I-I-0458</t>
        </is>
      </c>
      <c r="B5061" s="12" t="inlineStr">
        <is>
          <t>I</t>
        </is>
      </c>
      <c r="C5061" s="12" t="inlineStr">
        <is>
          <t>Modular / portable power</t>
        </is>
      </c>
      <c r="D5061" s="12" t="inlineStr">
        <is>
          <t>Analog instrument to JB JB-SC-2 SCR / CO cata-AI01: 16 x 1 pr (field cables)</t>
        </is>
      </c>
      <c r="E5061" s="12" t="inlineStr"/>
      <c r="F5061" s="12" t="inlineStr">
        <is>
          <t>SC-2 SCR / CO catalyst</t>
        </is>
      </c>
      <c r="G5061" s="12" t="inlineStr">
        <is>
          <t>JB-SC-2 SCR / CO cata-AI01</t>
        </is>
      </c>
      <c r="H5061" s="12" t="inlineStr">
        <is>
          <t>SC-2 SCR / CO catalyst</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16</v>
      </c>
      <c r="O5061" s="12" t="n">
        <v>1</v>
      </c>
      <c r="P5061" s="12" t="n"/>
      <c r="Q5061" s="12" t="n"/>
      <c r="R5061" s="12" t="n"/>
      <c r="S5061" s="12" t="inlineStr">
        <is>
          <t>Tray / conduit</t>
        </is>
      </c>
      <c r="T5061" s="15" t="n">
        <v>74</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I-I-0459</t>
        </is>
      </c>
      <c r="B5062" s="12" t="inlineStr">
        <is>
          <t>I</t>
        </is>
      </c>
      <c r="C5062" s="12" t="inlineStr">
        <is>
          <t>Modular / portable power</t>
        </is>
      </c>
      <c r="D5062" s="12" t="inlineStr">
        <is>
          <t>Home run JB-SC-2 SCR / CO cata-AI01 to the control / marshalling room</t>
        </is>
      </c>
      <c r="E5062" s="12" t="inlineStr"/>
      <c r="F5062" s="12" t="inlineStr">
        <is>
          <t>SC-2 PCM + 15 kV GCB</t>
        </is>
      </c>
      <c r="G5062" s="12" t="inlineStr">
        <is>
          <t>JB-SC-2 SCR / CO cata-AI01</t>
        </is>
      </c>
      <c r="H5062" s="12" t="inlineStr">
        <is>
          <t>SC-2 SCR / CO catalyst</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48</v>
      </c>
      <c r="U5062" s="15" t="n">
        <v>64</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I-I-0460</t>
        </is>
      </c>
      <c r="B5063" s="12" t="inlineStr">
        <is>
          <t>I</t>
        </is>
      </c>
      <c r="C5063" s="12" t="inlineStr">
        <is>
          <t>Modular / portable power</t>
        </is>
      </c>
      <c r="D5063" s="12" t="inlineStr">
        <is>
          <t>Discrete device to JB JB-SC-2 SCR / CO cata-DI01: 8 x 1 pr (field cables)</t>
        </is>
      </c>
      <c r="E5063" s="12" t="inlineStr"/>
      <c r="F5063" s="12" t="inlineStr">
        <is>
          <t>SC-2 SCR / CO catalyst</t>
        </is>
      </c>
      <c r="G5063" s="12" t="inlineStr">
        <is>
          <t>JB-SC-2 SCR / CO cata-DI01</t>
        </is>
      </c>
      <c r="H5063" s="12" t="inlineStr">
        <is>
          <t>SC-2 SCR / CO catalyst</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8</v>
      </c>
      <c r="O5063" s="12" t="n">
        <v>1</v>
      </c>
      <c r="P5063" s="12" t="n"/>
      <c r="Q5063" s="12" t="n"/>
      <c r="R5063" s="12" t="n"/>
      <c r="S5063" s="12" t="inlineStr">
        <is>
          <t>Tray / conduit</t>
        </is>
      </c>
      <c r="T5063" s="15" t="n">
        <v>74</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I-I-0461</t>
        </is>
      </c>
      <c r="B5064" s="12" t="inlineStr">
        <is>
          <t>I</t>
        </is>
      </c>
      <c r="C5064" s="12" t="inlineStr">
        <is>
          <t>Modular / portable power</t>
        </is>
      </c>
      <c r="D5064" s="12" t="inlineStr">
        <is>
          <t>Home run JB-SC-2 SCR / CO cata-DI01 to the control / marshalling room</t>
        </is>
      </c>
      <c r="E5064" s="12" t="inlineStr"/>
      <c r="F5064" s="12" t="inlineStr">
        <is>
          <t>SC-2 PCM + 15 kV GCB</t>
        </is>
      </c>
      <c r="G5064" s="12" t="inlineStr">
        <is>
          <t>JB-SC-2 SCR / CO cata-DI01</t>
        </is>
      </c>
      <c r="H5064" s="12" t="inlineStr">
        <is>
          <t>SC-2 SCR / CO catalyst</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48</v>
      </c>
      <c r="U5064" s="15" t="n">
        <v>64</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I-I-0462</t>
        </is>
      </c>
      <c r="B5065" s="12" t="inlineStr">
        <is>
          <t>I</t>
        </is>
      </c>
      <c r="C5065" s="12" t="inlineStr">
        <is>
          <t>Modular / portable power</t>
        </is>
      </c>
      <c r="D5065" s="12" t="inlineStr">
        <is>
          <t>Analog instrument to JB JB-SC-2 ammonia flow--AI01: 8 x 1 pr (field cables)</t>
        </is>
      </c>
      <c r="E5065" s="12" t="inlineStr"/>
      <c r="F5065" s="12" t="inlineStr">
        <is>
          <t>SC-2 ammonia flow-control unit</t>
        </is>
      </c>
      <c r="G5065" s="12" t="inlineStr">
        <is>
          <t>JB-SC-2 ammonia flow--AI01</t>
        </is>
      </c>
      <c r="H5065" s="12" t="inlineStr">
        <is>
          <t>SC-2 ammonia flow-control unit</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8</v>
      </c>
      <c r="O5065" s="12" t="n">
        <v>1</v>
      </c>
      <c r="P5065" s="12" t="n"/>
      <c r="Q5065" s="12" t="n"/>
      <c r="R5065" s="12" t="n"/>
      <c r="S5065" s="12" t="inlineStr">
        <is>
          <t>Tray / conduit</t>
        </is>
      </c>
      <c r="T5065" s="15" t="n">
        <v>40</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I-I-0463</t>
        </is>
      </c>
      <c r="B5066" s="12" t="inlineStr">
        <is>
          <t>I</t>
        </is>
      </c>
      <c r="C5066" s="12" t="inlineStr">
        <is>
          <t>Modular / portable power</t>
        </is>
      </c>
      <c r="D5066" s="12" t="inlineStr">
        <is>
          <t>Home run JB-SC-2 ammonia flow--AI01 to the control / marshalling room</t>
        </is>
      </c>
      <c r="E5066" s="12" t="inlineStr"/>
      <c r="F5066" s="12" t="inlineStr">
        <is>
          <t>SC-2 PCM + 15 kV GCB</t>
        </is>
      </c>
      <c r="G5066" s="12" t="inlineStr">
        <is>
          <t>JB-SC-2 ammonia flow--AI01</t>
        </is>
      </c>
      <c r="H5066" s="12" t="inlineStr">
        <is>
          <t>SC-2 ammonia flow-control unit</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48</v>
      </c>
      <c r="U5066" s="15" t="n">
        <v>62</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I-I-0464</t>
        </is>
      </c>
      <c r="B5067" s="12" t="inlineStr">
        <is>
          <t>I</t>
        </is>
      </c>
      <c r="C5067" s="12" t="inlineStr">
        <is>
          <t>Modular / portable power</t>
        </is>
      </c>
      <c r="D5067" s="12" t="inlineStr">
        <is>
          <t>Discrete device to JB JB-SC-2 ammonia flow--DI01: 8 x 1 pr (field cables)</t>
        </is>
      </c>
      <c r="E5067" s="12" t="inlineStr"/>
      <c r="F5067" s="12" t="inlineStr">
        <is>
          <t>SC-2 ammonia flow-control unit</t>
        </is>
      </c>
      <c r="G5067" s="12" t="inlineStr">
        <is>
          <t>JB-SC-2 ammonia flow--DI01</t>
        </is>
      </c>
      <c r="H5067" s="12" t="inlineStr">
        <is>
          <t>SC-2 ammonia flow-control unit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8</v>
      </c>
      <c r="O5067" s="12" t="n">
        <v>1</v>
      </c>
      <c r="P5067" s="12" t="n"/>
      <c r="Q5067" s="12" t="n"/>
      <c r="R5067" s="12" t="n"/>
      <c r="S5067" s="12" t="inlineStr">
        <is>
          <t>Tray / conduit</t>
        </is>
      </c>
      <c r="T5067" s="15" t="n">
        <v>40</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I-I-0465</t>
        </is>
      </c>
      <c r="B5068" s="12" t="inlineStr">
        <is>
          <t>I</t>
        </is>
      </c>
      <c r="C5068" s="12" t="inlineStr">
        <is>
          <t>Modular / portable power</t>
        </is>
      </c>
      <c r="D5068" s="12" t="inlineStr">
        <is>
          <t>Home run JB-SC-2 ammonia flow--DI01 to the control / marshalling room</t>
        </is>
      </c>
      <c r="E5068" s="12" t="inlineStr"/>
      <c r="F5068" s="12" t="inlineStr">
        <is>
          <t>SC-2 PCM + 15 kV GCB</t>
        </is>
      </c>
      <c r="G5068" s="12" t="inlineStr">
        <is>
          <t>JB-SC-2 ammonia flow--DI01</t>
        </is>
      </c>
      <c r="H5068" s="12" t="inlineStr">
        <is>
          <t>SC-2 ammonia flow-control unit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62</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I-I-0466</t>
        </is>
      </c>
      <c r="B5069" s="12" t="inlineStr">
        <is>
          <t>I</t>
        </is>
      </c>
      <c r="C5069" s="12" t="inlineStr">
        <is>
          <t>Modular / portable power</t>
        </is>
      </c>
      <c r="D5069" s="12" t="inlineStr">
        <is>
          <t>Analog instrument to JB JB-SC-2 auxiliary ski-AI01: 14 x 1 pr (field cables)</t>
        </is>
      </c>
      <c r="E5069" s="12" t="inlineStr"/>
      <c r="F5069" s="12" t="inlineStr">
        <is>
          <t>SC-2 auxiliary skids: fuel-gas module, water-wash skid</t>
        </is>
      </c>
      <c r="G5069" s="12" t="inlineStr">
        <is>
          <t>JB-SC-2 auxiliary ski-AI01</t>
        </is>
      </c>
      <c r="H5069" s="12" t="inlineStr">
        <is>
          <t>SC-2 auxiliary skids: fuel-gas module, water-wash skid</t>
        </is>
      </c>
      <c r="I5069" s="12" t="inlineStr">
        <is>
          <t>Instrumentation</t>
        </is>
      </c>
      <c r="J5069" s="12" t="inlineStr">
        <is>
          <t>Instrumentation ITC / PLTC, IS, #18 shielded pairs, blue jacket</t>
        </is>
      </c>
      <c r="K5069" s="12" t="inlineStr">
        <is>
          <t>ITC|1 pr|16</t>
        </is>
      </c>
      <c r="L5069" s="12" t="inlineStr">
        <is>
          <t>1 pr</t>
        </is>
      </c>
      <c r="M5069" s="12" t="inlineStr">
        <is>
          <t>16</t>
        </is>
      </c>
      <c r="N5069" s="12" t="n">
        <v>14</v>
      </c>
      <c r="O5069" s="12" t="n">
        <v>1</v>
      </c>
      <c r="P5069" s="12" t="n"/>
      <c r="Q5069" s="12" t="n"/>
      <c r="R5069" s="12" t="n"/>
      <c r="S5069" s="12" t="inlineStr">
        <is>
          <t>Tray / conduit</t>
        </is>
      </c>
      <c r="T5069" s="15" t="n">
        <v>63</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I-I-0467</t>
        </is>
      </c>
      <c r="B5070" s="12" t="inlineStr">
        <is>
          <t>I</t>
        </is>
      </c>
      <c r="C5070" s="12" t="inlineStr">
        <is>
          <t>Modular / portable power</t>
        </is>
      </c>
      <c r="D5070" s="12" t="inlineStr">
        <is>
          <t>Home run JB-SC-2 auxiliary ski-AI01 to the control / marshalling room</t>
        </is>
      </c>
      <c r="E5070" s="12" t="inlineStr"/>
      <c r="F5070" s="12" t="inlineStr">
        <is>
          <t>SC-2 PCM + 15 kV GCB</t>
        </is>
      </c>
      <c r="G5070" s="12" t="inlineStr">
        <is>
          <t>JB-SC-2 auxiliary ski-AI01</t>
        </is>
      </c>
      <c r="H5070" s="12" t="inlineStr">
        <is>
          <t>SC-2 auxiliary skids: fuel-gas module, water-wash skid</t>
        </is>
      </c>
      <c r="I5070" s="12" t="inlineStr">
        <is>
          <t>Instrumentation</t>
        </is>
      </c>
      <c r="J5070" s="12" t="inlineStr">
        <is>
          <t>Instrumentation ITC / PLTC, IS, #18 shielded pairs, blue jacket</t>
        </is>
      </c>
      <c r="K5070" s="12" t="inlineStr">
        <is>
          <t>ITC|24 pr|18</t>
        </is>
      </c>
      <c r="L5070" s="12" t="inlineStr">
        <is>
          <t>24 pr</t>
        </is>
      </c>
      <c r="M5070" s="12" t="inlineStr">
        <is>
          <t>18</t>
        </is>
      </c>
      <c r="N5070" s="12" t="n">
        <v>1</v>
      </c>
      <c r="O5070" s="12" t="n">
        <v>1</v>
      </c>
      <c r="P5070" s="12" t="n"/>
      <c r="Q5070" s="12" t="n"/>
      <c r="R5070" s="12" t="n"/>
      <c r="S5070" s="12" t="inlineStr">
        <is>
          <t>Duct bank</t>
        </is>
      </c>
      <c r="T5070" s="15" t="n">
        <v>10</v>
      </c>
      <c r="U5070" s="15" t="n">
        <v>43</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I-I-0468</t>
        </is>
      </c>
      <c r="B5071" s="12" t="inlineStr">
        <is>
          <t>I</t>
        </is>
      </c>
      <c r="C5071" s="12" t="inlineStr">
        <is>
          <t>Modular / portable power</t>
        </is>
      </c>
      <c r="D5071" s="12" t="inlineStr">
        <is>
          <t>Discrete device to JB JB-SC-2 auxiliary ski-DI01: 12 x 1 pr (field cables)</t>
        </is>
      </c>
      <c r="E5071" s="12" t="inlineStr"/>
      <c r="F5071" s="12" t="inlineStr">
        <is>
          <t>SC-2 auxiliary skids: fuel-gas module, water-wash skid</t>
        </is>
      </c>
      <c r="G5071" s="12" t="inlineStr">
        <is>
          <t>JB-SC-2 auxiliary ski-DI01</t>
        </is>
      </c>
      <c r="H5071" s="12" t="inlineStr">
        <is>
          <t>SC-2 auxiliary skids: fuel-gas module, water-wash skid</t>
        </is>
      </c>
      <c r="I5071" s="12" t="inlineStr">
        <is>
          <t>Instrumentation</t>
        </is>
      </c>
      <c r="J5071" s="12" t="inlineStr">
        <is>
          <t>Instrumentation ITC / PLTC, IS, #18 shielded pairs, blue jacket</t>
        </is>
      </c>
      <c r="K5071" s="12" t="inlineStr">
        <is>
          <t>ITC|1 pr|16</t>
        </is>
      </c>
      <c r="L5071" s="12" t="inlineStr">
        <is>
          <t>1 pr</t>
        </is>
      </c>
      <c r="M5071" s="12" t="inlineStr">
        <is>
          <t>16</t>
        </is>
      </c>
      <c r="N5071" s="12" t="n">
        <v>12</v>
      </c>
      <c r="O5071" s="12" t="n">
        <v>1</v>
      </c>
      <c r="P5071" s="12" t="n"/>
      <c r="Q5071" s="12" t="n"/>
      <c r="R5071" s="12" t="n"/>
      <c r="S5071" s="12" t="inlineStr">
        <is>
          <t>Tray / conduit</t>
        </is>
      </c>
      <c r="T5071" s="15" t="n">
        <v>63</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I-I-0469</t>
        </is>
      </c>
      <c r="B5072" s="12" t="inlineStr">
        <is>
          <t>I</t>
        </is>
      </c>
      <c r="C5072" s="12" t="inlineStr">
        <is>
          <t>Modular / portable power</t>
        </is>
      </c>
      <c r="D5072" s="12" t="inlineStr">
        <is>
          <t>Home run JB-SC-2 auxiliary ski-DI01 to the control / marshalling room</t>
        </is>
      </c>
      <c r="E5072" s="12" t="inlineStr"/>
      <c r="F5072" s="12" t="inlineStr">
        <is>
          <t>SC-2 PCM + 15 kV GCB</t>
        </is>
      </c>
      <c r="G5072" s="12" t="inlineStr">
        <is>
          <t>JB-SC-2 auxiliary ski-DI01</t>
        </is>
      </c>
      <c r="H5072" s="12" t="inlineStr">
        <is>
          <t>SC-2 auxiliary skids: fuel-gas module, water-wash skid</t>
        </is>
      </c>
      <c r="I5072" s="12" t="inlineStr">
        <is>
          <t>Instrumentation</t>
        </is>
      </c>
      <c r="J5072" s="12" t="inlineStr">
        <is>
          <t>Instrumentation ITC / PLTC, IS, #18 shielded pairs, blue jacket</t>
        </is>
      </c>
      <c r="K5072" s="12" t="inlineStr">
        <is>
          <t>ITC|24 pr|18</t>
        </is>
      </c>
      <c r="L5072" s="12" t="inlineStr">
        <is>
          <t>24 pr</t>
        </is>
      </c>
      <c r="M5072" s="12" t="inlineStr">
        <is>
          <t>18</t>
        </is>
      </c>
      <c r="N5072" s="12" t="n">
        <v>1</v>
      </c>
      <c r="O5072" s="12" t="n">
        <v>1</v>
      </c>
      <c r="P5072" s="12" t="n"/>
      <c r="Q5072" s="12" t="n"/>
      <c r="R5072" s="12" t="n"/>
      <c r="S5072" s="12" t="inlineStr">
        <is>
          <t>Duct bank</t>
        </is>
      </c>
      <c r="T5072" s="15" t="n">
        <v>10</v>
      </c>
      <c r="U5072" s="15" t="n">
        <v>43</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I-I-0470</t>
        </is>
      </c>
      <c r="B5073" s="12" t="inlineStr">
        <is>
          <t>I</t>
        </is>
      </c>
      <c r="C5073" s="12" t="inlineStr">
        <is>
          <t>Modular / portable power</t>
        </is>
      </c>
      <c r="D5073" s="12" t="inlineStr">
        <is>
          <t>Analog instrument to JB JB-SC-2 lube-oil fin--AI01: 4 x 1 pr (field cables)</t>
        </is>
      </c>
      <c r="E5073" s="12" t="inlineStr"/>
      <c r="F5073" s="12" t="inlineStr">
        <is>
          <t>SC-2 lube-oil fin-fan cooler</t>
        </is>
      </c>
      <c r="G5073" s="12" t="inlineStr">
        <is>
          <t>JB-SC-2 lube-oil fin--AI01</t>
        </is>
      </c>
      <c r="H5073" s="12" t="inlineStr">
        <is>
          <t>SC-2 lube-oil fin-fan cooler</t>
        </is>
      </c>
      <c r="I5073" s="12" t="inlineStr">
        <is>
          <t>Instrumentation</t>
        </is>
      </c>
      <c r="J5073" s="12" t="inlineStr">
        <is>
          <t>Instrumentation PLTC / TC-ER 300 V, #18 twisted shielded pairs, overall shield</t>
        </is>
      </c>
      <c r="K5073" s="12" t="inlineStr">
        <is>
          <t>PLTC|1 pr|16</t>
        </is>
      </c>
      <c r="L5073" s="12" t="inlineStr">
        <is>
          <t>1 pr</t>
        </is>
      </c>
      <c r="M5073" s="12" t="inlineStr">
        <is>
          <t>16</t>
        </is>
      </c>
      <c r="N5073" s="12" t="n">
        <v>4</v>
      </c>
      <c r="O5073" s="12" t="n">
        <v>1</v>
      </c>
      <c r="P5073" s="12" t="n"/>
      <c r="Q5073" s="12" t="n"/>
      <c r="R5073" s="12" t="n"/>
      <c r="S5073" s="12" t="inlineStr">
        <is>
          <t>Tray / conduit</t>
        </is>
      </c>
      <c r="T5073" s="15" t="n">
        <v>46</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I-I-0471</t>
        </is>
      </c>
      <c r="B5074" s="12" t="inlineStr">
        <is>
          <t>I</t>
        </is>
      </c>
      <c r="C5074" s="12" t="inlineStr">
        <is>
          <t>Modular / portable power</t>
        </is>
      </c>
      <c r="D5074" s="12" t="inlineStr">
        <is>
          <t>Home run JB-SC-2 lube-oil fin--AI01 to the control / marshalling room</t>
        </is>
      </c>
      <c r="E5074" s="12" t="inlineStr"/>
      <c r="F5074" s="12" t="inlineStr">
        <is>
          <t>SC-2 PCM + 15 kV GCB</t>
        </is>
      </c>
      <c r="G5074" s="12" t="inlineStr">
        <is>
          <t>JB-SC-2 lube-oil fin--AI01</t>
        </is>
      </c>
      <c r="H5074" s="12" t="inlineStr">
        <is>
          <t>SC-2 lube-oil fin-fan cooler</t>
        </is>
      </c>
      <c r="I5074" s="12" t="inlineStr">
        <is>
          <t>Instrumentation</t>
        </is>
      </c>
      <c r="J5074" s="12" t="inlineStr">
        <is>
          <t>Instrumentation PLTC / TC-ER 300 V, #18 twisted shielded pairs, overall shield</t>
        </is>
      </c>
      <c r="K5074" s="12" t="inlineStr">
        <is>
          <t>PLTC|24 pr|18</t>
        </is>
      </c>
      <c r="L5074" s="12" t="inlineStr">
        <is>
          <t>24 pr</t>
        </is>
      </c>
      <c r="M5074" s="12" t="inlineStr">
        <is>
          <t>18</t>
        </is>
      </c>
      <c r="N5074" s="12" t="n">
        <v>1</v>
      </c>
      <c r="O5074" s="12" t="n">
        <v>1</v>
      </c>
      <c r="P5074" s="12" t="n"/>
      <c r="Q5074" s="12" t="n"/>
      <c r="R5074" s="12" t="n"/>
      <c r="S5074" s="12" t="inlineStr">
        <is>
          <t>Duct bank</t>
        </is>
      </c>
      <c r="T5074" s="15" t="n">
        <v>4</v>
      </c>
      <c r="U5074" s="15" t="n">
        <v>38</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I-I-0472</t>
        </is>
      </c>
      <c r="B5075" s="12" t="inlineStr">
        <is>
          <t>I</t>
        </is>
      </c>
      <c r="C5075" s="12" t="inlineStr">
        <is>
          <t>Modular / portable power</t>
        </is>
      </c>
      <c r="D5075" s="12" t="inlineStr">
        <is>
          <t>Discrete device to JB JB-SC-2 lube-oil fin--DI01: 8 x 1 pr (field cables)</t>
        </is>
      </c>
      <c r="E5075" s="12" t="inlineStr"/>
      <c r="F5075" s="12" t="inlineStr">
        <is>
          <t>SC-2 lube-oil fin-fan cooler</t>
        </is>
      </c>
      <c r="G5075" s="12" t="inlineStr">
        <is>
          <t>JB-SC-2 lube-oil fin--DI01</t>
        </is>
      </c>
      <c r="H5075" s="12" t="inlineStr">
        <is>
          <t>SC-2 lube-oil fin-fan cooler</t>
        </is>
      </c>
      <c r="I5075" s="12" t="inlineStr">
        <is>
          <t>Instrumentation</t>
        </is>
      </c>
      <c r="J5075" s="12" t="inlineStr">
        <is>
          <t>Instrumentation PLTC / TC-ER 300 V, #18 twisted shielded pairs, overall shield</t>
        </is>
      </c>
      <c r="K5075" s="12" t="inlineStr">
        <is>
          <t>PLTC|1 pr|16</t>
        </is>
      </c>
      <c r="L5075" s="12" t="inlineStr">
        <is>
          <t>1 pr</t>
        </is>
      </c>
      <c r="M5075" s="12" t="inlineStr">
        <is>
          <t>16</t>
        </is>
      </c>
      <c r="N5075" s="12" t="n">
        <v>8</v>
      </c>
      <c r="O5075" s="12" t="n">
        <v>1</v>
      </c>
      <c r="P5075" s="12" t="n"/>
      <c r="Q5075" s="12" t="n"/>
      <c r="R5075" s="12" t="n"/>
      <c r="S5075" s="12" t="inlineStr">
        <is>
          <t>Tray / conduit</t>
        </is>
      </c>
      <c r="T5075" s="15" t="n">
        <v>46</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I-I-0473</t>
        </is>
      </c>
      <c r="B5076" s="12" t="inlineStr">
        <is>
          <t>I</t>
        </is>
      </c>
      <c r="C5076" s="12" t="inlineStr">
        <is>
          <t>Modular / portable power</t>
        </is>
      </c>
      <c r="D5076" s="12" t="inlineStr">
        <is>
          <t>Home run JB-SC-2 lube-oil fin--DI01 to the control / marshalling room</t>
        </is>
      </c>
      <c r="E5076" s="12" t="inlineStr"/>
      <c r="F5076" s="12" t="inlineStr">
        <is>
          <t>SC-2 PCM + 15 kV GCB</t>
        </is>
      </c>
      <c r="G5076" s="12" t="inlineStr">
        <is>
          <t>JB-SC-2 lube-oil fin--DI01</t>
        </is>
      </c>
      <c r="H5076" s="12" t="inlineStr">
        <is>
          <t>SC-2 lube-oil fin-fan cooler</t>
        </is>
      </c>
      <c r="I5076" s="12" t="inlineStr">
        <is>
          <t>Instrumentation</t>
        </is>
      </c>
      <c r="J5076" s="12" t="inlineStr">
        <is>
          <t>Instrumentation PLTC / TC-ER 300 V, #18 twisted shielded pairs, overall shield</t>
        </is>
      </c>
      <c r="K5076" s="12" t="inlineStr">
        <is>
          <t>PLTC|24 pr|18</t>
        </is>
      </c>
      <c r="L5076" s="12" t="inlineStr">
        <is>
          <t>24 pr</t>
        </is>
      </c>
      <c r="M5076" s="12" t="inlineStr">
        <is>
          <t>18</t>
        </is>
      </c>
      <c r="N5076" s="12" t="n">
        <v>1</v>
      </c>
      <c r="O5076" s="12" t="n">
        <v>1</v>
      </c>
      <c r="P5076" s="12" t="n"/>
      <c r="Q5076" s="12" t="n"/>
      <c r="R5076" s="12" t="n"/>
      <c r="S5076" s="12" t="inlineStr">
        <is>
          <t>Duct bank</t>
        </is>
      </c>
      <c r="T5076" s="15" t="n">
        <v>4</v>
      </c>
      <c r="U5076" s="15" t="n">
        <v>38</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I-I-0474</t>
        </is>
      </c>
      <c r="B5077" s="12" t="inlineStr">
        <is>
          <t>I</t>
        </is>
      </c>
      <c r="C5077" s="12" t="inlineStr">
        <is>
          <t>Modular / portable power</t>
        </is>
      </c>
      <c r="D5077" s="12" t="inlineStr">
        <is>
          <t>Analog instrument to JB JB-SC-2 tempering-air-AI01: 8 x 1 pr (field cables)</t>
        </is>
      </c>
      <c r="E5077" s="12" t="inlineStr"/>
      <c r="F5077" s="12" t="inlineStr">
        <is>
          <t>SC-2 tempering-air fans (2 x 100 %)</t>
        </is>
      </c>
      <c r="G5077" s="12" t="inlineStr">
        <is>
          <t>JB-SC-2 tempering-air-AI01</t>
        </is>
      </c>
      <c r="H5077" s="12" t="inlineStr">
        <is>
          <t>SC-2 tempering-air fans (2 x 100 %)</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8</v>
      </c>
      <c r="O5077" s="12" t="n">
        <v>1</v>
      </c>
      <c r="P5077" s="12" t="n"/>
      <c r="Q5077" s="12" t="n"/>
      <c r="R5077" s="12" t="n"/>
      <c r="S5077" s="12" t="inlineStr">
        <is>
          <t>Tray / conduit</t>
        </is>
      </c>
      <c r="T5077" s="15" t="n">
        <v>53</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I-I-0475</t>
        </is>
      </c>
      <c r="B5078" s="12" t="inlineStr">
        <is>
          <t>I</t>
        </is>
      </c>
      <c r="C5078" s="12" t="inlineStr">
        <is>
          <t>Modular / portable power</t>
        </is>
      </c>
      <c r="D5078" s="12" t="inlineStr">
        <is>
          <t>Home run JB-SC-2 tempering-air-AI01 to the control / marshalling room</t>
        </is>
      </c>
      <c r="E5078" s="12" t="inlineStr"/>
      <c r="F5078" s="12" t="inlineStr">
        <is>
          <t>SC-2 PCM + 15 kV GCB</t>
        </is>
      </c>
      <c r="G5078" s="12" t="inlineStr">
        <is>
          <t>JB-SC-2 tempering-air-AI01</t>
        </is>
      </c>
      <c r="H5078" s="12" t="inlineStr">
        <is>
          <t>SC-2 tempering-air fans (2 x 100 %)</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35</v>
      </c>
      <c r="U5078" s="15" t="n">
        <v>79</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I-I-0476</t>
        </is>
      </c>
      <c r="B5079" s="12" t="inlineStr">
        <is>
          <t>I</t>
        </is>
      </c>
      <c r="C5079" s="12" t="inlineStr">
        <is>
          <t>Modular / portable power</t>
        </is>
      </c>
      <c r="D5079" s="12" t="inlineStr">
        <is>
          <t>Discrete device to JB JB-SC-2 tempering-air-DI01: 8 x 1 pr (field cables)</t>
        </is>
      </c>
      <c r="E5079" s="12" t="inlineStr"/>
      <c r="F5079" s="12" t="inlineStr">
        <is>
          <t>SC-2 tempering-air fans (2 x 100 %)</t>
        </is>
      </c>
      <c r="G5079" s="12" t="inlineStr">
        <is>
          <t>JB-SC-2 tempering-air-DI01</t>
        </is>
      </c>
      <c r="H5079" s="12" t="inlineStr">
        <is>
          <t>SC-2 tempering-air fans (2 x 100 %)</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53</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I-I-0477</t>
        </is>
      </c>
      <c r="B5080" s="12" t="inlineStr">
        <is>
          <t>I</t>
        </is>
      </c>
      <c r="C5080" s="12" t="inlineStr">
        <is>
          <t>Modular / portable power</t>
        </is>
      </c>
      <c r="D5080" s="12" t="inlineStr">
        <is>
          <t>Home run JB-SC-2 tempering-air-DI01 to the control / marshalling room</t>
        </is>
      </c>
      <c r="E5080" s="12" t="inlineStr"/>
      <c r="F5080" s="12" t="inlineStr">
        <is>
          <t>SC-2 PCM + 15 kV GCB</t>
        </is>
      </c>
      <c r="G5080" s="12" t="inlineStr">
        <is>
          <t>JB-SC-2 tempering-air-DI01</t>
        </is>
      </c>
      <c r="H5080" s="12" t="inlineStr">
        <is>
          <t>SC-2 tempering-air fans (2 x 100 %)</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35</v>
      </c>
      <c r="U5080" s="15" t="n">
        <v>79</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I-I-0478</t>
        </is>
      </c>
      <c r="B5081" s="12" t="inlineStr">
        <is>
          <t>I</t>
        </is>
      </c>
      <c r="C5081" s="12" t="inlineStr">
        <is>
          <t>Modular / portable power</t>
        </is>
      </c>
      <c r="D5081" s="12" t="inlineStr">
        <is>
          <t>Analog instrument to JB JB-SC-2-AI01: 20 x 1 pr (field cables)</t>
        </is>
      </c>
      <c r="E5081" s="12" t="inlineStr">
        <is>
          <t>SC-2</t>
        </is>
      </c>
      <c r="F5081" s="12" t="inlineStr">
        <is>
          <t>SC-2: aeroderivative simple-cycle unit (LM6000 class)</t>
        </is>
      </c>
      <c r="G5081" s="12" t="inlineStr">
        <is>
          <t>JB-SC-2-AI01</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20</v>
      </c>
      <c r="O5081" s="12" t="n">
        <v>1</v>
      </c>
      <c r="P5081" s="12" t="n"/>
      <c r="Q5081" s="12" t="n"/>
      <c r="R5081" s="12" t="n"/>
      <c r="S5081" s="12" t="inlineStr">
        <is>
          <t>Tray / conduit</t>
        </is>
      </c>
      <c r="T5081" s="15" t="n">
        <v>99</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I-I-0479</t>
        </is>
      </c>
      <c r="B5082" s="12" t="inlineStr">
        <is>
          <t>I</t>
        </is>
      </c>
      <c r="C5082" s="12" t="inlineStr">
        <is>
          <t>Modular / portable power</t>
        </is>
      </c>
      <c r="D5082" s="12" t="inlineStr">
        <is>
          <t>Home run JB-SC-2-AI01 to the control / marshalling room</t>
        </is>
      </c>
      <c r="E5082" s="12" t="inlineStr"/>
      <c r="F5082" s="12" t="inlineStr">
        <is>
          <t>SC-2 PCM + 15 kV GCB</t>
        </is>
      </c>
      <c r="G5082" s="12" t="inlineStr">
        <is>
          <t>JB-SC-2-AI01</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35</v>
      </c>
      <c r="U5082" s="15" t="n">
        <v>32</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I-I-0480</t>
        </is>
      </c>
      <c r="B5083" s="12" t="inlineStr">
        <is>
          <t>I</t>
        </is>
      </c>
      <c r="C5083" s="12" t="inlineStr">
        <is>
          <t>Modular / portable power</t>
        </is>
      </c>
      <c r="D5083" s="12" t="inlineStr">
        <is>
          <t>Analog instrument to JB JB-SC-2-AI02: 20 x 1 pr (field cables)</t>
        </is>
      </c>
      <c r="E5083" s="12" t="inlineStr">
        <is>
          <t>SC-2</t>
        </is>
      </c>
      <c r="F5083" s="12" t="inlineStr">
        <is>
          <t>SC-2: aeroderivative simple-cycle unit (LM6000 class)</t>
        </is>
      </c>
      <c r="G5083" s="12" t="inlineStr">
        <is>
          <t>JB-SC-2-AI02</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20</v>
      </c>
      <c r="O5083" s="12" t="n">
        <v>1</v>
      </c>
      <c r="P5083" s="12" t="n"/>
      <c r="Q5083" s="12" t="n"/>
      <c r="R5083" s="12" t="n"/>
      <c r="S5083" s="12" t="inlineStr">
        <is>
          <t>Tray / conduit</t>
        </is>
      </c>
      <c r="T5083" s="15" t="n">
        <v>99</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I-I-0481</t>
        </is>
      </c>
      <c r="B5084" s="12" t="inlineStr">
        <is>
          <t>I</t>
        </is>
      </c>
      <c r="C5084" s="12" t="inlineStr">
        <is>
          <t>Modular / portable power</t>
        </is>
      </c>
      <c r="D5084" s="12" t="inlineStr">
        <is>
          <t>Home run JB-SC-2-AI02 to the control / marshalling room</t>
        </is>
      </c>
      <c r="E5084" s="12" t="inlineStr"/>
      <c r="F5084" s="12" t="inlineStr">
        <is>
          <t>SC-2 PCM + 15 kV GCB</t>
        </is>
      </c>
      <c r="G5084" s="12" t="inlineStr">
        <is>
          <t>JB-SC-2-AI02</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32</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I-I-0482</t>
        </is>
      </c>
      <c r="B5085" s="12" t="inlineStr">
        <is>
          <t>I</t>
        </is>
      </c>
      <c r="C5085" s="12" t="inlineStr">
        <is>
          <t>Modular / portable power</t>
        </is>
      </c>
      <c r="D5085" s="12" t="inlineStr">
        <is>
          <t>Analog instrument to JB JB-SC-2-AI03: 20 x 1 pr (field cables)</t>
        </is>
      </c>
      <c r="E5085" s="12" t="inlineStr">
        <is>
          <t>SC-2</t>
        </is>
      </c>
      <c r="F5085" s="12" t="inlineStr">
        <is>
          <t>SC-2: aeroderivative simple-cycle unit (LM6000 class)</t>
        </is>
      </c>
      <c r="G5085" s="12" t="inlineStr">
        <is>
          <t>JB-SC-2-AI03</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20</v>
      </c>
      <c r="O5085" s="12" t="n">
        <v>1</v>
      </c>
      <c r="P5085" s="12" t="n"/>
      <c r="Q5085" s="12" t="n"/>
      <c r="R5085" s="12" t="n"/>
      <c r="S5085" s="12" t="inlineStr">
        <is>
          <t>Tray / conduit</t>
        </is>
      </c>
      <c r="T5085" s="15" t="n">
        <v>99</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I-I-0483</t>
        </is>
      </c>
      <c r="B5086" s="12" t="inlineStr">
        <is>
          <t>I</t>
        </is>
      </c>
      <c r="C5086" s="12" t="inlineStr">
        <is>
          <t>Modular / portable power</t>
        </is>
      </c>
      <c r="D5086" s="12" t="inlineStr">
        <is>
          <t>Home run JB-SC-2-AI03 to the control / marshalling room</t>
        </is>
      </c>
      <c r="E5086" s="12" t="inlineStr"/>
      <c r="F5086" s="12" t="inlineStr">
        <is>
          <t>SC-2 PCM + 15 kV GCB</t>
        </is>
      </c>
      <c r="G5086" s="12" t="inlineStr">
        <is>
          <t>JB-SC-2-AI03</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32</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I-I-0484</t>
        </is>
      </c>
      <c r="B5087" s="12" t="inlineStr">
        <is>
          <t>I</t>
        </is>
      </c>
      <c r="C5087" s="12" t="inlineStr">
        <is>
          <t>Modular / portable power</t>
        </is>
      </c>
      <c r="D5087" s="12" t="inlineStr">
        <is>
          <t>Analog instrument to JB JB-SC-2-AI04: 20 x 1 pr (field cables)</t>
        </is>
      </c>
      <c r="E5087" s="12" t="inlineStr">
        <is>
          <t>SC-2</t>
        </is>
      </c>
      <c r="F5087" s="12" t="inlineStr">
        <is>
          <t>SC-2: aeroderivative simple-cycle unit (LM6000 class)</t>
        </is>
      </c>
      <c r="G5087" s="12" t="inlineStr">
        <is>
          <t>JB-SC-2-AI04</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I-I-0485</t>
        </is>
      </c>
      <c r="B5088" s="12" t="inlineStr">
        <is>
          <t>I</t>
        </is>
      </c>
      <c r="C5088" s="12" t="inlineStr">
        <is>
          <t>Modular / portable power</t>
        </is>
      </c>
      <c r="D5088" s="12" t="inlineStr">
        <is>
          <t>Home run JB-SC-2-AI04 to the control / marshalling room</t>
        </is>
      </c>
      <c r="E5088" s="12" t="inlineStr"/>
      <c r="F5088" s="12" t="inlineStr">
        <is>
          <t>SC-2 PCM + 15 kV GCB</t>
        </is>
      </c>
      <c r="G5088" s="12" t="inlineStr">
        <is>
          <t>JB-SC-2-AI04</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I-I-0486</t>
        </is>
      </c>
      <c r="B5089" s="12" t="inlineStr">
        <is>
          <t>I</t>
        </is>
      </c>
      <c r="C5089" s="12" t="inlineStr">
        <is>
          <t>Modular / portable power</t>
        </is>
      </c>
      <c r="D5089" s="12" t="inlineStr">
        <is>
          <t>Analog instrument to JB JB-SC-2-AI05: 20 x 1 pr (field cables)</t>
        </is>
      </c>
      <c r="E5089" s="12" t="inlineStr">
        <is>
          <t>SC-2</t>
        </is>
      </c>
      <c r="F5089" s="12" t="inlineStr">
        <is>
          <t>SC-2: aeroderivative simple-cycle unit (LM6000 class)</t>
        </is>
      </c>
      <c r="G5089" s="12" t="inlineStr">
        <is>
          <t>JB-SC-2-AI05</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I-I-0487</t>
        </is>
      </c>
      <c r="B5090" s="12" t="inlineStr">
        <is>
          <t>I</t>
        </is>
      </c>
      <c r="C5090" s="12" t="inlineStr">
        <is>
          <t>Modular / portable power</t>
        </is>
      </c>
      <c r="D5090" s="12" t="inlineStr">
        <is>
          <t>Home run JB-SC-2-AI05 to the control / marshalling room</t>
        </is>
      </c>
      <c r="E5090" s="12" t="inlineStr"/>
      <c r="F5090" s="12" t="inlineStr">
        <is>
          <t>SC-2 PCM + 15 kV GCB</t>
        </is>
      </c>
      <c r="G5090" s="12" t="inlineStr">
        <is>
          <t>JB-SC-2-AI05</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I-I-0488</t>
        </is>
      </c>
      <c r="B5091" s="12" t="inlineStr">
        <is>
          <t>I</t>
        </is>
      </c>
      <c r="C5091" s="12" t="inlineStr">
        <is>
          <t>Modular / portable power</t>
        </is>
      </c>
      <c r="D5091" s="12" t="inlineStr">
        <is>
          <t>Analog instrument to JB JB-SC-2-AI06: 20 x 1 pr (field cables)</t>
        </is>
      </c>
      <c r="E5091" s="12" t="inlineStr">
        <is>
          <t>SC-2</t>
        </is>
      </c>
      <c r="F5091" s="12" t="inlineStr">
        <is>
          <t>SC-2: aeroderivative simple-cycle unit (LM6000 class)</t>
        </is>
      </c>
      <c r="G5091" s="12" t="inlineStr">
        <is>
          <t>JB-SC-2-AI06</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I-I-0489</t>
        </is>
      </c>
      <c r="B5092" s="12" t="inlineStr">
        <is>
          <t>I</t>
        </is>
      </c>
      <c r="C5092" s="12" t="inlineStr">
        <is>
          <t>Modular / portable power</t>
        </is>
      </c>
      <c r="D5092" s="12" t="inlineStr">
        <is>
          <t>Home run JB-SC-2-AI06 to the control / marshalling room</t>
        </is>
      </c>
      <c r="E5092" s="12" t="inlineStr"/>
      <c r="F5092" s="12" t="inlineStr">
        <is>
          <t>SC-2 PCM + 15 kV GCB</t>
        </is>
      </c>
      <c r="G5092" s="12" t="inlineStr">
        <is>
          <t>JB-SC-2-AI06</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I-I-0490</t>
        </is>
      </c>
      <c r="B5093" s="12" t="inlineStr">
        <is>
          <t>I</t>
        </is>
      </c>
      <c r="C5093" s="12" t="inlineStr">
        <is>
          <t>Modular / portable power</t>
        </is>
      </c>
      <c r="D5093" s="12" t="inlineStr">
        <is>
          <t>Analog instrument to JB JB-SC-2-AI07: 20 x 1 pr (field cables)</t>
        </is>
      </c>
      <c r="E5093" s="12" t="inlineStr">
        <is>
          <t>SC-2</t>
        </is>
      </c>
      <c r="F5093" s="12" t="inlineStr">
        <is>
          <t>SC-2: aeroderivative simple-cycle unit (LM6000 class)</t>
        </is>
      </c>
      <c r="G5093" s="12" t="inlineStr">
        <is>
          <t>JB-SC-2-AI07</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I-I-0491</t>
        </is>
      </c>
      <c r="B5094" s="12" t="inlineStr">
        <is>
          <t>I</t>
        </is>
      </c>
      <c r="C5094" s="12" t="inlineStr">
        <is>
          <t>Modular / portable power</t>
        </is>
      </c>
      <c r="D5094" s="12" t="inlineStr">
        <is>
          <t>Home run JB-SC-2-AI07 to the control / marshalling room</t>
        </is>
      </c>
      <c r="E5094" s="12" t="inlineStr"/>
      <c r="F5094" s="12" t="inlineStr">
        <is>
          <t>SC-2 PCM + 15 kV GCB</t>
        </is>
      </c>
      <c r="G5094" s="12" t="inlineStr">
        <is>
          <t>JB-SC-2-AI07</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I-I-0492</t>
        </is>
      </c>
      <c r="B5095" s="12" t="inlineStr">
        <is>
          <t>I</t>
        </is>
      </c>
      <c r="C5095" s="12" t="inlineStr">
        <is>
          <t>Modular / portable power</t>
        </is>
      </c>
      <c r="D5095" s="12" t="inlineStr">
        <is>
          <t>Analog instrument to JB JB-SC-2-AI08: 10 x 1 pr (field cables)</t>
        </is>
      </c>
      <c r="E5095" s="12" t="inlineStr">
        <is>
          <t>SC-2</t>
        </is>
      </c>
      <c r="F5095" s="12" t="inlineStr">
        <is>
          <t>SC-2: aeroderivative simple-cycle unit (LM6000 class)</t>
        </is>
      </c>
      <c r="G5095" s="12" t="inlineStr">
        <is>
          <t>JB-SC-2-AI08</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10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I-I-0493</t>
        </is>
      </c>
      <c r="B5096" s="12" t="inlineStr">
        <is>
          <t>I</t>
        </is>
      </c>
      <c r="C5096" s="12" t="inlineStr">
        <is>
          <t>Modular / portable power</t>
        </is>
      </c>
      <c r="D5096" s="12" t="inlineStr">
        <is>
          <t>Home run JB-SC-2-AI08 to the control / marshalling room</t>
        </is>
      </c>
      <c r="E5096" s="12" t="inlineStr"/>
      <c r="F5096" s="12" t="inlineStr">
        <is>
          <t>SC-2 PCM + 15 kV GCB</t>
        </is>
      </c>
      <c r="G5096" s="12" t="inlineStr">
        <is>
          <t>JB-SC-2-AI08</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I-I-0494</t>
        </is>
      </c>
      <c r="B5097" s="12" t="inlineStr">
        <is>
          <t>I</t>
        </is>
      </c>
      <c r="C5097" s="12" t="inlineStr">
        <is>
          <t>Modular / portable power</t>
        </is>
      </c>
      <c r="D5097" s="12" t="inlineStr">
        <is>
          <t>Discrete device to JB JB-SC-2-DI01: 20 x 1 pr (field cables)</t>
        </is>
      </c>
      <c r="E5097" s="12" t="inlineStr">
        <is>
          <t>SC-2</t>
        </is>
      </c>
      <c r="F5097" s="12" t="inlineStr">
        <is>
          <t>SC-2: aeroderivative simple-cycle unit (LM6000 class)</t>
        </is>
      </c>
      <c r="G5097" s="12" t="inlineStr">
        <is>
          <t>JB-SC-2-DI01</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I-I-0495</t>
        </is>
      </c>
      <c r="B5098" s="12" t="inlineStr">
        <is>
          <t>I</t>
        </is>
      </c>
      <c r="C5098" s="12" t="inlineStr">
        <is>
          <t>Modular / portable power</t>
        </is>
      </c>
      <c r="D5098" s="12" t="inlineStr">
        <is>
          <t>Home run JB-SC-2-DI01 to the control / marshalling room</t>
        </is>
      </c>
      <c r="E5098" s="12" t="inlineStr"/>
      <c r="F5098" s="12" t="inlineStr">
        <is>
          <t>SC-2 PCM + 15 kV GCB</t>
        </is>
      </c>
      <c r="G5098" s="12" t="inlineStr">
        <is>
          <t>JB-SC-2-DI01</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I-I-0496</t>
        </is>
      </c>
      <c r="B5099" s="12" t="inlineStr">
        <is>
          <t>I</t>
        </is>
      </c>
      <c r="C5099" s="12" t="inlineStr">
        <is>
          <t>Modular / portable power</t>
        </is>
      </c>
      <c r="D5099" s="12" t="inlineStr">
        <is>
          <t>Discrete device to JB JB-SC-2-DI02: 20 x 1 pr (field cables)</t>
        </is>
      </c>
      <c r="E5099" s="12" t="inlineStr">
        <is>
          <t>SC-2</t>
        </is>
      </c>
      <c r="F5099" s="12" t="inlineStr">
        <is>
          <t>SC-2: aeroderivative simple-cycle unit (LM6000 class)</t>
        </is>
      </c>
      <c r="G5099" s="12" t="inlineStr">
        <is>
          <t>JB-SC-2-DI02</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20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I-I-0497</t>
        </is>
      </c>
      <c r="B5100" s="12" t="inlineStr">
        <is>
          <t>I</t>
        </is>
      </c>
      <c r="C5100" s="12" t="inlineStr">
        <is>
          <t>Modular / portable power</t>
        </is>
      </c>
      <c r="D5100" s="12" t="inlineStr">
        <is>
          <t>Home run JB-SC-2-DI02 to the control / marshalling room</t>
        </is>
      </c>
      <c r="E5100" s="12" t="inlineStr"/>
      <c r="F5100" s="12" t="inlineStr">
        <is>
          <t>SC-2 PCM + 15 kV GCB</t>
        </is>
      </c>
      <c r="G5100" s="12" t="inlineStr">
        <is>
          <t>JB-SC-2-DI02</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I-I-0498</t>
        </is>
      </c>
      <c r="B5101" s="12" t="inlineStr">
        <is>
          <t>I</t>
        </is>
      </c>
      <c r="C5101" s="12" t="inlineStr">
        <is>
          <t>Modular / portable power</t>
        </is>
      </c>
      <c r="D5101" s="12" t="inlineStr">
        <is>
          <t>Discrete device to JB JB-SC-2-DI03: 20 x 1 pr (field cables)</t>
        </is>
      </c>
      <c r="E5101" s="12" t="inlineStr">
        <is>
          <t>SC-2</t>
        </is>
      </c>
      <c r="F5101" s="12" t="inlineStr">
        <is>
          <t>SC-2: aeroderivative simple-cycle unit (LM6000 class)</t>
        </is>
      </c>
      <c r="G5101" s="12" t="inlineStr">
        <is>
          <t>JB-SC-2-DI03</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20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I-I-0499</t>
        </is>
      </c>
      <c r="B5102" s="12" t="inlineStr">
        <is>
          <t>I</t>
        </is>
      </c>
      <c r="C5102" s="12" t="inlineStr">
        <is>
          <t>Modular / portable power</t>
        </is>
      </c>
      <c r="D5102" s="12" t="inlineStr">
        <is>
          <t>Home run JB-SC-2-DI03 to the control / marshalling room</t>
        </is>
      </c>
      <c r="E5102" s="12" t="inlineStr"/>
      <c r="F5102" s="12" t="inlineStr">
        <is>
          <t>SC-2 PCM + 15 kV GCB</t>
        </is>
      </c>
      <c r="G5102" s="12" t="inlineStr">
        <is>
          <t>JB-SC-2-DI03</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I-I-0500</t>
        </is>
      </c>
      <c r="B5103" s="12" t="inlineStr">
        <is>
          <t>I</t>
        </is>
      </c>
      <c r="C5103" s="12" t="inlineStr">
        <is>
          <t>Modular / portable power</t>
        </is>
      </c>
      <c r="D5103" s="12" t="inlineStr">
        <is>
          <t>Discrete device to JB JB-SC-2-DI04: 20 x 1 pr (field cables)</t>
        </is>
      </c>
      <c r="E5103" s="12" t="inlineStr">
        <is>
          <t>SC-2</t>
        </is>
      </c>
      <c r="F5103" s="12" t="inlineStr">
        <is>
          <t>SC-2: aeroderivative simple-cycle unit (LM6000 class)</t>
        </is>
      </c>
      <c r="G5103" s="12" t="inlineStr">
        <is>
          <t>JB-SC-2-DI04</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I-I-0501</t>
        </is>
      </c>
      <c r="B5104" s="12" t="inlineStr">
        <is>
          <t>I</t>
        </is>
      </c>
      <c r="C5104" s="12" t="inlineStr">
        <is>
          <t>Modular / portable power</t>
        </is>
      </c>
      <c r="D5104" s="12" t="inlineStr">
        <is>
          <t>Home run JB-SC-2-DI04 to the control / marshalling room</t>
        </is>
      </c>
      <c r="E5104" s="12" t="inlineStr"/>
      <c r="F5104" s="12" t="inlineStr">
        <is>
          <t>SC-2 PCM + 15 kV GCB</t>
        </is>
      </c>
      <c r="G5104" s="12" t="inlineStr">
        <is>
          <t>JB-SC-2-DI04</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I-I-0502</t>
        </is>
      </c>
      <c r="B5105" s="12" t="inlineStr">
        <is>
          <t>I</t>
        </is>
      </c>
      <c r="C5105" s="12" t="inlineStr">
        <is>
          <t>Modular / portable power</t>
        </is>
      </c>
      <c r="D5105" s="12" t="inlineStr">
        <is>
          <t>Discrete device to JB JB-SC-2-DI05: 20 x 1 pr (field cables)</t>
        </is>
      </c>
      <c r="E5105" s="12" t="inlineStr">
        <is>
          <t>SC-2</t>
        </is>
      </c>
      <c r="F5105" s="12" t="inlineStr">
        <is>
          <t>SC-2: aeroderivative simple-cycle unit (LM6000 class)</t>
        </is>
      </c>
      <c r="G5105" s="12" t="inlineStr">
        <is>
          <t>JB-SC-2-DI05</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I-I-0503</t>
        </is>
      </c>
      <c r="B5106" s="12" t="inlineStr">
        <is>
          <t>I</t>
        </is>
      </c>
      <c r="C5106" s="12" t="inlineStr">
        <is>
          <t>Modular / portable power</t>
        </is>
      </c>
      <c r="D5106" s="12" t="inlineStr">
        <is>
          <t>Home run JB-SC-2-DI05 to the control / marshalling room</t>
        </is>
      </c>
      <c r="E5106" s="12" t="inlineStr"/>
      <c r="F5106" s="12" t="inlineStr">
        <is>
          <t>SC-2 PCM + 15 kV GCB</t>
        </is>
      </c>
      <c r="G5106" s="12" t="inlineStr">
        <is>
          <t>JB-SC-2-DI05</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I-I-0504</t>
        </is>
      </c>
      <c r="B5107" s="12" t="inlineStr">
        <is>
          <t>I</t>
        </is>
      </c>
      <c r="C5107" s="12" t="inlineStr">
        <is>
          <t>Modular / portable power</t>
        </is>
      </c>
      <c r="D5107" s="12" t="inlineStr">
        <is>
          <t>Thermocouple to TC JB JB-SC-2-TC01: 20 x 1 pr (field cables)</t>
        </is>
      </c>
      <c r="E5107" s="12" t="inlineStr">
        <is>
          <t>SC-2</t>
        </is>
      </c>
      <c r="F5107" s="12" t="inlineStr">
        <is>
          <t>SC-2: aeroderivative simple-cycle unit (LM6000 class)</t>
        </is>
      </c>
      <c r="G5107" s="12" t="inlineStr">
        <is>
          <t>JB-SC-2-TC01</t>
        </is>
      </c>
      <c r="H5107" s="12" t="inlineStr">
        <is>
          <t>SC-2: aeroderivative simple-cycle unit (LM6000 class)</t>
        </is>
      </c>
      <c r="I5107" s="12" t="inlineStr">
        <is>
          <t>Instrumentation</t>
        </is>
      </c>
      <c r="J5107" s="12" t="inlineStr">
        <is>
          <t>Thermocouple extension KX, #16 shielded pairs, PLTC</t>
        </is>
      </c>
      <c r="K5107" s="12" t="inlineStr">
        <is>
          <t>TCX|1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I-I-0505</t>
        </is>
      </c>
      <c r="B5108" s="12" t="inlineStr">
        <is>
          <t>I</t>
        </is>
      </c>
      <c r="C5108" s="12" t="inlineStr">
        <is>
          <t>Modular / portable power</t>
        </is>
      </c>
      <c r="D5108" s="12" t="inlineStr">
        <is>
          <t>Home run JB-SC-2-TC01 to the control / marshalling room</t>
        </is>
      </c>
      <c r="E5108" s="12" t="inlineStr"/>
      <c r="F5108" s="12" t="inlineStr">
        <is>
          <t>SC-2 PCM + 15 kV GCB</t>
        </is>
      </c>
      <c r="G5108" s="12" t="inlineStr">
        <is>
          <t>JB-SC-2-TC01</t>
        </is>
      </c>
      <c r="H5108" s="12" t="inlineStr">
        <is>
          <t>SC-2: aeroderivative simple-cycle unit (LM6000 class)</t>
        </is>
      </c>
      <c r="I5108" s="12" t="inlineStr">
        <is>
          <t>Instrumentation</t>
        </is>
      </c>
      <c r="J5108" s="12" t="inlineStr">
        <is>
          <t>Thermocouple extension KX, #16 shielded pairs, PLTC</t>
        </is>
      </c>
      <c r="K5108" s="12" t="inlineStr">
        <is>
          <t>TCX|24 pr|16</t>
        </is>
      </c>
      <c r="L5108" s="12" t="inlineStr">
        <is>
          <t>24 pr</t>
        </is>
      </c>
      <c r="M5108" s="12" t="inlineStr">
        <is>
          <t>16</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I-I-0506</t>
        </is>
      </c>
      <c r="B5109" s="12" t="inlineStr">
        <is>
          <t>I</t>
        </is>
      </c>
      <c r="C5109" s="12" t="inlineStr">
        <is>
          <t>Modular / portable power</t>
        </is>
      </c>
      <c r="D5109" s="12" t="inlineStr">
        <is>
          <t>Thermocouple to TC JB JB-SC-2-TC02: 20 x 1 pr (field cables)</t>
        </is>
      </c>
      <c r="E5109" s="12" t="inlineStr">
        <is>
          <t>SC-2</t>
        </is>
      </c>
      <c r="F5109" s="12" t="inlineStr">
        <is>
          <t>SC-2: aeroderivative simple-cycle unit (LM6000 class)</t>
        </is>
      </c>
      <c r="G5109" s="12" t="inlineStr">
        <is>
          <t>JB-SC-2-TC02</t>
        </is>
      </c>
      <c r="H5109" s="12" t="inlineStr">
        <is>
          <t>SC-2: aeroderivative simple-cycle unit (LM6000 class)</t>
        </is>
      </c>
      <c r="I5109" s="12" t="inlineStr">
        <is>
          <t>Instrumentation</t>
        </is>
      </c>
      <c r="J5109" s="12" t="inlineStr">
        <is>
          <t>Thermocouple extension KX, #16 shielded pairs, PLTC</t>
        </is>
      </c>
      <c r="K5109" s="12" t="inlineStr">
        <is>
          <t>TCX|1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I-I-0507</t>
        </is>
      </c>
      <c r="B5110" s="12" t="inlineStr">
        <is>
          <t>I</t>
        </is>
      </c>
      <c r="C5110" s="12" t="inlineStr">
        <is>
          <t>Modular / portable power</t>
        </is>
      </c>
      <c r="D5110" s="12" t="inlineStr">
        <is>
          <t>Home run JB-SC-2-TC02 to the control / marshalling room</t>
        </is>
      </c>
      <c r="E5110" s="12" t="inlineStr"/>
      <c r="F5110" s="12" t="inlineStr">
        <is>
          <t>SC-2 PCM + 15 kV GCB</t>
        </is>
      </c>
      <c r="G5110" s="12" t="inlineStr">
        <is>
          <t>JB-SC-2-TC02</t>
        </is>
      </c>
      <c r="H5110" s="12" t="inlineStr">
        <is>
          <t>SC-2: aeroderivative simple-cycle unit (LM6000 class)</t>
        </is>
      </c>
      <c r="I5110" s="12" t="inlineStr">
        <is>
          <t>Instrumentation</t>
        </is>
      </c>
      <c r="J5110" s="12" t="inlineStr">
        <is>
          <t>Thermocouple extension KX, #16 shielded pairs, PLTC</t>
        </is>
      </c>
      <c r="K5110" s="12" t="inlineStr">
        <is>
          <t>TCX|24 pr|16</t>
        </is>
      </c>
      <c r="L5110" s="12" t="inlineStr">
        <is>
          <t>24 pr</t>
        </is>
      </c>
      <c r="M5110" s="12" t="inlineStr">
        <is>
          <t>16</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I-I-0508</t>
        </is>
      </c>
      <c r="B5111" s="12" t="inlineStr">
        <is>
          <t>I</t>
        </is>
      </c>
      <c r="C5111" s="12" t="inlineStr">
        <is>
          <t>Modular / portable power</t>
        </is>
      </c>
      <c r="D5111" s="12" t="inlineStr">
        <is>
          <t>SC-GSU-1 monitoring: temperatures, gas relay, oil level</t>
        </is>
      </c>
      <c r="E5111" s="12" t="inlineStr"/>
      <c r="F5111" s="12" t="inlineStr">
        <is>
          <t>SC-1 PCM + 15 kV GCB</t>
        </is>
      </c>
      <c r="G5111" s="12" t="inlineStr">
        <is>
          <t>SC-GSU-1</t>
        </is>
      </c>
      <c r="H5111" s="12" t="inlineStr">
        <is>
          <t>SC-GSU-1: 13.8 / 34.5 kV unit step-up, ~60 MVA (SC-1)</t>
        </is>
      </c>
      <c r="I5111" s="12" t="inlineStr">
        <is>
          <t>Instrumentation</t>
        </is>
      </c>
      <c r="J5111" s="12" t="inlineStr">
        <is>
          <t>Instrumentation ITC / PLTC, IS, #18 shielded pairs, blue jacket</t>
        </is>
      </c>
      <c r="K5111" s="12" t="inlineStr">
        <is>
          <t>ITC|4 pr|18</t>
        </is>
      </c>
      <c r="L5111" s="12" t="inlineStr">
        <is>
          <t>4 pr</t>
        </is>
      </c>
      <c r="M5111" s="12" t="inlineStr">
        <is>
          <t>18</t>
        </is>
      </c>
      <c r="N5111" s="12" t="n">
        <v>1</v>
      </c>
      <c r="O5111" s="12" t="n">
        <v>1</v>
      </c>
      <c r="P5111" s="12" t="n"/>
      <c r="Q5111" s="12" t="n"/>
      <c r="R5111" s="12" t="n"/>
      <c r="S5111" s="12" t="inlineStr">
        <is>
          <t>Duct bank</t>
        </is>
      </c>
      <c r="T5111" s="15" t="n">
        <v>55</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I-I-0509</t>
        </is>
      </c>
      <c r="B5112" s="12" t="inlineStr">
        <is>
          <t>I</t>
        </is>
      </c>
      <c r="C5112" s="12" t="inlineStr">
        <is>
          <t>Modular / portable power</t>
        </is>
      </c>
      <c r="D5112" s="12" t="inlineStr">
        <is>
          <t>SC-GSU-2 monitoring: temperatures, gas relay, oil level</t>
        </is>
      </c>
      <c r="E5112" s="12" t="inlineStr"/>
      <c r="F5112" s="12" t="inlineStr">
        <is>
          <t>SC-2 PCM + 15 kV GCB</t>
        </is>
      </c>
      <c r="G5112" s="12" t="inlineStr">
        <is>
          <t>SC-GSU-2</t>
        </is>
      </c>
      <c r="H5112" s="12" t="inlineStr">
        <is>
          <t>SC-GSU-2: 13.8 / 34.5 kV unit step-up, ~60 MVA (SC-2)</t>
        </is>
      </c>
      <c r="I5112" s="12" t="inlineStr">
        <is>
          <t>Instrumentation</t>
        </is>
      </c>
      <c r="J5112" s="12" t="inlineStr">
        <is>
          <t>Instrumentation ITC / PLTC, IS, #18 shielded pairs, blue jacket</t>
        </is>
      </c>
      <c r="K5112" s="12" t="inlineStr">
        <is>
          <t>ITC|4 pr|18</t>
        </is>
      </c>
      <c r="L5112" s="12" t="inlineStr">
        <is>
          <t>4 pr</t>
        </is>
      </c>
      <c r="M5112" s="12" t="inlineStr">
        <is>
          <t>18</t>
        </is>
      </c>
      <c r="N5112" s="12" t="n">
        <v>1</v>
      </c>
      <c r="O5112" s="12" t="n">
        <v>1</v>
      </c>
      <c r="P5112" s="12" t="n"/>
      <c r="Q5112" s="12" t="n"/>
      <c r="R5112" s="12" t="n"/>
      <c r="S5112" s="12" t="inlineStr">
        <is>
          <t>Duct bank</t>
        </is>
      </c>
      <c r="T5112" s="15" t="n">
        <v>48</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I-I-0510</t>
        </is>
      </c>
      <c r="B5113" s="12" t="inlineStr">
        <is>
          <t>I</t>
        </is>
      </c>
      <c r="C5113" s="12" t="inlineStr">
        <is>
          <t>Modular / portable power</t>
        </is>
      </c>
      <c r="D5113" s="12" t="inlineStr">
        <is>
          <t>Analog instrument to JB JB-T-MOD 230 kV take--AI01: 8 x 1 pr (field cables)</t>
        </is>
      </c>
      <c r="E5113" s="12" t="inlineStr"/>
      <c r="F5113" s="12" t="inlineStr">
        <is>
          <t>T-MOD 230 kV take-off gantry with arresters</t>
        </is>
      </c>
      <c r="G5113" s="12" t="inlineStr">
        <is>
          <t>JB-T-MOD 230 kV take--AI01</t>
        </is>
      </c>
      <c r="H5113" s="12" t="inlineStr">
        <is>
          <t>T-MOD 230 kV take-off gantry with arresters</t>
        </is>
      </c>
      <c r="I5113" s="12" t="inlineStr">
        <is>
          <t>Instrumentation</t>
        </is>
      </c>
      <c r="J5113" s="12" t="inlineStr">
        <is>
          <t>Instrumentation PLTC / TC-ER 300 V, #18 twisted shielded pairs, overall shield</t>
        </is>
      </c>
      <c r="K5113" s="12" t="inlineStr">
        <is>
          <t>PLTC|1 pr|16</t>
        </is>
      </c>
      <c r="L5113" s="12" t="inlineStr">
        <is>
          <t>1 pr</t>
        </is>
      </c>
      <c r="M5113" s="12" t="inlineStr">
        <is>
          <t>16</t>
        </is>
      </c>
      <c r="N5113" s="12" t="n">
        <v>8</v>
      </c>
      <c r="O5113" s="12" t="n">
        <v>1</v>
      </c>
      <c r="P5113" s="12" t="n"/>
      <c r="Q5113" s="12" t="n"/>
      <c r="R5113" s="12" t="n"/>
      <c r="S5113" s="12" t="inlineStr">
        <is>
          <t>Tray / conduit</t>
        </is>
      </c>
      <c r="T5113" s="15" t="n">
        <v>88</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I-I-0511</t>
        </is>
      </c>
      <c r="B5114" s="12" t="inlineStr">
        <is>
          <t>I</t>
        </is>
      </c>
      <c r="C5114" s="12" t="inlineStr">
        <is>
          <t>Modular / portable power</t>
        </is>
      </c>
      <c r="D5114" s="12" t="inlineStr">
        <is>
          <t>Home run JB-T-MOD 230 kV take--AI01 to the control / marshalling room</t>
        </is>
      </c>
      <c r="E5114" s="12" t="inlineStr">
        <is>
          <t>PAD-EH</t>
        </is>
      </c>
      <c r="F5114" s="12" t="inlineStr">
        <is>
          <t>PAD-EH 13.8 kV switchgear e-house</t>
        </is>
      </c>
      <c r="G5114" s="12" t="inlineStr">
        <is>
          <t>JB-T-MOD 230 kV take--AI01</t>
        </is>
      </c>
      <c r="H5114" s="12" t="inlineStr">
        <is>
          <t>T-MOD 230 kV take-off gantry with arresters</t>
        </is>
      </c>
      <c r="I5114" s="12" t="inlineStr">
        <is>
          <t>Instrumentation</t>
        </is>
      </c>
      <c r="J5114" s="12" t="inlineStr">
        <is>
          <t>Instrumentation PLTC / TC-ER 300 V, #18 twisted shielded pairs, overall shield</t>
        </is>
      </c>
      <c r="K5114" s="12" t="inlineStr">
        <is>
          <t>PLTC|24 pr|18</t>
        </is>
      </c>
      <c r="L5114" s="12" t="inlineStr">
        <is>
          <t>24 pr</t>
        </is>
      </c>
      <c r="M5114" s="12" t="inlineStr">
        <is>
          <t>18</t>
        </is>
      </c>
      <c r="N5114" s="12" t="n">
        <v>1</v>
      </c>
      <c r="O5114" s="12" t="n">
        <v>1</v>
      </c>
      <c r="P5114" s="12" t="n"/>
      <c r="Q5114" s="12" t="n"/>
      <c r="R5114" s="12" t="n"/>
      <c r="S5114" s="12" t="inlineStr">
        <is>
          <t>Duct bank</t>
        </is>
      </c>
      <c r="T5114" s="15" t="n">
        <v>515</v>
      </c>
      <c r="U5114" s="15" t="n">
        <v>47</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I-I-0512</t>
        </is>
      </c>
      <c r="B5115" s="12" t="inlineStr">
        <is>
          <t>I</t>
        </is>
      </c>
      <c r="C5115" s="12" t="inlineStr">
        <is>
          <t>Modular / portable power</t>
        </is>
      </c>
      <c r="D5115" s="12" t="inlineStr">
        <is>
          <t>Discrete device to JB JB-T-MOD 230 kV take--DI01: 16 x 1 pr (field cables)</t>
        </is>
      </c>
      <c r="E5115" s="12" t="inlineStr"/>
      <c r="F5115" s="12" t="inlineStr">
        <is>
          <t>T-MOD 230 kV take-off gantry with arresters</t>
        </is>
      </c>
      <c r="G5115" s="12" t="inlineStr">
        <is>
          <t>JB-T-MOD 230 kV take--DI01</t>
        </is>
      </c>
      <c r="H5115" s="12" t="inlineStr">
        <is>
          <t>T-MOD 230 kV take-off gantry with arresters</t>
        </is>
      </c>
      <c r="I5115" s="12" t="inlineStr">
        <is>
          <t>Instrumentation</t>
        </is>
      </c>
      <c r="J5115" s="12" t="inlineStr">
        <is>
          <t>Instrumentation PLTC / TC-ER 300 V, #18 twisted shielded pairs, overall shield</t>
        </is>
      </c>
      <c r="K5115" s="12" t="inlineStr">
        <is>
          <t>PLTC|1 pr|16</t>
        </is>
      </c>
      <c r="L5115" s="12" t="inlineStr">
        <is>
          <t>1 pr</t>
        </is>
      </c>
      <c r="M5115" s="12" t="inlineStr">
        <is>
          <t>16</t>
        </is>
      </c>
      <c r="N5115" s="12" t="n">
        <v>16</v>
      </c>
      <c r="O5115" s="12" t="n">
        <v>1</v>
      </c>
      <c r="P5115" s="12" t="n"/>
      <c r="Q5115" s="12" t="n"/>
      <c r="R5115" s="12" t="n"/>
      <c r="S5115" s="12" t="inlineStr">
        <is>
          <t>Tray / conduit</t>
        </is>
      </c>
      <c r="T5115" s="15" t="n">
        <v>88</v>
      </c>
      <c r="U5115" s="15" t="n">
        <v>10</v>
      </c>
      <c r="V5115" s="15">
        <f>ROUNDUP((T5115+U5115+2*'Read Me'!$B$13)*(1+'Read Me'!$B$12),-1)</f>
        <v/>
      </c>
      <c r="W5115" s="15">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I-I-0513</t>
        </is>
      </c>
      <c r="B5116" s="12" t="inlineStr">
        <is>
          <t>I</t>
        </is>
      </c>
      <c r="C5116" s="12" t="inlineStr">
        <is>
          <t>Modular / portable power</t>
        </is>
      </c>
      <c r="D5116" s="12" t="inlineStr">
        <is>
          <t>Home run JB-T-MOD 230 kV take--DI01 to the control / marshalling room</t>
        </is>
      </c>
      <c r="E5116" s="12" t="inlineStr">
        <is>
          <t>PAD-EH</t>
        </is>
      </c>
      <c r="F5116" s="12" t="inlineStr">
        <is>
          <t>PAD-EH 13.8 kV switchgear e-house</t>
        </is>
      </c>
      <c r="G5116" s="12" t="inlineStr">
        <is>
          <t>JB-T-MOD 230 kV take--DI01</t>
        </is>
      </c>
      <c r="H5116" s="12" t="inlineStr">
        <is>
          <t>T-MOD 230 kV take-off gantry with arresters</t>
        </is>
      </c>
      <c r="I5116" s="12" t="inlineStr">
        <is>
          <t>Instrumentation</t>
        </is>
      </c>
      <c r="J5116" s="12" t="inlineStr">
        <is>
          <t>Instrumentation PLTC / TC-ER 300 V, #18 twisted shielded pairs, overall shield</t>
        </is>
      </c>
      <c r="K5116" s="12" t="inlineStr">
        <is>
          <t>PLTC|24 pr|18</t>
        </is>
      </c>
      <c r="L5116" s="12" t="inlineStr">
        <is>
          <t>24 pr</t>
        </is>
      </c>
      <c r="M5116" s="12" t="inlineStr">
        <is>
          <t>18</t>
        </is>
      </c>
      <c r="N5116" s="12" t="n">
        <v>1</v>
      </c>
      <c r="O5116" s="12" t="n">
        <v>1</v>
      </c>
      <c r="P5116" s="12" t="n"/>
      <c r="Q5116" s="12" t="n"/>
      <c r="R5116" s="12" t="n"/>
      <c r="S5116" s="12" t="inlineStr">
        <is>
          <t>Duct bank</t>
        </is>
      </c>
      <c r="T5116" s="15" t="n">
        <v>515</v>
      </c>
      <c r="U5116" s="15" t="n">
        <v>47</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I-I-0514</t>
        </is>
      </c>
      <c r="B5117" s="12" t="inlineStr">
        <is>
          <t>I</t>
        </is>
      </c>
      <c r="C5117" s="12" t="inlineStr">
        <is>
          <t>Modular / portable power</t>
        </is>
      </c>
      <c r="D5117" s="12" t="inlineStr">
        <is>
          <t>Analog instrument to JB JB-T-MOD-1 / T-MOD-2 -AI01: 8 x 1 pr (field cables)</t>
        </is>
      </c>
      <c r="E5117" s="12" t="inlineStr"/>
      <c r="F5117" s="12" t="inlineStr">
        <is>
          <t>T-MOD-1 / T-MOD-2 firewall</t>
        </is>
      </c>
      <c r="G5117" s="12" t="inlineStr">
        <is>
          <t>JB-T-MOD-1 / T-MOD-2 -AI01</t>
        </is>
      </c>
      <c r="H5117" s="12" t="inlineStr">
        <is>
          <t>T-MOD-1 / T-MOD-2 firewall</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64</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I-I-0515</t>
        </is>
      </c>
      <c r="B5118" s="12" t="inlineStr">
        <is>
          <t>I</t>
        </is>
      </c>
      <c r="C5118" s="12" t="inlineStr">
        <is>
          <t>Modular / portable power</t>
        </is>
      </c>
      <c r="D5118" s="12" t="inlineStr">
        <is>
          <t>Home run JB-T-MOD-1 / T-MOD-2 -AI01 to the control / marshalling room</t>
        </is>
      </c>
      <c r="E5118" s="12" t="inlineStr"/>
      <c r="F5118" s="12" t="inlineStr">
        <is>
          <t>PCM: power control module</t>
        </is>
      </c>
      <c r="G5118" s="12" t="inlineStr">
        <is>
          <t>JB-T-MOD-1 / T-MOD-2 -AI01</t>
        </is>
      </c>
      <c r="H5118" s="12" t="inlineStr">
        <is>
          <t>T-MOD-1 / T-MOD-2 firewall</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91</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I-I-0516</t>
        </is>
      </c>
      <c r="B5119" s="12" t="inlineStr">
        <is>
          <t>I</t>
        </is>
      </c>
      <c r="C5119" s="12" t="inlineStr">
        <is>
          <t>Modular / portable power</t>
        </is>
      </c>
      <c r="D5119" s="12" t="inlineStr">
        <is>
          <t>Discrete device to JB JB-T-MOD-1 / T-MOD-2 -DI01: 16 x 1 pr (field cables)</t>
        </is>
      </c>
      <c r="E5119" s="12" t="inlineStr"/>
      <c r="F5119" s="12" t="inlineStr">
        <is>
          <t>T-MOD-1 / T-MOD-2 firewall</t>
        </is>
      </c>
      <c r="G5119" s="12" t="inlineStr">
        <is>
          <t>JB-T-MOD-1 / T-MOD-2 -DI01</t>
        </is>
      </c>
      <c r="H5119" s="12" t="inlineStr">
        <is>
          <t>T-MOD-1 / T-MOD-2 firewall</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64</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I-I-0517</t>
        </is>
      </c>
      <c r="B5120" s="12" t="inlineStr">
        <is>
          <t>I</t>
        </is>
      </c>
      <c r="C5120" s="12" t="inlineStr">
        <is>
          <t>Modular / portable power</t>
        </is>
      </c>
      <c r="D5120" s="12" t="inlineStr">
        <is>
          <t>Home run JB-T-MOD-1 / T-MOD-2 -DI01 to the control / marshalling room</t>
        </is>
      </c>
      <c r="E5120" s="12" t="inlineStr"/>
      <c r="F5120" s="12" t="inlineStr">
        <is>
          <t>PCM: power control module</t>
        </is>
      </c>
      <c r="G5120" s="12" t="inlineStr">
        <is>
          <t>JB-T-MOD-1 / T-MOD-2 -DI01</t>
        </is>
      </c>
      <c r="H5120" s="12" t="inlineStr">
        <is>
          <t>T-MOD-1 / T-MOD-2 firewall</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91</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I-I-0518</t>
        </is>
      </c>
      <c r="B5121" s="12" t="inlineStr">
        <is>
          <t>I</t>
        </is>
      </c>
      <c r="C5121" s="12" t="inlineStr">
        <is>
          <t>Modular / portable power</t>
        </is>
      </c>
      <c r="D5121" s="12" t="inlineStr">
        <is>
          <t>T-MOD-1 monitoring: temperatures, gas relay, oil level</t>
        </is>
      </c>
      <c r="E5121" s="12" t="inlineStr">
        <is>
          <t>MOD-EH</t>
        </is>
      </c>
      <c r="F5121" s="12" t="inlineStr">
        <is>
          <t>MOD-EH: 34.5 kV modular collector e-house (2 bus sections + 13.8 kV st</t>
        </is>
      </c>
      <c r="G5121" s="12" t="inlineStr">
        <is>
          <t>T-MOD-1</t>
        </is>
      </c>
      <c r="H5121" s="12" t="inlineStr">
        <is>
          <t>T-MOD-1: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238</v>
      </c>
      <c r="U5121" s="15" t="n">
        <v>43</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I-I-0519</t>
        </is>
      </c>
      <c r="B5122" s="12" t="inlineStr">
        <is>
          <t>I</t>
        </is>
      </c>
      <c r="C5122" s="12" t="inlineStr">
        <is>
          <t>Modular / portable power</t>
        </is>
      </c>
      <c r="D5122" s="12" t="inlineStr">
        <is>
          <t>Analog instrument to JB JB-T-MOD-1-AI01: 8 x 1 pr (field cables)</t>
        </is>
      </c>
      <c r="E5122" s="12" t="inlineStr">
        <is>
          <t>T-MOD-1</t>
        </is>
      </c>
      <c r="F5122" s="12" t="inlineStr">
        <is>
          <t>T-MOD-1: 230 / 34.5 kV</t>
        </is>
      </c>
      <c r="G5122" s="12" t="inlineStr">
        <is>
          <t>JB-T-MOD-1-AI01</t>
        </is>
      </c>
      <c r="H5122" s="12" t="inlineStr">
        <is>
          <t>T-MOD-1: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I-I-0520</t>
        </is>
      </c>
      <c r="B5123" s="12" t="inlineStr">
        <is>
          <t>I</t>
        </is>
      </c>
      <c r="C5123" s="12" t="inlineStr">
        <is>
          <t>Modular / portable power</t>
        </is>
      </c>
      <c r="D5123" s="12" t="inlineStr">
        <is>
          <t>Home run JB-T-MOD-1-AI01 to the control / marshalling room</t>
        </is>
      </c>
      <c r="E5123" s="12" t="inlineStr"/>
      <c r="F5123" s="12" t="inlineStr">
        <is>
          <t>PCM: power control module</t>
        </is>
      </c>
      <c r="G5123" s="12" t="inlineStr">
        <is>
          <t>JB-T-MOD-1-AI01</t>
        </is>
      </c>
      <c r="H5123" s="12" t="inlineStr">
        <is>
          <t>T-MOD-1: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423</v>
      </c>
      <c r="U5123" s="15" t="n">
        <v>43</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I-I-0521</t>
        </is>
      </c>
      <c r="B5124" s="12" t="inlineStr">
        <is>
          <t>I</t>
        </is>
      </c>
      <c r="C5124" s="12" t="inlineStr">
        <is>
          <t>Modular / portable power</t>
        </is>
      </c>
      <c r="D5124" s="12" t="inlineStr">
        <is>
          <t>Discrete device to JB JB-T-MOD-1-DI01: 16 x 1 pr (field cables)</t>
        </is>
      </c>
      <c r="E5124" s="12" t="inlineStr">
        <is>
          <t>T-MOD-1</t>
        </is>
      </c>
      <c r="F5124" s="12" t="inlineStr">
        <is>
          <t>T-MOD-1: 230 / 34.5 kV</t>
        </is>
      </c>
      <c r="G5124" s="12" t="inlineStr">
        <is>
          <t>JB-T-MOD-1-DI01</t>
        </is>
      </c>
      <c r="H5124" s="12" t="inlineStr">
        <is>
          <t>T-MOD-1: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I-I-0522</t>
        </is>
      </c>
      <c r="B5125" s="12" t="inlineStr">
        <is>
          <t>I</t>
        </is>
      </c>
      <c r="C5125" s="12" t="inlineStr">
        <is>
          <t>Modular / portable power</t>
        </is>
      </c>
      <c r="D5125" s="12" t="inlineStr">
        <is>
          <t>Home run JB-T-MOD-1-DI01 to the control / marshalling room</t>
        </is>
      </c>
      <c r="E5125" s="12" t="inlineStr"/>
      <c r="F5125" s="12" t="inlineStr">
        <is>
          <t>PCM: power control module</t>
        </is>
      </c>
      <c r="G5125" s="12" t="inlineStr">
        <is>
          <t>JB-T-MOD-1-DI01</t>
        </is>
      </c>
      <c r="H5125" s="12" t="inlineStr">
        <is>
          <t>T-MOD-1: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423</v>
      </c>
      <c r="U5125" s="15" t="n">
        <v>43</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I-I-0523</t>
        </is>
      </c>
      <c r="B5126" s="12" t="inlineStr">
        <is>
          <t>I</t>
        </is>
      </c>
      <c r="C5126" s="12" t="inlineStr">
        <is>
          <t>Modular / portable power</t>
        </is>
      </c>
      <c r="D5126" s="12" t="inlineStr">
        <is>
          <t>T-MOD-2 monitoring: temperatures, gas relay, oil level</t>
        </is>
      </c>
      <c r="E5126" s="12" t="inlineStr">
        <is>
          <t>MOD-EH</t>
        </is>
      </c>
      <c r="F5126" s="12" t="inlineStr">
        <is>
          <t>MOD-EH: 34.5 kV modular collector e-house (2 bus sections + 13.8 kV st</t>
        </is>
      </c>
      <c r="G5126" s="12" t="inlineStr">
        <is>
          <t>T-MOD-2</t>
        </is>
      </c>
      <c r="H5126" s="12" t="inlineStr">
        <is>
          <t>T-MOD-2: 230 / 34.5 kV</t>
        </is>
      </c>
      <c r="I5126" s="12" t="inlineStr">
        <is>
          <t>Instrumentation</t>
        </is>
      </c>
      <c r="J5126" s="12" t="inlineStr">
        <is>
          <t>Instrumentation ITC / PLTC, IS, #18 shielded pairs, blue jacket</t>
        </is>
      </c>
      <c r="K5126" s="12" t="inlineStr">
        <is>
          <t>ITC|4 pr|18</t>
        </is>
      </c>
      <c r="L5126" s="12" t="inlineStr">
        <is>
          <t>4 pr</t>
        </is>
      </c>
      <c r="M5126" s="12" t="inlineStr">
        <is>
          <t>18</t>
        </is>
      </c>
      <c r="N5126" s="12" t="n">
        <v>1</v>
      </c>
      <c r="O5126" s="12" t="n">
        <v>1</v>
      </c>
      <c r="P5126" s="12" t="n"/>
      <c r="Q5126" s="12" t="n"/>
      <c r="R5126" s="12" t="n"/>
      <c r="S5126" s="12" t="inlineStr">
        <is>
          <t>Duct bank</t>
        </is>
      </c>
      <c r="T5126" s="15" t="n">
        <v>368</v>
      </c>
      <c r="U5126" s="15" t="n">
        <v>32</v>
      </c>
      <c r="V5126" s="15">
        <f>ROUNDUP((T5126+U5126+2*'Read Me'!$B$13)*(1+'Read Me'!$B$12),-1)</f>
        <v/>
      </c>
      <c r="W5126" s="15">
        <f>V5126*N5126*O5126</f>
        <v/>
      </c>
      <c r="X5126" s="12">
        <f>IF(LEFT(I5126,2)="MV",2*N5126*IF(L5126="1/C",O5126,1),0)</f>
        <v/>
      </c>
      <c r="Y5126" s="12">
        <f>IF(OR(LEFT(K5126,4)="LVAX",LEFT(K5126,6)="MV15AX",LEFT(K5126,4)="CTAX",LEFT(K5126,2)="W|"),2*N5126*O5126,0)</f>
        <v/>
      </c>
      <c r="Z5126" s="12" t="inlineStr"/>
      <c r="AA5126" s="12">
        <f>N5126*O5126</f>
        <v/>
      </c>
    </row>
    <row r="5127">
      <c r="A5127" s="12" t="inlineStr">
        <is>
          <t>I-I-0524</t>
        </is>
      </c>
      <c r="B5127" s="12" t="inlineStr">
        <is>
          <t>I</t>
        </is>
      </c>
      <c r="C5127" s="12" t="inlineStr">
        <is>
          <t>Modular / portable power</t>
        </is>
      </c>
      <c r="D5127" s="12" t="inlineStr">
        <is>
          <t>Analog instrument to JB JB-T-MOD-2-AI01: 8 x 1 pr (field cables)</t>
        </is>
      </c>
      <c r="E5127" s="12" t="inlineStr">
        <is>
          <t>T-MOD-2</t>
        </is>
      </c>
      <c r="F5127" s="12" t="inlineStr">
        <is>
          <t>T-MOD-2: 230 / 34.5 kV</t>
        </is>
      </c>
      <c r="G5127" s="12" t="inlineStr">
        <is>
          <t>JB-T-MOD-2-AI01</t>
        </is>
      </c>
      <c r="H5127" s="12" t="inlineStr">
        <is>
          <t>T-MOD-2: 230 / 34.5 kV</t>
        </is>
      </c>
      <c r="I5127" s="12" t="inlineStr">
        <is>
          <t>Instrumentation</t>
        </is>
      </c>
      <c r="J5127" s="12" t="inlineStr">
        <is>
          <t>Instrumentation PLTC / TC-ER 300 V, #18 twisted shielded pairs, overall shield</t>
        </is>
      </c>
      <c r="K5127" s="12" t="inlineStr">
        <is>
          <t>PLTC|1 pr|16</t>
        </is>
      </c>
      <c r="L5127" s="12" t="inlineStr">
        <is>
          <t>1 pr</t>
        </is>
      </c>
      <c r="M5127" s="12" t="inlineStr">
        <is>
          <t>16</t>
        </is>
      </c>
      <c r="N5127" s="12" t="n">
        <v>8</v>
      </c>
      <c r="O5127" s="12" t="n">
        <v>1</v>
      </c>
      <c r="P5127" s="12" t="n"/>
      <c r="Q5127" s="12" t="n"/>
      <c r="R5127" s="12" t="n"/>
      <c r="S5127" s="12" t="inlineStr">
        <is>
          <t>Tray / conduit</t>
        </is>
      </c>
      <c r="T5127" s="15" t="n">
        <v>77</v>
      </c>
      <c r="U5127" s="15" t="n">
        <v>10</v>
      </c>
      <c r="V5127" s="15">
        <f>ROUNDUP((T5127+U5127+2*'Read Me'!$B$13)*(1+'Read Me'!$B$12),-1)</f>
        <v/>
      </c>
      <c r="W5127" s="15">
        <f>V5127*N5127*O5127</f>
        <v/>
      </c>
      <c r="X5127" s="12">
        <f>IF(LEFT(I5127,2)="MV",2*N5127*IF(L5127="1/C",O5127,1),0)</f>
        <v/>
      </c>
      <c r="Y5127" s="12">
        <f>IF(OR(LEFT(K5127,4)="LVAX",LEFT(K5127,6)="MV15AX",LEFT(K5127,4)="CTAX",LEFT(K5127,2)="W|"),2*N5127*O5127,0)</f>
        <v/>
      </c>
      <c r="Z5127" s="12" t="inlineStr">
        <is>
          <t>device-to-JB field wiring, one cable per device</t>
        </is>
      </c>
      <c r="AA5127" s="12">
        <f>N5127*O5127</f>
        <v/>
      </c>
    </row>
    <row r="5128">
      <c r="A5128" s="12" t="inlineStr">
        <is>
          <t>I-I-0525</t>
        </is>
      </c>
      <c r="B5128" s="12" t="inlineStr">
        <is>
          <t>I</t>
        </is>
      </c>
      <c r="C5128" s="12" t="inlineStr">
        <is>
          <t>Modular / portable power</t>
        </is>
      </c>
      <c r="D5128" s="12" t="inlineStr">
        <is>
          <t>Home run JB-T-MOD-2-AI01 to the control / marshalling room</t>
        </is>
      </c>
      <c r="E5128" s="12" t="inlineStr"/>
      <c r="F5128" s="12" t="inlineStr">
        <is>
          <t>PCM: power control module</t>
        </is>
      </c>
      <c r="G5128" s="12" t="inlineStr">
        <is>
          <t>JB-T-MOD-2-AI01</t>
        </is>
      </c>
      <c r="H5128" s="12" t="inlineStr">
        <is>
          <t>T-MOD-2: 230 / 34.5 kV</t>
        </is>
      </c>
      <c r="I5128" s="12" t="inlineStr">
        <is>
          <t>Instrumentation</t>
        </is>
      </c>
      <c r="J5128" s="12" t="inlineStr">
        <is>
          <t>Instrumentation PLTC / TC-ER 300 V, #18 twisted shielded pairs, overall shield</t>
        </is>
      </c>
      <c r="K5128" s="12" t="inlineStr">
        <is>
          <t>PLTC|24 pr|18</t>
        </is>
      </c>
      <c r="L5128" s="12" t="inlineStr">
        <is>
          <t>24 pr</t>
        </is>
      </c>
      <c r="M5128" s="12" t="inlineStr">
        <is>
          <t>18</t>
        </is>
      </c>
      <c r="N5128" s="12" t="n">
        <v>1</v>
      </c>
      <c r="O5128" s="12" t="n">
        <v>1</v>
      </c>
      <c r="P5128" s="12" t="n"/>
      <c r="Q5128" s="12" t="n"/>
      <c r="R5128" s="12" t="n"/>
      <c r="S5128" s="12" t="inlineStr">
        <is>
          <t>Duct bank</t>
        </is>
      </c>
      <c r="T5128" s="15" t="n">
        <v>553</v>
      </c>
      <c r="U5128" s="15" t="n">
        <v>32</v>
      </c>
      <c r="V5128" s="15">
        <f>ROUNDUP((T5128+U5128+2*'Read Me'!$B$13)*(1+'Read Me'!$B$12),-1)</f>
        <v/>
      </c>
      <c r="W5128" s="15">
        <f>V5128*N5128*O5128</f>
        <v/>
      </c>
      <c r="X5128" s="12">
        <f>IF(LEFT(I5128,2)="MV",2*N5128*IF(L5128="1/C",O5128,1),0)</f>
        <v/>
      </c>
      <c r="Y5128" s="12">
        <f>IF(OR(LEFT(K5128,4)="LVAX",LEFT(K5128,6)="MV15AX",LEFT(K5128,4)="CTAX",LEFT(K5128,2)="W|"),2*N5128*O5128,0)</f>
        <v/>
      </c>
      <c r="Z5128" s="12" t="inlineStr"/>
      <c r="AA5128" s="12">
        <f>N5128*O5128</f>
        <v/>
      </c>
    </row>
    <row r="5129">
      <c r="A5129" s="12" t="inlineStr">
        <is>
          <t>I-I-0526</t>
        </is>
      </c>
      <c r="B5129" s="12" t="inlineStr">
        <is>
          <t>I</t>
        </is>
      </c>
      <c r="C5129" s="12" t="inlineStr">
        <is>
          <t>Modular / portable power</t>
        </is>
      </c>
      <c r="D5129" s="12" t="inlineStr">
        <is>
          <t>Discrete device to JB JB-T-MOD-2-DI01: 16 x 1 pr (field cables)</t>
        </is>
      </c>
      <c r="E5129" s="12" t="inlineStr">
        <is>
          <t>T-MOD-2</t>
        </is>
      </c>
      <c r="F5129" s="12" t="inlineStr">
        <is>
          <t>T-MOD-2: 230 / 34.5 kV</t>
        </is>
      </c>
      <c r="G5129" s="12" t="inlineStr">
        <is>
          <t>JB-T-MOD-2-DI01</t>
        </is>
      </c>
      <c r="H5129" s="12" t="inlineStr">
        <is>
          <t>T-MOD-2: 230 / 34.5 kV</t>
        </is>
      </c>
      <c r="I5129" s="12" t="inlineStr">
        <is>
          <t>Instrumentation</t>
        </is>
      </c>
      <c r="J5129" s="12" t="inlineStr">
        <is>
          <t>Instrumentation PLTC / TC-ER 300 V, #18 twisted shielded pairs, overall shield</t>
        </is>
      </c>
      <c r="K5129" s="12" t="inlineStr">
        <is>
          <t>PLTC|1 pr|16</t>
        </is>
      </c>
      <c r="L5129" s="12" t="inlineStr">
        <is>
          <t>1 pr</t>
        </is>
      </c>
      <c r="M5129" s="12" t="inlineStr">
        <is>
          <t>16</t>
        </is>
      </c>
      <c r="N5129" s="12" t="n">
        <v>16</v>
      </c>
      <c r="O5129" s="12" t="n">
        <v>1</v>
      </c>
      <c r="P5129" s="12" t="n"/>
      <c r="Q5129" s="12" t="n"/>
      <c r="R5129" s="12" t="n"/>
      <c r="S5129" s="12" t="inlineStr">
        <is>
          <t>Tray / conduit</t>
        </is>
      </c>
      <c r="T5129" s="15" t="n">
        <v>77</v>
      </c>
      <c r="U5129" s="15" t="n">
        <v>10</v>
      </c>
      <c r="V5129" s="15">
        <f>ROUNDUP((T5129+U5129+2*'Read Me'!$B$13)*(1+'Read Me'!$B$12),-1)</f>
        <v/>
      </c>
      <c r="W5129" s="15">
        <f>V5129*N5129*O5129</f>
        <v/>
      </c>
      <c r="X5129" s="12">
        <f>IF(LEFT(I5129,2)="MV",2*N5129*IF(L5129="1/C",O5129,1),0)</f>
        <v/>
      </c>
      <c r="Y5129" s="12">
        <f>IF(OR(LEFT(K5129,4)="LVAX",LEFT(K5129,6)="MV15AX",LEFT(K5129,4)="CTAX",LEFT(K5129,2)="W|"),2*N5129*O5129,0)</f>
        <v/>
      </c>
      <c r="Z5129" s="12" t="inlineStr">
        <is>
          <t>device-to-JB field wiring, one cable per device</t>
        </is>
      </c>
      <c r="AA5129" s="12">
        <f>N5129*O5129</f>
        <v/>
      </c>
    </row>
    <row r="5130">
      <c r="A5130" s="12" t="inlineStr">
        <is>
          <t>I-I-0527</t>
        </is>
      </c>
      <c r="B5130" s="12" t="inlineStr">
        <is>
          <t>I</t>
        </is>
      </c>
      <c r="C5130" s="12" t="inlineStr">
        <is>
          <t>Modular / portable power</t>
        </is>
      </c>
      <c r="D5130" s="12" t="inlineStr">
        <is>
          <t>Home run JB-T-MOD-2-DI01 to the control / marshalling room</t>
        </is>
      </c>
      <c r="E5130" s="12" t="inlineStr"/>
      <c r="F5130" s="12" t="inlineStr">
        <is>
          <t>PCM: power control module</t>
        </is>
      </c>
      <c r="G5130" s="12" t="inlineStr">
        <is>
          <t>JB-T-MOD-2-DI01</t>
        </is>
      </c>
      <c r="H5130" s="12" t="inlineStr">
        <is>
          <t>T-MOD-2: 230 / 34.5 kV</t>
        </is>
      </c>
      <c r="I5130" s="12" t="inlineStr">
        <is>
          <t>Instrumentation</t>
        </is>
      </c>
      <c r="J5130" s="12" t="inlineStr">
        <is>
          <t>Instrumentation PLTC / TC-ER 300 V, #18 twisted shielded pairs, overall shield</t>
        </is>
      </c>
      <c r="K5130" s="12" t="inlineStr">
        <is>
          <t>PLTC|24 pr|18</t>
        </is>
      </c>
      <c r="L5130" s="12" t="inlineStr">
        <is>
          <t>24 pr</t>
        </is>
      </c>
      <c r="M5130" s="12" t="inlineStr">
        <is>
          <t>18</t>
        </is>
      </c>
      <c r="N5130" s="12" t="n">
        <v>1</v>
      </c>
      <c r="O5130" s="12" t="n">
        <v>1</v>
      </c>
      <c r="P5130" s="12" t="n"/>
      <c r="Q5130" s="12" t="n"/>
      <c r="R5130" s="12" t="n"/>
      <c r="S5130" s="12" t="inlineStr">
        <is>
          <t>Duct bank</t>
        </is>
      </c>
      <c r="T5130" s="15" t="n">
        <v>553</v>
      </c>
      <c r="U5130" s="15" t="n">
        <v>32</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I-I-0528</t>
        </is>
      </c>
      <c r="B5131" s="12" t="inlineStr">
        <is>
          <t>I</t>
        </is>
      </c>
      <c r="C5131" s="12" t="inlineStr">
        <is>
          <t>Modular / portable power</t>
        </is>
      </c>
      <c r="D5131" s="12" t="inlineStr">
        <is>
          <t>Analog instrument to JB JB-T-MOD-3 230 kV gan-AI01: 8 x 1 pr (field cables)</t>
        </is>
      </c>
      <c r="E5131" s="12" t="inlineStr"/>
      <c r="F5131" s="12" t="inlineStr">
        <is>
          <t>T-MOD-3 230 kV gantry extension with arresters</t>
        </is>
      </c>
      <c r="G5131" s="12" t="inlineStr">
        <is>
          <t>JB-T-MOD-3 230 kV gan-AI01</t>
        </is>
      </c>
      <c r="H5131" s="12" t="inlineStr">
        <is>
          <t>T-MOD-3 230 kV gantry extension with arresters</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8</v>
      </c>
      <c r="O5131" s="12" t="n">
        <v>1</v>
      </c>
      <c r="P5131" s="12" t="n"/>
      <c r="Q5131" s="12" t="n"/>
      <c r="R5131" s="12" t="n"/>
      <c r="S5131" s="12" t="inlineStr">
        <is>
          <t>Tray / conduit</t>
        </is>
      </c>
      <c r="T5131" s="15" t="n">
        <v>85</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I-I-0529</t>
        </is>
      </c>
      <c r="B5132" s="12" t="inlineStr">
        <is>
          <t>I</t>
        </is>
      </c>
      <c r="C5132" s="12" t="inlineStr">
        <is>
          <t>Modular / portable power</t>
        </is>
      </c>
      <c r="D5132" s="12" t="inlineStr">
        <is>
          <t>Home run JB-T-MOD-3 230 kV gan-AI01 to the control / marshalling room</t>
        </is>
      </c>
      <c r="E5132" s="12" t="inlineStr">
        <is>
          <t>PAD-EH</t>
        </is>
      </c>
      <c r="F5132" s="12" t="inlineStr">
        <is>
          <t>PAD-EH 13.8 kV switchgear e-house</t>
        </is>
      </c>
      <c r="G5132" s="12" t="inlineStr">
        <is>
          <t>JB-T-MOD-3 230 kV gan-AI01</t>
        </is>
      </c>
      <c r="H5132" s="12" t="inlineStr">
        <is>
          <t>T-MOD-3 230 kV gantry extension with arresters</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Duct bank</t>
        </is>
      </c>
      <c r="T5132" s="15" t="n">
        <v>504</v>
      </c>
      <c r="U5132" s="15" t="n">
        <v>38</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I-I-0530</t>
        </is>
      </c>
      <c r="B5133" s="12" t="inlineStr">
        <is>
          <t>I</t>
        </is>
      </c>
      <c r="C5133" s="12" t="inlineStr">
        <is>
          <t>Modular / portable power</t>
        </is>
      </c>
      <c r="D5133" s="12" t="inlineStr">
        <is>
          <t>Discrete device to JB JB-T-MOD-3 230 kV gan-DI01: 16 x 1 pr (field cables)</t>
        </is>
      </c>
      <c r="E5133" s="12" t="inlineStr"/>
      <c r="F5133" s="12" t="inlineStr">
        <is>
          <t>T-MOD-3 230 kV gantry extension with arresters</t>
        </is>
      </c>
      <c r="G5133" s="12" t="inlineStr">
        <is>
          <t>JB-T-MOD-3 230 kV gan-DI01</t>
        </is>
      </c>
      <c r="H5133" s="12" t="inlineStr">
        <is>
          <t>T-MOD-3 230 kV gantry extension with arresters</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16</v>
      </c>
      <c r="O5133" s="12" t="n">
        <v>1</v>
      </c>
      <c r="P5133" s="12" t="n"/>
      <c r="Q5133" s="12" t="n"/>
      <c r="R5133" s="12" t="n"/>
      <c r="S5133" s="12" t="inlineStr">
        <is>
          <t>Tray / conduit</t>
        </is>
      </c>
      <c r="T5133" s="15" t="n">
        <v>85</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I-I-0531</t>
        </is>
      </c>
      <c r="B5134" s="12" t="inlineStr">
        <is>
          <t>I</t>
        </is>
      </c>
      <c r="C5134" s="12" t="inlineStr">
        <is>
          <t>Modular / portable power</t>
        </is>
      </c>
      <c r="D5134" s="12" t="inlineStr">
        <is>
          <t>Home run JB-T-MOD-3 230 kV gan-DI01 to the control / marshalling room</t>
        </is>
      </c>
      <c r="E5134" s="12" t="inlineStr">
        <is>
          <t>PAD-EH</t>
        </is>
      </c>
      <c r="F5134" s="12" t="inlineStr">
        <is>
          <t>PAD-EH 13.8 kV switchgear e-house</t>
        </is>
      </c>
      <c r="G5134" s="12" t="inlineStr">
        <is>
          <t>JB-T-MOD-3 230 kV gan-DI01</t>
        </is>
      </c>
      <c r="H5134" s="12" t="inlineStr">
        <is>
          <t>T-MOD-3 230 kV gantry extension with arresters</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504</v>
      </c>
      <c r="U5134" s="15" t="n">
        <v>38</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I-I-0532</t>
        </is>
      </c>
      <c r="B5135" s="12" t="inlineStr">
        <is>
          <t>I</t>
        </is>
      </c>
      <c r="C5135" s="12" t="inlineStr">
        <is>
          <t>Modular / portable power</t>
        </is>
      </c>
      <c r="D5135" s="12" t="inlineStr">
        <is>
          <t>T-MOD-3 monitoring: temperatures, gas relay, oil level</t>
        </is>
      </c>
      <c r="E5135" s="12" t="inlineStr">
        <is>
          <t>SWG-PK</t>
        </is>
      </c>
      <c r="F5135" s="12" t="inlineStr">
        <is>
          <t>SWG-PK: 34.5 kV park collector switchgear (2 bus sections, tie; 8 feed</t>
        </is>
      </c>
      <c r="G5135" s="12" t="inlineStr">
        <is>
          <t>T-MOD-3</t>
        </is>
      </c>
      <c r="H5135" s="12" t="inlineStr">
        <is>
          <t>T-MOD-3: 230 / 34.5 / 34.5 kV, ~250 MVA three-winding (power park coll</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Duct bank</t>
        </is>
      </c>
      <c r="T5135" s="15" t="n">
        <v>22</v>
      </c>
      <c r="U5135" s="15" t="n">
        <v>58</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I-I-0533</t>
        </is>
      </c>
      <c r="B5136" s="12" t="inlineStr">
        <is>
          <t>I</t>
        </is>
      </c>
      <c r="C5136" s="12" t="inlineStr">
        <is>
          <t>Modular / portable power</t>
        </is>
      </c>
      <c r="D5136" s="12" t="inlineStr">
        <is>
          <t>TGF-1 instrumentation</t>
        </is>
      </c>
      <c r="E5136" s="12" t="inlineStr">
        <is>
          <t>TGF-SWG</t>
        </is>
      </c>
      <c r="F5136" s="12" t="inlineStr">
        <is>
          <t>TGF-SWG: mobile 13.8 kV switchgear trailer (fleet collector)</t>
        </is>
      </c>
      <c r="G5136" s="12" t="inlineStr">
        <is>
          <t>TGF-1</t>
        </is>
      </c>
      <c r="H5136" s="12" t="inlineStr">
        <is>
          <t xml:space="preserve">TGF-1: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82</v>
      </c>
      <c r="U5136" s="15" t="n">
        <v>37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I-I-0534</t>
        </is>
      </c>
      <c r="B5137" s="12" t="inlineStr">
        <is>
          <t>I</t>
        </is>
      </c>
      <c r="C5137" s="12" t="inlineStr">
        <is>
          <t>Modular / portable power</t>
        </is>
      </c>
      <c r="D5137" s="12" t="inlineStr">
        <is>
          <t>TGF-2 instrumentation</t>
        </is>
      </c>
      <c r="E5137" s="12" t="inlineStr">
        <is>
          <t>TGF-SWG</t>
        </is>
      </c>
      <c r="F5137" s="12" t="inlineStr">
        <is>
          <t>TGF-SWG: mobile 13.8 kV switchgear trailer (fleet collector)</t>
        </is>
      </c>
      <c r="G5137" s="12" t="inlineStr">
        <is>
          <t>TGF-2</t>
        </is>
      </c>
      <c r="H5137" s="12" t="inlineStr">
        <is>
          <t xml:space="preserve">TGF-2: trailer-mounted gas-engine generator ~2.5 MW, 13.8 kV (trailer </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68</v>
      </c>
      <c r="U5137" s="15" t="n">
        <v>37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I-I-0535</t>
        </is>
      </c>
      <c r="B5138" s="12" t="inlineStr">
        <is>
          <t>I</t>
        </is>
      </c>
      <c r="C5138" s="12" t="inlineStr">
        <is>
          <t>Modular / portable power</t>
        </is>
      </c>
      <c r="D5138" s="12" t="inlineStr">
        <is>
          <t>TGF-3 instrumentation</t>
        </is>
      </c>
      <c r="E5138" s="12" t="inlineStr">
        <is>
          <t>TGF-SWG</t>
        </is>
      </c>
      <c r="F5138" s="12" t="inlineStr">
        <is>
          <t>TGF-SWG: mobile 13.8 kV switchgear trailer (fleet collector)</t>
        </is>
      </c>
      <c r="G5138" s="12" t="inlineStr">
        <is>
          <t>TGF-3</t>
        </is>
      </c>
      <c r="H5138" s="12" t="inlineStr">
        <is>
          <t xml:space="preserve">TGF-3: trailer-mounted gas-engine generator ~2.5 MW, 13.8 kV (trailer </t>
        </is>
      </c>
      <c r="I5138" s="12" t="inlineStr">
        <is>
          <t>Instrumentation</t>
        </is>
      </c>
      <c r="J5138" s="12" t="inlineStr">
        <is>
          <t>Instrumentation ITC / PLTC, IS, #18 shielded pairs, blue jacket</t>
        </is>
      </c>
      <c r="K5138" s="12" t="inlineStr">
        <is>
          <t>ITC|4 pr|18</t>
        </is>
      </c>
      <c r="L5138" s="12" t="inlineStr">
        <is>
          <t>4 pr</t>
        </is>
      </c>
      <c r="M5138" s="12" t="inlineStr">
        <is>
          <t>18</t>
        </is>
      </c>
      <c r="N5138" s="12" t="n">
        <v>1</v>
      </c>
      <c r="O5138" s="12" t="n">
        <v>1</v>
      </c>
      <c r="P5138" s="12" t="n"/>
      <c r="Q5138" s="12" t="n"/>
      <c r="R5138" s="12" t="n"/>
      <c r="S5138" s="12" t="inlineStr">
        <is>
          <t>Surface</t>
        </is>
      </c>
      <c r="T5138" s="15" t="n">
        <v>54</v>
      </c>
      <c r="U5138" s="15" t="n">
        <v>37</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I-I-0536</t>
        </is>
      </c>
      <c r="B5139" s="12" t="inlineStr">
        <is>
          <t>I</t>
        </is>
      </c>
      <c r="C5139" s="12" t="inlineStr">
        <is>
          <t>Modular / portable power</t>
        </is>
      </c>
      <c r="D5139" s="12" t="inlineStr">
        <is>
          <t>TGF-4 instrumentation</t>
        </is>
      </c>
      <c r="E5139" s="12" t="inlineStr">
        <is>
          <t>TGF-SWG</t>
        </is>
      </c>
      <c r="F5139" s="12" t="inlineStr">
        <is>
          <t>TGF-SWG: mobile 13.8 kV switchgear trailer (fleet collector)</t>
        </is>
      </c>
      <c r="G5139" s="12" t="inlineStr">
        <is>
          <t>TGF-4</t>
        </is>
      </c>
      <c r="H5139" s="12" t="inlineStr">
        <is>
          <t xml:space="preserve">TGF-4: trailer-mounted gas-engine generator ~2.5 MW, 13.8 kV (trailer </t>
        </is>
      </c>
      <c r="I5139" s="12" t="inlineStr">
        <is>
          <t>Instrumentation</t>
        </is>
      </c>
      <c r="J5139" s="12" t="inlineStr">
        <is>
          <t>Instrumentation ITC / PLTC, IS, #18 shielded pairs, blue jacket</t>
        </is>
      </c>
      <c r="K5139" s="12" t="inlineStr">
        <is>
          <t>ITC|4 pr|18</t>
        </is>
      </c>
      <c r="L5139" s="12" t="inlineStr">
        <is>
          <t>4 pr</t>
        </is>
      </c>
      <c r="M5139" s="12" t="inlineStr">
        <is>
          <t>18</t>
        </is>
      </c>
      <c r="N5139" s="12" t="n">
        <v>1</v>
      </c>
      <c r="O5139" s="12" t="n">
        <v>1</v>
      </c>
      <c r="P5139" s="12" t="n"/>
      <c r="Q5139" s="12" t="n"/>
      <c r="R5139" s="12" t="n"/>
      <c r="S5139" s="12" t="inlineStr">
        <is>
          <t>Surface</t>
        </is>
      </c>
      <c r="T5139" s="15" t="n">
        <v>40</v>
      </c>
      <c r="U5139" s="15" t="n">
        <v>37</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I-I-0537</t>
        </is>
      </c>
      <c r="B5140" s="12" t="inlineStr">
        <is>
          <t>I</t>
        </is>
      </c>
      <c r="C5140" s="12" t="inlineStr">
        <is>
          <t>Modular / portable power</t>
        </is>
      </c>
      <c r="D5140" s="12" t="inlineStr">
        <is>
          <t>TGF-5 instrumentation</t>
        </is>
      </c>
      <c r="E5140" s="12" t="inlineStr">
        <is>
          <t>TGF-SWG</t>
        </is>
      </c>
      <c r="F5140" s="12" t="inlineStr">
        <is>
          <t>TGF-SWG: mobile 13.8 kV switchgear trailer (fleet collector)</t>
        </is>
      </c>
      <c r="G5140" s="12" t="inlineStr">
        <is>
          <t>TGF-5</t>
        </is>
      </c>
      <c r="H5140" s="12" t="inlineStr">
        <is>
          <t xml:space="preserve">TGF-5: trailer-mounted gas-engine generator ~2.5 MW, 13.8 kV (trailer </t>
        </is>
      </c>
      <c r="I5140" s="12" t="inlineStr">
        <is>
          <t>Instrumentation</t>
        </is>
      </c>
      <c r="J5140" s="12" t="inlineStr">
        <is>
          <t>Instrumentation ITC / PLTC, IS, #18 shielded pairs, blue jacket</t>
        </is>
      </c>
      <c r="K5140" s="12" t="inlineStr">
        <is>
          <t>ITC|4 pr|18</t>
        </is>
      </c>
      <c r="L5140" s="12" t="inlineStr">
        <is>
          <t>4 pr</t>
        </is>
      </c>
      <c r="M5140" s="12" t="inlineStr">
        <is>
          <t>18</t>
        </is>
      </c>
      <c r="N5140" s="12" t="n">
        <v>1</v>
      </c>
      <c r="O5140" s="12" t="n">
        <v>1</v>
      </c>
      <c r="P5140" s="12" t="n"/>
      <c r="Q5140" s="12" t="n"/>
      <c r="R5140" s="12" t="n"/>
      <c r="S5140" s="12" t="inlineStr">
        <is>
          <t>Surface</t>
        </is>
      </c>
      <c r="T5140" s="15" t="n">
        <v>34</v>
      </c>
      <c r="U5140" s="15" t="n">
        <v>31</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I-I-0538</t>
        </is>
      </c>
      <c r="B5141" s="12" t="inlineStr">
        <is>
          <t>I</t>
        </is>
      </c>
      <c r="C5141" s="12" t="inlineStr">
        <is>
          <t>Modular / portable power</t>
        </is>
      </c>
      <c r="D5141" s="12" t="inlineStr">
        <is>
          <t>TGF-6 instrumentation</t>
        </is>
      </c>
      <c r="E5141" s="12" t="inlineStr">
        <is>
          <t>TGF-SWG</t>
        </is>
      </c>
      <c r="F5141" s="12" t="inlineStr">
        <is>
          <t>TGF-SWG: mobile 13.8 kV switchgear trailer (fleet collector)</t>
        </is>
      </c>
      <c r="G5141" s="12" t="inlineStr">
        <is>
          <t>TGF-6</t>
        </is>
      </c>
      <c r="H5141" s="12" t="inlineStr">
        <is>
          <t xml:space="preserve">TGF-6: trailer-mounted gas-engine generator ~2.5 MW, 13.8 kV (trailer </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Surface</t>
        </is>
      </c>
      <c r="T5141" s="15" t="n">
        <v>26</v>
      </c>
      <c r="U5141" s="15" t="n">
        <v>27</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I-I-0539</t>
        </is>
      </c>
      <c r="B5142" s="12" t="inlineStr">
        <is>
          <t>I</t>
        </is>
      </c>
      <c r="C5142" s="12" t="inlineStr">
        <is>
          <t>Modular / portable power</t>
        </is>
      </c>
      <c r="D5142" s="12" t="inlineStr">
        <is>
          <t>TGF-GSU monitoring: temperatures, gas relay, oil level</t>
        </is>
      </c>
      <c r="E5142" s="12" t="inlineStr">
        <is>
          <t>TGF-SWG</t>
        </is>
      </c>
      <c r="F5142" s="12" t="inlineStr">
        <is>
          <t>TGF-SWG: mobile 13.8 kV switchgear trailer (fleet collector)</t>
        </is>
      </c>
      <c r="G5142" s="12" t="inlineStr">
        <is>
          <t>TGF-GSU</t>
        </is>
      </c>
      <c r="H5142" s="12" t="inlineStr">
        <is>
          <t>TGF-GSU: 13.8 / 34.5 kV step-up, ~20 MVA (trailer fleet)</t>
        </is>
      </c>
      <c r="I5142" s="12" t="inlineStr">
        <is>
          <t>Instrumentation</t>
        </is>
      </c>
      <c r="J5142" s="12" t="inlineStr">
        <is>
          <t>Instrumentation ITC / PLTC, IS, #18 shielded pairs, blue jacket</t>
        </is>
      </c>
      <c r="K5142" s="12" t="inlineStr">
        <is>
          <t>ITC|4 pr|18</t>
        </is>
      </c>
      <c r="L5142" s="12" t="inlineStr">
        <is>
          <t>4 pr</t>
        </is>
      </c>
      <c r="M5142" s="12" t="inlineStr">
        <is>
          <t>18</t>
        </is>
      </c>
      <c r="N5142" s="12" t="n">
        <v>1</v>
      </c>
      <c r="O5142" s="12" t="n">
        <v>1</v>
      </c>
      <c r="P5142" s="12" t="n"/>
      <c r="Q5142" s="12" t="n"/>
      <c r="R5142" s="12" t="n"/>
      <c r="S5142" s="12" t="inlineStr">
        <is>
          <t>Surface</t>
        </is>
      </c>
      <c r="T5142" s="15" t="n">
        <v>36</v>
      </c>
      <c r="U5142" s="15" t="n">
        <v>27</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I-I-0540</t>
        </is>
      </c>
      <c r="B5143" s="12" t="inlineStr">
        <is>
          <t>I</t>
        </is>
      </c>
      <c r="C5143" s="12" t="inlineStr">
        <is>
          <t>Modular / portable power</t>
        </is>
      </c>
      <c r="D5143" s="12" t="inlineStr">
        <is>
          <t>Analog instrument to JB JB-TM-1-AI01: 20 x 1 pr (field cables)</t>
        </is>
      </c>
      <c r="E5143" s="12" t="inlineStr">
        <is>
          <t>TM-1</t>
        </is>
      </c>
      <c r="F5143" s="12" t="inlineStr">
        <is>
          <t>TM-1: trailer-mounted aeroderivative GT (TM2500 class, ~35 MW)</t>
        </is>
      </c>
      <c r="G5143" s="12" t="inlineStr">
        <is>
          <t>JB-TM-1-AI01</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PLTC|1 pr|16</t>
        </is>
      </c>
      <c r="L5143" s="12" t="inlineStr">
        <is>
          <t>1 pr</t>
        </is>
      </c>
      <c r="M5143" s="12" t="inlineStr">
        <is>
          <t>16</t>
        </is>
      </c>
      <c r="N5143" s="12" t="n">
        <v>20</v>
      </c>
      <c r="O5143" s="12" t="n">
        <v>1</v>
      </c>
      <c r="P5143" s="12" t="n"/>
      <c r="Q5143" s="12" t="n"/>
      <c r="R5143" s="12" t="n"/>
      <c r="S5143" s="12" t="inlineStr">
        <is>
          <t>Tray / conduit</t>
        </is>
      </c>
      <c r="T5143" s="15" t="n">
        <v>108</v>
      </c>
      <c r="U5143" s="15" t="n">
        <v>10</v>
      </c>
      <c r="V5143" s="15">
        <f>ROUNDUP((T5143+U5143+2*'Read Me'!$B$13)*(1+'Read Me'!$B$12),-1)</f>
        <v/>
      </c>
      <c r="W5143" s="15">
        <f>V5143*N5143*O5143</f>
        <v/>
      </c>
      <c r="X5143" s="12">
        <f>IF(LEFT(I5143,2)="MV",2*N5143*IF(L5143="1/C",O5143,1),0)</f>
        <v/>
      </c>
      <c r="Y5143" s="12">
        <f>IF(OR(LEFT(K5143,4)="LVAX",LEFT(K5143,6)="MV15AX",LEFT(K5143,4)="CTAX",LEFT(K5143,2)="W|"),2*N5143*O5143,0)</f>
        <v/>
      </c>
      <c r="Z5143" s="12" t="inlineStr">
        <is>
          <t>device-to-JB field wiring, one cable per device</t>
        </is>
      </c>
      <c r="AA5143" s="12">
        <f>N5143*O5143</f>
        <v/>
      </c>
    </row>
    <row r="5144">
      <c r="A5144" s="12" t="inlineStr">
        <is>
          <t>I-I-0541</t>
        </is>
      </c>
      <c r="B5144" s="12" t="inlineStr">
        <is>
          <t>I</t>
        </is>
      </c>
      <c r="C5144" s="12" t="inlineStr">
        <is>
          <t>Modular / portable power</t>
        </is>
      </c>
      <c r="D5144" s="12" t="inlineStr">
        <is>
          <t>Home run JB-TM-1-AI01 to the control / marshalling room</t>
        </is>
      </c>
      <c r="E5144" s="12" t="inlineStr">
        <is>
          <t>PAD-EH</t>
        </is>
      </c>
      <c r="F5144" s="12" t="inlineStr">
        <is>
          <t>PAD-EH 13.8 kV switchgear e-house</t>
        </is>
      </c>
      <c r="G5144" s="12" t="inlineStr">
        <is>
          <t>JB-TM-1-AI01</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PLTC|24 pr|18</t>
        </is>
      </c>
      <c r="L5144" s="12" t="inlineStr">
        <is>
          <t>24 pr</t>
        </is>
      </c>
      <c r="M5144" s="12" t="inlineStr">
        <is>
          <t>18</t>
        </is>
      </c>
      <c r="N5144" s="12" t="n">
        <v>1</v>
      </c>
      <c r="O5144" s="12" t="n">
        <v>1</v>
      </c>
      <c r="P5144" s="12" t="n"/>
      <c r="Q5144" s="12" t="n"/>
      <c r="R5144" s="12" t="n"/>
      <c r="S5144" s="12" t="inlineStr">
        <is>
          <t>Duct bank</t>
        </is>
      </c>
      <c r="T5144" s="15" t="n">
        <v>437</v>
      </c>
      <c r="U5144" s="15" t="n">
        <v>39</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I-I-0542</t>
        </is>
      </c>
      <c r="B5145" s="12" t="inlineStr">
        <is>
          <t>I</t>
        </is>
      </c>
      <c r="C5145" s="12" t="inlineStr">
        <is>
          <t>Modular / portable power</t>
        </is>
      </c>
      <c r="D5145" s="12" t="inlineStr">
        <is>
          <t>Analog instrument to JB JB-TM-1-AI02: 20 x 1 pr (field cables)</t>
        </is>
      </c>
      <c r="E5145" s="12" t="inlineStr">
        <is>
          <t>TM-1</t>
        </is>
      </c>
      <c r="F5145" s="12" t="inlineStr">
        <is>
          <t>TM-1: trailer-mounted aeroderivative GT (TM2500 class, ~35 MW)</t>
        </is>
      </c>
      <c r="G5145" s="12" t="inlineStr">
        <is>
          <t>JB-TM-1-AI02</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PLTC|1 pr|16</t>
        </is>
      </c>
      <c r="L5145" s="12" t="inlineStr">
        <is>
          <t>1 pr</t>
        </is>
      </c>
      <c r="M5145" s="12" t="inlineStr">
        <is>
          <t>16</t>
        </is>
      </c>
      <c r="N5145" s="12" t="n">
        <v>20</v>
      </c>
      <c r="O5145" s="12" t="n">
        <v>1</v>
      </c>
      <c r="P5145" s="12" t="n"/>
      <c r="Q5145" s="12" t="n"/>
      <c r="R5145" s="12" t="n"/>
      <c r="S5145" s="12" t="inlineStr">
        <is>
          <t>Tray / conduit</t>
        </is>
      </c>
      <c r="T5145" s="15" t="n">
        <v>108</v>
      </c>
      <c r="U5145" s="15" t="n">
        <v>10</v>
      </c>
      <c r="V5145" s="15">
        <f>ROUNDUP((T5145+U5145+2*'Read Me'!$B$13)*(1+'Read Me'!$B$12),-1)</f>
        <v/>
      </c>
      <c r="W5145" s="15">
        <f>V5145*N5145*O5145</f>
        <v/>
      </c>
      <c r="X5145" s="12">
        <f>IF(LEFT(I5145,2)="MV",2*N5145*IF(L5145="1/C",O5145,1),0)</f>
        <v/>
      </c>
      <c r="Y5145" s="12">
        <f>IF(OR(LEFT(K5145,4)="LVAX",LEFT(K5145,6)="MV15AX",LEFT(K5145,4)="CTAX",LEFT(K5145,2)="W|"),2*N5145*O5145,0)</f>
        <v/>
      </c>
      <c r="Z5145" s="12" t="inlineStr">
        <is>
          <t>device-to-JB field wiring, one cable per device</t>
        </is>
      </c>
      <c r="AA5145" s="12">
        <f>N5145*O5145</f>
        <v/>
      </c>
    </row>
    <row r="5146">
      <c r="A5146" s="12" t="inlineStr">
        <is>
          <t>I-I-0543</t>
        </is>
      </c>
      <c r="B5146" s="12" t="inlineStr">
        <is>
          <t>I</t>
        </is>
      </c>
      <c r="C5146" s="12" t="inlineStr">
        <is>
          <t>Modular / portable power</t>
        </is>
      </c>
      <c r="D5146" s="12" t="inlineStr">
        <is>
          <t>Home run JB-TM-1-AI02 to the control / marshalling room</t>
        </is>
      </c>
      <c r="E5146" s="12" t="inlineStr">
        <is>
          <t>PAD-EH</t>
        </is>
      </c>
      <c r="F5146" s="12" t="inlineStr">
        <is>
          <t>PAD-EH 13.8 kV switchgear e-house</t>
        </is>
      </c>
      <c r="G5146" s="12" t="inlineStr">
        <is>
          <t>JB-TM-1-AI02</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PLTC|24 pr|18</t>
        </is>
      </c>
      <c r="L5146" s="12" t="inlineStr">
        <is>
          <t>24 pr</t>
        </is>
      </c>
      <c r="M5146" s="12" t="inlineStr">
        <is>
          <t>18</t>
        </is>
      </c>
      <c r="N5146" s="12" t="n">
        <v>1</v>
      </c>
      <c r="O5146" s="12" t="n">
        <v>1</v>
      </c>
      <c r="P5146" s="12" t="n"/>
      <c r="Q5146" s="12" t="n"/>
      <c r="R5146" s="12" t="n"/>
      <c r="S5146" s="12" t="inlineStr">
        <is>
          <t>Duct bank</t>
        </is>
      </c>
      <c r="T5146" s="15" t="n">
        <v>437</v>
      </c>
      <c r="U5146" s="15" t="n">
        <v>39</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I-I-0544</t>
        </is>
      </c>
      <c r="B5147" s="12" t="inlineStr">
        <is>
          <t>I</t>
        </is>
      </c>
      <c r="C5147" s="12" t="inlineStr">
        <is>
          <t>Modular / portable power</t>
        </is>
      </c>
      <c r="D5147" s="12" t="inlineStr">
        <is>
          <t>Analog instrument to JB JB-TM-1-AI03: 20 x 1 pr (field cables)</t>
        </is>
      </c>
      <c r="E5147" s="12" t="inlineStr">
        <is>
          <t>TM-1</t>
        </is>
      </c>
      <c r="F5147" s="12" t="inlineStr">
        <is>
          <t>TM-1: trailer-mounted aeroderivative GT (TM2500 class, ~35 MW)</t>
        </is>
      </c>
      <c r="G5147" s="12" t="inlineStr">
        <is>
          <t>JB-TM-1-AI03</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20</v>
      </c>
      <c r="O5147" s="12" t="n">
        <v>1</v>
      </c>
      <c r="P5147" s="12" t="n"/>
      <c r="Q5147" s="12" t="n"/>
      <c r="R5147" s="12" t="n"/>
      <c r="S5147" s="12" t="inlineStr">
        <is>
          <t>Tray / conduit</t>
        </is>
      </c>
      <c r="T5147" s="15" t="n">
        <v>108</v>
      </c>
      <c r="U5147" s="15" t="n">
        <v>10</v>
      </c>
      <c r="V5147" s="15">
        <f>ROUNDUP((T5147+U5147+2*'Read Me'!$B$13)*(1+'Read Me'!$B$12),-1)</f>
        <v/>
      </c>
      <c r="W5147" s="15">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I-I-0545</t>
        </is>
      </c>
      <c r="B5148" s="12" t="inlineStr">
        <is>
          <t>I</t>
        </is>
      </c>
      <c r="C5148" s="12" t="inlineStr">
        <is>
          <t>Modular / portable power</t>
        </is>
      </c>
      <c r="D5148" s="12" t="inlineStr">
        <is>
          <t>Home run JB-TM-1-AI03 to the control / marshalling room</t>
        </is>
      </c>
      <c r="E5148" s="12" t="inlineStr">
        <is>
          <t>PAD-EH</t>
        </is>
      </c>
      <c r="F5148" s="12" t="inlineStr">
        <is>
          <t>PAD-EH 13.8 kV switchgear e-house</t>
        </is>
      </c>
      <c r="G5148" s="12" t="inlineStr">
        <is>
          <t>JB-TM-1-AI03</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5" t="n">
        <v>437</v>
      </c>
      <c r="U5148" s="15" t="n">
        <v>39</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I-I-0546</t>
        </is>
      </c>
      <c r="B5149" s="12" t="inlineStr">
        <is>
          <t>I</t>
        </is>
      </c>
      <c r="C5149" s="12" t="inlineStr">
        <is>
          <t>Modular / portable power</t>
        </is>
      </c>
      <c r="D5149" s="12" t="inlineStr">
        <is>
          <t>Analog instrument to JB JB-TM-1-AI04: 20 x 1 pr (field cables)</t>
        </is>
      </c>
      <c r="E5149" s="12" t="inlineStr">
        <is>
          <t>TM-1</t>
        </is>
      </c>
      <c r="F5149" s="12" t="inlineStr">
        <is>
          <t>TM-1: trailer-mounted aeroderivative GT (TM2500 class, ~35 MW)</t>
        </is>
      </c>
      <c r="G5149" s="12" t="inlineStr">
        <is>
          <t>JB-TM-1-AI04</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20</v>
      </c>
      <c r="O5149" s="12" t="n">
        <v>1</v>
      </c>
      <c r="P5149" s="12" t="n"/>
      <c r="Q5149" s="12" t="n"/>
      <c r="R5149" s="12" t="n"/>
      <c r="S5149" s="12" t="inlineStr">
        <is>
          <t>Tray / conduit</t>
        </is>
      </c>
      <c r="T5149" s="15" t="n">
        <v>108</v>
      </c>
      <c r="U5149" s="15" t="n">
        <v>10</v>
      </c>
      <c r="V5149" s="15">
        <f>ROUNDUP((T5149+U5149+2*'Read Me'!$B$13)*(1+'Read Me'!$B$12),-1)</f>
        <v/>
      </c>
      <c r="W5149" s="15">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I-I-0547</t>
        </is>
      </c>
      <c r="B5150" s="12" t="inlineStr">
        <is>
          <t>I</t>
        </is>
      </c>
      <c r="C5150" s="12" t="inlineStr">
        <is>
          <t>Modular / portable power</t>
        </is>
      </c>
      <c r="D5150" s="12" t="inlineStr">
        <is>
          <t>Home run JB-TM-1-AI04 to the control / marshalling room</t>
        </is>
      </c>
      <c r="E5150" s="12" t="inlineStr">
        <is>
          <t>PAD-EH</t>
        </is>
      </c>
      <c r="F5150" s="12" t="inlineStr">
        <is>
          <t>PAD-EH 13.8 kV switchgear e-house</t>
        </is>
      </c>
      <c r="G5150" s="12" t="inlineStr">
        <is>
          <t>JB-TM-1-AI04</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5" t="n">
        <v>437</v>
      </c>
      <c r="U5150" s="15" t="n">
        <v>39</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I-I-0548</t>
        </is>
      </c>
      <c r="B5151" s="12" t="inlineStr">
        <is>
          <t>I</t>
        </is>
      </c>
      <c r="C5151" s="12" t="inlineStr">
        <is>
          <t>Modular / portable power</t>
        </is>
      </c>
      <c r="D5151" s="12" t="inlineStr">
        <is>
          <t>Analog instrument to JB JB-TM-1-AI05: 20 x 1 pr (field cables)</t>
        </is>
      </c>
      <c r="E5151" s="12" t="inlineStr">
        <is>
          <t>TM-1</t>
        </is>
      </c>
      <c r="F5151" s="12" t="inlineStr">
        <is>
          <t>TM-1: trailer-mounted aeroderivative GT (TM2500 class, ~35 MW)</t>
        </is>
      </c>
      <c r="G5151" s="12" t="inlineStr">
        <is>
          <t>JB-TM-1-AI05</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20</v>
      </c>
      <c r="O5151" s="12" t="n">
        <v>1</v>
      </c>
      <c r="P5151" s="12" t="n"/>
      <c r="Q5151" s="12" t="n"/>
      <c r="R5151" s="12" t="n"/>
      <c r="S5151" s="12" t="inlineStr">
        <is>
          <t>Tray / conduit</t>
        </is>
      </c>
      <c r="T5151" s="15" t="n">
        <v>108</v>
      </c>
      <c r="U5151" s="15" t="n">
        <v>10</v>
      </c>
      <c r="V5151" s="15">
        <f>ROUNDUP((T5151+U5151+2*'Read Me'!$B$13)*(1+'Read Me'!$B$12),-1)</f>
        <v/>
      </c>
      <c r="W5151" s="15">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I-I-0549</t>
        </is>
      </c>
      <c r="B5152" s="12" t="inlineStr">
        <is>
          <t>I</t>
        </is>
      </c>
      <c r="C5152" s="12" t="inlineStr">
        <is>
          <t>Modular / portable power</t>
        </is>
      </c>
      <c r="D5152" s="12" t="inlineStr">
        <is>
          <t>Home run JB-TM-1-AI05 to the control / marshalling room</t>
        </is>
      </c>
      <c r="E5152" s="12" t="inlineStr">
        <is>
          <t>PAD-EH</t>
        </is>
      </c>
      <c r="F5152" s="12" t="inlineStr">
        <is>
          <t>PAD-EH 13.8 kV switchgear e-house</t>
        </is>
      </c>
      <c r="G5152" s="12" t="inlineStr">
        <is>
          <t>JB-TM-1-AI05</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5" t="n">
        <v>437</v>
      </c>
      <c r="U5152" s="15" t="n">
        <v>39</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I-I-0550</t>
        </is>
      </c>
      <c r="B5153" s="12" t="inlineStr">
        <is>
          <t>I</t>
        </is>
      </c>
      <c r="C5153" s="12" t="inlineStr">
        <is>
          <t>Modular / portable power</t>
        </is>
      </c>
      <c r="D5153" s="12" t="inlineStr">
        <is>
          <t>Discrete device to JB JB-TM-1-DI01: 20 x 1 pr (field cables)</t>
        </is>
      </c>
      <c r="E5153" s="12" t="inlineStr">
        <is>
          <t>TM-1</t>
        </is>
      </c>
      <c r="F5153" s="12" t="inlineStr">
        <is>
          <t>TM-1: trailer-mounted aeroderivative GT (TM2500 class, ~35 MW)</t>
        </is>
      </c>
      <c r="G5153" s="12" t="inlineStr">
        <is>
          <t>JB-TM-1-DI01</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I-I-0551</t>
        </is>
      </c>
      <c r="B5154" s="12" t="inlineStr">
        <is>
          <t>I</t>
        </is>
      </c>
      <c r="C5154" s="12" t="inlineStr">
        <is>
          <t>Modular / portable power</t>
        </is>
      </c>
      <c r="D5154" s="12" t="inlineStr">
        <is>
          <t>Home run JB-TM-1-DI01 to the control / marshalling room</t>
        </is>
      </c>
      <c r="E5154" s="12" t="inlineStr">
        <is>
          <t>PAD-EH</t>
        </is>
      </c>
      <c r="F5154" s="12" t="inlineStr">
        <is>
          <t>PAD-EH 13.8 kV switchgear e-house</t>
        </is>
      </c>
      <c r="G5154" s="12" t="inlineStr">
        <is>
          <t>JB-TM-1-DI01</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437</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I-I-0552</t>
        </is>
      </c>
      <c r="B5155" s="12" t="inlineStr">
        <is>
          <t>I</t>
        </is>
      </c>
      <c r="C5155" s="12" t="inlineStr">
        <is>
          <t>Modular / portable power</t>
        </is>
      </c>
      <c r="D5155" s="12" t="inlineStr">
        <is>
          <t>Discrete device to JB JB-TM-1-DI02: 20 x 1 pr (field cables)</t>
        </is>
      </c>
      <c r="E5155" s="12" t="inlineStr">
        <is>
          <t>TM-1</t>
        </is>
      </c>
      <c r="F5155" s="12" t="inlineStr">
        <is>
          <t>TM-1: trailer-mounted aeroderivative GT (TM2500 class, ~35 MW)</t>
        </is>
      </c>
      <c r="G5155" s="12" t="inlineStr">
        <is>
          <t>JB-TM-1-DI02</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I-I-0553</t>
        </is>
      </c>
      <c r="B5156" s="12" t="inlineStr">
        <is>
          <t>I</t>
        </is>
      </c>
      <c r="C5156" s="12" t="inlineStr">
        <is>
          <t>Modular / portable power</t>
        </is>
      </c>
      <c r="D5156" s="12" t="inlineStr">
        <is>
          <t>Home run JB-TM-1-DI02 to the control / marshalling room</t>
        </is>
      </c>
      <c r="E5156" s="12" t="inlineStr">
        <is>
          <t>PAD-EH</t>
        </is>
      </c>
      <c r="F5156" s="12" t="inlineStr">
        <is>
          <t>PAD-EH 13.8 kV switchgear e-house</t>
        </is>
      </c>
      <c r="G5156" s="12" t="inlineStr">
        <is>
          <t>JB-TM-1-DI02</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437</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I-I-0554</t>
        </is>
      </c>
      <c r="B5157" s="12" t="inlineStr">
        <is>
          <t>I</t>
        </is>
      </c>
      <c r="C5157" s="12" t="inlineStr">
        <is>
          <t>Modular / portable power</t>
        </is>
      </c>
      <c r="D5157" s="12" t="inlineStr">
        <is>
          <t>Discrete device to JB JB-TM-1-DI03: 20 x 1 pr (field cables)</t>
        </is>
      </c>
      <c r="E5157" s="12" t="inlineStr">
        <is>
          <t>TM-1</t>
        </is>
      </c>
      <c r="F5157" s="12" t="inlineStr">
        <is>
          <t>TM-1: trailer-mounted aeroderivative GT (TM2500 class, ~35 MW)</t>
        </is>
      </c>
      <c r="G5157" s="12" t="inlineStr">
        <is>
          <t>JB-TM-1-DI03</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I-I-0555</t>
        </is>
      </c>
      <c r="B5158" s="12" t="inlineStr">
        <is>
          <t>I</t>
        </is>
      </c>
      <c r="C5158" s="12" t="inlineStr">
        <is>
          <t>Modular / portable power</t>
        </is>
      </c>
      <c r="D5158" s="12" t="inlineStr">
        <is>
          <t>Home run JB-TM-1-DI03 to the control / marshalling room</t>
        </is>
      </c>
      <c r="E5158" s="12" t="inlineStr">
        <is>
          <t>PAD-EH</t>
        </is>
      </c>
      <c r="F5158" s="12" t="inlineStr">
        <is>
          <t>PAD-EH 13.8 kV switchgear e-house</t>
        </is>
      </c>
      <c r="G5158" s="12" t="inlineStr">
        <is>
          <t>JB-TM-1-DI03</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437</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I-I-0556</t>
        </is>
      </c>
      <c r="B5159" s="12" t="inlineStr">
        <is>
          <t>I</t>
        </is>
      </c>
      <c r="C5159" s="12" t="inlineStr">
        <is>
          <t>Modular / portable power</t>
        </is>
      </c>
      <c r="D5159" s="12" t="inlineStr">
        <is>
          <t>Thermocouple to TC JB JB-TM-1-TC01: 20 x 1 pr (field cables)</t>
        </is>
      </c>
      <c r="E5159" s="12" t="inlineStr">
        <is>
          <t>TM-1</t>
        </is>
      </c>
      <c r="F5159" s="12" t="inlineStr">
        <is>
          <t>TM-1: trailer-mounted aeroderivative GT (TM2500 class, ~35 MW)</t>
        </is>
      </c>
      <c r="G5159" s="12" t="inlineStr">
        <is>
          <t>JB-TM-1-TC01</t>
        </is>
      </c>
      <c r="H5159" s="12" t="inlineStr">
        <is>
          <t>TM-1: trailer-mounted aeroderivative GT (TM2500 class, ~35 MW)</t>
        </is>
      </c>
      <c r="I5159" s="12" t="inlineStr">
        <is>
          <t>Instrumentation</t>
        </is>
      </c>
      <c r="J5159" s="12" t="inlineStr">
        <is>
          <t>Thermocouple extension KX, #16 shielded pairs, PLTC</t>
        </is>
      </c>
      <c r="K5159" s="12" t="inlineStr">
        <is>
          <t>TCX|1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I-I-0557</t>
        </is>
      </c>
      <c r="B5160" s="12" t="inlineStr">
        <is>
          <t>I</t>
        </is>
      </c>
      <c r="C5160" s="12" t="inlineStr">
        <is>
          <t>Modular / portable power</t>
        </is>
      </c>
      <c r="D5160" s="12" t="inlineStr">
        <is>
          <t>Home run JB-TM-1-TC01 to the control / marshalling room</t>
        </is>
      </c>
      <c r="E5160" s="12" t="inlineStr">
        <is>
          <t>PAD-EH</t>
        </is>
      </c>
      <c r="F5160" s="12" t="inlineStr">
        <is>
          <t>PAD-EH 13.8 kV switchgear e-house</t>
        </is>
      </c>
      <c r="G5160" s="12" t="inlineStr">
        <is>
          <t>JB-TM-1-TC01</t>
        </is>
      </c>
      <c r="H5160" s="12" t="inlineStr">
        <is>
          <t>TM-1: trailer-mounted aeroderivative GT (TM2500 class, ~35 MW)</t>
        </is>
      </c>
      <c r="I5160" s="12" t="inlineStr">
        <is>
          <t>Instrumentation</t>
        </is>
      </c>
      <c r="J5160" s="12" t="inlineStr">
        <is>
          <t>Thermocouple extension KX, #16 shielded pairs, PLTC</t>
        </is>
      </c>
      <c r="K5160" s="12" t="inlineStr">
        <is>
          <t>TCX|24 pr|16</t>
        </is>
      </c>
      <c r="L5160" s="12" t="inlineStr">
        <is>
          <t>24 pr</t>
        </is>
      </c>
      <c r="M5160" s="12" t="inlineStr">
        <is>
          <t>16</t>
        </is>
      </c>
      <c r="N5160" s="12" t="n">
        <v>1</v>
      </c>
      <c r="O5160" s="12" t="n">
        <v>1</v>
      </c>
      <c r="P5160" s="12" t="n"/>
      <c r="Q5160" s="12" t="n"/>
      <c r="R5160" s="12" t="n"/>
      <c r="S5160" s="12" t="inlineStr">
        <is>
          <t>Duct bank</t>
        </is>
      </c>
      <c r="T5160" s="15" t="n">
        <v>437</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I-I-0558</t>
        </is>
      </c>
      <c r="B5161" s="12" t="inlineStr">
        <is>
          <t>I</t>
        </is>
      </c>
      <c r="C5161" s="12" t="inlineStr">
        <is>
          <t>Modular / portable power</t>
        </is>
      </c>
      <c r="D5161" s="12" t="inlineStr">
        <is>
          <t>Analog instrument to JB JB-Water-injection sk-AI01: 10 x 1 pr (field cables)</t>
        </is>
      </c>
      <c r="E5161" s="12" t="inlineStr"/>
      <c r="F5161" s="12" t="inlineStr">
        <is>
          <t>Water-injection skid</t>
        </is>
      </c>
      <c r="G5161" s="12" t="inlineStr">
        <is>
          <t>JB-Water-injection sk-AI01</t>
        </is>
      </c>
      <c r="H5161" s="12" t="inlineStr">
        <is>
          <t>Water-injection skid</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10</v>
      </c>
      <c r="O5161" s="12" t="n">
        <v>1</v>
      </c>
      <c r="P5161" s="12" t="n"/>
      <c r="Q5161" s="12" t="n"/>
      <c r="R5161" s="12" t="n"/>
      <c r="S5161" s="12" t="inlineStr">
        <is>
          <t>Tray / conduit</t>
        </is>
      </c>
      <c r="T5161" s="15" t="n">
        <v>43</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I-I-0559</t>
        </is>
      </c>
      <c r="B5162" s="12" t="inlineStr">
        <is>
          <t>I</t>
        </is>
      </c>
      <c r="C5162" s="12" t="inlineStr">
        <is>
          <t>Modular / portable power</t>
        </is>
      </c>
      <c r="D5162" s="12" t="inlineStr">
        <is>
          <t>Home run JB-Water-injection sk-AI01 to the control / marshalling room</t>
        </is>
      </c>
      <c r="E5162" s="12" t="inlineStr"/>
      <c r="F5162" s="12" t="inlineStr">
        <is>
          <t>SC-2 PCM + 15 kV GCB</t>
        </is>
      </c>
      <c r="G5162" s="12" t="inlineStr">
        <is>
          <t>JB-Water-injection sk-AI01</t>
        </is>
      </c>
      <c r="H5162" s="12" t="inlineStr">
        <is>
          <t>Water-injection skid</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0</v>
      </c>
      <c r="U5162" s="15" t="n">
        <v>60</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I-I-0560</t>
        </is>
      </c>
      <c r="B5163" s="12" t="inlineStr">
        <is>
          <t>I</t>
        </is>
      </c>
      <c r="C5163" s="12" t="inlineStr">
        <is>
          <t>Modular / portable power</t>
        </is>
      </c>
      <c r="D5163" s="12" t="inlineStr">
        <is>
          <t>Discrete device to JB JB-Water-injection sk-DI01: 10 x 1 pr (field cables)</t>
        </is>
      </c>
      <c r="E5163" s="12" t="inlineStr"/>
      <c r="F5163" s="12" t="inlineStr">
        <is>
          <t>Water-injection skid</t>
        </is>
      </c>
      <c r="G5163" s="12" t="inlineStr">
        <is>
          <t>JB-Water-injection sk-DI01</t>
        </is>
      </c>
      <c r="H5163" s="12" t="inlineStr">
        <is>
          <t>Water-injection skid</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10</v>
      </c>
      <c r="O5163" s="12" t="n">
        <v>1</v>
      </c>
      <c r="P5163" s="12" t="n"/>
      <c r="Q5163" s="12" t="n"/>
      <c r="R5163" s="12" t="n"/>
      <c r="S5163" s="12" t="inlineStr">
        <is>
          <t>Tray / conduit</t>
        </is>
      </c>
      <c r="T5163" s="15" t="n">
        <v>43</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I-I-0561</t>
        </is>
      </c>
      <c r="B5164" s="12" t="inlineStr">
        <is>
          <t>I</t>
        </is>
      </c>
      <c r="C5164" s="12" t="inlineStr">
        <is>
          <t>Modular / portable power</t>
        </is>
      </c>
      <c r="D5164" s="12" t="inlineStr">
        <is>
          <t>Home run JB-Water-injection sk-DI01 to the control / marshalling room</t>
        </is>
      </c>
      <c r="E5164" s="12" t="inlineStr"/>
      <c r="F5164" s="12" t="inlineStr">
        <is>
          <t>SC-2 PCM + 15 kV GCB</t>
        </is>
      </c>
      <c r="G5164" s="12" t="inlineStr">
        <is>
          <t>JB-Water-injection sk-DI01</t>
        </is>
      </c>
      <c r="H5164" s="12" t="inlineStr">
        <is>
          <t>Water-injection skid</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5" t="n">
        <v>0</v>
      </c>
      <c r="U5164" s="15" t="n">
        <v>60</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I-P-0001</t>
        </is>
      </c>
      <c r="B5165" s="12" t="inlineStr">
        <is>
          <t>I</t>
        </is>
      </c>
      <c r="C5165" s="12" t="inlineStr">
        <is>
          <t>Modular / portable power</t>
        </is>
      </c>
      <c r="D5165" s="12" t="inlineStr">
        <is>
          <t>AX-1 package auxiliaries 480 V (from the unit auxiliary transformer in the control module)</t>
        </is>
      </c>
      <c r="E5165" s="12" t="inlineStr">
        <is>
          <t>AX-1</t>
        </is>
      </c>
      <c r="F5165" s="12" t="inlineStr">
        <is>
          <t xml:space="preserve">AX-1: compact modular aeroderivative installation, LM2500XPRESS class </t>
        </is>
      </c>
      <c r="G5165" s="12" t="inlineStr">
        <is>
          <t>AX-1</t>
        </is>
      </c>
      <c r="H5165" s="12" t="inlineStr">
        <is>
          <t xml:space="preserve">AX-1: compact modular aeroderivative installation, LM2500XPRESS class </t>
        </is>
      </c>
      <c r="I5165" s="12" t="inlineStr">
        <is>
          <t>LV 600 V</t>
        </is>
      </c>
      <c r="J5165" s="12" t="inlineStr">
        <is>
          <t>Type TC-ER 600 V 3/C Cu XHHW-2 + ground, PVC jacket</t>
        </is>
      </c>
      <c r="K5165" s="12" t="inlineStr">
        <is>
          <t>LV|3/C+G|500</t>
        </is>
      </c>
      <c r="L5165" s="12" t="inlineStr">
        <is>
          <t>3/C+G</t>
        </is>
      </c>
      <c r="M5165" s="12" t="inlineStr">
        <is>
          <t>500 kcmil</t>
        </is>
      </c>
      <c r="N5165" s="12" t="n">
        <v>2</v>
      </c>
      <c r="O5165" s="12" t="n">
        <v>1</v>
      </c>
      <c r="P5165" s="12" t="n">
        <v>480</v>
      </c>
      <c r="Q5165" s="12" t="n">
        <v>400</v>
      </c>
      <c r="R5165" s="12" t="n">
        <v>510</v>
      </c>
      <c r="S5165" s="12" t="inlineStr">
        <is>
          <t>Tray</t>
        </is>
      </c>
      <c r="T5165" s="15" t="n">
        <v>120</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internal to the package</t>
        </is>
      </c>
      <c r="AA5165" s="12">
        <f>N5165*O5165</f>
        <v/>
      </c>
    </row>
    <row r="5166">
      <c r="A5166" s="12" t="inlineStr">
        <is>
          <t>I-P-0002</t>
        </is>
      </c>
      <c r="B5166" s="12" t="inlineStr">
        <is>
          <t>I</t>
        </is>
      </c>
      <c r="C5166" s="12" t="inlineStr">
        <is>
          <t>Modular / portable power</t>
        </is>
      </c>
      <c r="D5166" s="12" t="inlineStr">
        <is>
          <t>Motor 1 of 2, 3.7 kW</t>
        </is>
      </c>
      <c r="E5166" s="12" t="inlineStr"/>
      <c r="F5166" s="12" t="inlineStr">
        <is>
          <t>SC-2 PCM + 15 kV GCB</t>
        </is>
      </c>
      <c r="G5166" s="12" t="inlineStr"/>
      <c r="H5166" s="12" t="inlineStr">
        <is>
          <t>Aqueous ammonia (SC units)</t>
        </is>
      </c>
      <c r="I5166" s="12" t="inlineStr">
        <is>
          <t>LV 600 V</t>
        </is>
      </c>
      <c r="J5166" s="12" t="inlineStr">
        <is>
          <t>Type TC-ER 600 V 3/C Cu XHHW-2 + ground, PVC jacket</t>
        </is>
      </c>
      <c r="K5166" s="12" t="inlineStr">
        <is>
          <t>LV|3/C+G|10</t>
        </is>
      </c>
      <c r="L5166" s="12" t="inlineStr">
        <is>
          <t>3/C+G</t>
        </is>
      </c>
      <c r="M5166" s="12" t="inlineStr">
        <is>
          <t>10</t>
        </is>
      </c>
      <c r="N5166" s="12" t="n">
        <v>1</v>
      </c>
      <c r="O5166" s="12" t="n">
        <v>1</v>
      </c>
      <c r="P5166" s="12" t="n">
        <v>480</v>
      </c>
      <c r="Q5166" s="12" t="n">
        <v>3.7</v>
      </c>
      <c r="R5166" s="12" t="n">
        <v>5.2</v>
      </c>
      <c r="S5166" s="12" t="inlineStr">
        <is>
          <t>Duct bank</t>
        </is>
      </c>
      <c r="T5166" s="15" t="n">
        <v>0</v>
      </c>
      <c r="U5166" s="15" t="n">
        <v>98</v>
      </c>
      <c r="V5166" s="15">
        <f>ROUNDUP((T5166+U5166+2*'Read Me'!$B$13)*(1+'Read Me'!$B$12),-1)</f>
        <v/>
      </c>
      <c r="W5166" s="15">
        <f>V5166*N5166*O5166</f>
        <v/>
      </c>
      <c r="X5166" s="12">
        <f>IF(LEFT(I5166,2)="MV",2*N5166*IF(L5166="1/C",O5166,1),0)</f>
        <v/>
      </c>
      <c r="Y5166" s="12">
        <f>IF(OR(LEFT(K5166,4)="LVAX",LEFT(K5166,6)="MV15AX",LEFT(K5166,4)="CTAX",LEFT(K5166,2)="W|"),2*N5166*O5166,0)</f>
        <v/>
      </c>
      <c r="Z5166" s="12" t="inlineStr">
        <is>
          <t>VD 0.2 %</t>
        </is>
      </c>
      <c r="AA5166" s="12">
        <f>N5166*O5166</f>
        <v/>
      </c>
    </row>
    <row r="5167">
      <c r="A5167" s="12" t="inlineStr">
        <is>
          <t>I-P-0003</t>
        </is>
      </c>
      <c r="B5167" s="12" t="inlineStr">
        <is>
          <t>I</t>
        </is>
      </c>
      <c r="C5167" s="12" t="inlineStr">
        <is>
          <t>Modular / portable power</t>
        </is>
      </c>
      <c r="D5167" s="12" t="inlineStr">
        <is>
          <t>Motor 2 of 2, 3.7 kW</t>
        </is>
      </c>
      <c r="E5167" s="12" t="inlineStr"/>
      <c r="F5167" s="12" t="inlineStr">
        <is>
          <t>SC-2 PCM + 15 kV GCB</t>
        </is>
      </c>
      <c r="G5167" s="12" t="inlineStr"/>
      <c r="H5167" s="12" t="inlineStr">
        <is>
          <t>Aqueous ammonia (SC units)</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3.7</v>
      </c>
      <c r="R5167" s="12" t="n">
        <v>5.2</v>
      </c>
      <c r="S5167" s="12" t="inlineStr">
        <is>
          <t>Duct bank</t>
        </is>
      </c>
      <c r="T5167" s="15" t="n">
        <v>0</v>
      </c>
      <c r="U5167" s="15" t="n">
        <v>98</v>
      </c>
      <c r="V5167" s="15">
        <f>ROUNDUP((T5167+U5167+2*'Read Me'!$B$13)*(1+'Read Me'!$B$12),-1)</f>
        <v/>
      </c>
      <c r="W5167" s="15">
        <f>V5167*N5167*O5167</f>
        <v/>
      </c>
      <c r="X5167" s="12">
        <f>IF(LEFT(I5167,2)="MV",2*N5167*IF(L5167="1/C",O5167,1),0)</f>
        <v/>
      </c>
      <c r="Y5167" s="12">
        <f>IF(OR(LEFT(K5167,4)="LVAX",LEFT(K5167,6)="MV15AX",LEFT(K5167,4)="CTAX",LEFT(K5167,2)="W|"),2*N5167*O5167,0)</f>
        <v/>
      </c>
      <c r="Z5167" s="12" t="inlineStr">
        <is>
          <t>VD 0.2 %</t>
        </is>
      </c>
      <c r="AA5167" s="12">
        <f>N5167*O5167</f>
        <v/>
      </c>
    </row>
    <row r="5168">
      <c r="A5168" s="12" t="inlineStr">
        <is>
          <t>I-P-0004</t>
        </is>
      </c>
      <c r="B5168" s="12" t="inlineStr">
        <is>
          <t>I</t>
        </is>
      </c>
      <c r="C5168" s="12" t="inlineStr">
        <is>
          <t>Modular / portable power</t>
        </is>
      </c>
      <c r="D5168" s="12" t="inlineStr">
        <is>
          <t>Black-start genset output</t>
        </is>
      </c>
      <c r="E5168" s="12" t="inlineStr"/>
      <c r="F5168" s="12" t="inlineStr">
        <is>
          <t>Black-start genset (proposed; requires study)</t>
        </is>
      </c>
      <c r="G5168" s="12" t="inlineStr"/>
      <c r="H5168" s="12" t="inlineStr">
        <is>
          <t>BS black-start switchgear</t>
        </is>
      </c>
      <c r="I5168" s="12" t="inlineStr">
        <is>
          <t>LV 600 V</t>
        </is>
      </c>
      <c r="J5168" s="12" t="inlineStr">
        <is>
          <t>Type TC-ER 600 V 3/C Cu XHHW-2 + ground, PVC jacket</t>
        </is>
      </c>
      <c r="K5168" s="12" t="inlineStr">
        <is>
          <t>LV|3/C+G|500</t>
        </is>
      </c>
      <c r="L5168" s="12" t="inlineStr">
        <is>
          <t>3/C+G</t>
        </is>
      </c>
      <c r="M5168" s="12" t="inlineStr">
        <is>
          <t>500 kcmil</t>
        </is>
      </c>
      <c r="N5168" s="12" t="n">
        <v>10</v>
      </c>
      <c r="O5168" s="12" t="n">
        <v>1</v>
      </c>
      <c r="P5168" s="12" t="n">
        <v>480</v>
      </c>
      <c r="Q5168" s="12" t="n">
        <v>2000</v>
      </c>
      <c r="R5168" s="12" t="n">
        <v>2532.3</v>
      </c>
      <c r="S5168" s="12" t="inlineStr">
        <is>
          <t>Tray</t>
        </is>
      </c>
      <c r="T5168" s="15" t="n">
        <v>0</v>
      </c>
      <c r="U5168" s="15" t="n">
        <v>41</v>
      </c>
      <c r="V5168" s="15">
        <f>ROUNDUP((T5168+U5168+2*'Read Me'!$B$13)*(1+'Read Me'!$B$12),-1)</f>
        <v/>
      </c>
      <c r="W5168" s="15">
        <f>V5168*N5168*O5168</f>
        <v/>
      </c>
      <c r="X5168" s="12">
        <f>IF(LEFT(I5168,2)="MV",2*N5168*IF(L5168="1/C",O5168,1),0)</f>
        <v/>
      </c>
      <c r="Y5168" s="12">
        <f>IF(OR(LEFT(K5168,4)="LVAX",LEFT(K5168,6)="MV15AX",LEFT(K5168,4)="CTAX",LEFT(K5168,2)="W|"),2*N5168*O5168,0)</f>
        <v/>
      </c>
      <c r="Z5168" s="12" t="inlineStr">
        <is>
          <t>VD 0.1 %</t>
        </is>
      </c>
      <c r="AA5168" s="12">
        <f>N5168*O5168</f>
        <v/>
      </c>
    </row>
    <row r="5169">
      <c r="A5169" s="12" t="inlineStr">
        <is>
          <t>I-P-0005</t>
        </is>
      </c>
      <c r="B5169" s="12" t="inlineStr">
        <is>
          <t>I</t>
        </is>
      </c>
      <c r="C5169" s="12" t="inlineStr">
        <is>
          <t>Modular / portable power</t>
        </is>
      </c>
      <c r="D5169" s="12" t="inlineStr">
        <is>
          <t>Black-start genset output</t>
        </is>
      </c>
      <c r="E5169" s="12" t="inlineStr"/>
      <c r="F5169" s="12" t="inlineStr">
        <is>
          <t>Black-start genset (proposed; requires study)</t>
        </is>
      </c>
      <c r="G5169" s="12" t="inlineStr"/>
      <c r="H5169" s="12" t="inlineStr">
        <is>
          <t>BS black-start switchgear</t>
        </is>
      </c>
      <c r="I5169" s="12" t="inlineStr">
        <is>
          <t>LV 600 V</t>
        </is>
      </c>
      <c r="J5169" s="12" t="inlineStr">
        <is>
          <t>Type TC-ER 600 V 3/C Cu XHHW-2 + ground, PVC jacket</t>
        </is>
      </c>
      <c r="K5169" s="12" t="inlineStr">
        <is>
          <t>LV|3/C+G|500</t>
        </is>
      </c>
      <c r="L5169" s="12" t="inlineStr">
        <is>
          <t>3/C+G</t>
        </is>
      </c>
      <c r="M5169" s="12" t="inlineStr">
        <is>
          <t>500 kcmil</t>
        </is>
      </c>
      <c r="N5169" s="12" t="n">
        <v>10</v>
      </c>
      <c r="O5169" s="12" t="n">
        <v>1</v>
      </c>
      <c r="P5169" s="12" t="n">
        <v>480</v>
      </c>
      <c r="Q5169" s="12" t="n">
        <v>2000</v>
      </c>
      <c r="R5169" s="12" t="n">
        <v>2532.3</v>
      </c>
      <c r="S5169" s="12" t="inlineStr">
        <is>
          <t>Tray</t>
        </is>
      </c>
      <c r="T5169" s="15" t="n">
        <v>0</v>
      </c>
      <c r="U5169" s="15" t="n">
        <v>49</v>
      </c>
      <c r="V5169" s="15">
        <f>ROUNDUP((T5169+U5169+2*'Read Me'!$B$13)*(1+'Read Me'!$B$12),-1)</f>
        <v/>
      </c>
      <c r="W5169" s="15">
        <f>V5169*N5169*O5169</f>
        <v/>
      </c>
      <c r="X5169" s="12">
        <f>IF(LEFT(I5169,2)="MV",2*N5169*IF(L5169="1/C",O5169,1),0)</f>
        <v/>
      </c>
      <c r="Y5169" s="12">
        <f>IF(OR(LEFT(K5169,4)="LVAX",LEFT(K5169,6)="MV15AX",LEFT(K5169,4)="CTAX",LEFT(K5169,2)="W|"),2*N5169*O5169,0)</f>
        <v/>
      </c>
      <c r="Z5169" s="12" t="inlineStr">
        <is>
          <t>VD 0.1 %</t>
        </is>
      </c>
      <c r="AA5169" s="12">
        <f>N5169*O5169</f>
        <v/>
      </c>
    </row>
    <row r="5170">
      <c r="A5170" s="12" t="inlineStr">
        <is>
          <t>I-P-0006</t>
        </is>
      </c>
      <c r="B5170" s="12" t="inlineStr">
        <is>
          <t>I</t>
        </is>
      </c>
      <c r="C5170" s="12" t="inlineStr">
        <is>
          <t>Modular / portable power</t>
        </is>
      </c>
      <c r="D5170" s="12" t="inlineStr">
        <is>
          <t>LV power feeder</t>
        </is>
      </c>
      <c r="E5170" s="12" t="inlineStr"/>
      <c r="F5170" s="12" t="inlineStr">
        <is>
          <t>PCM: power control module</t>
        </is>
      </c>
      <c r="G5170" s="12" t="inlineStr"/>
      <c r="H5170" s="12" t="inlineStr">
        <is>
          <t>BS black-start switchgear</t>
        </is>
      </c>
      <c r="I5170" s="12" t="inlineStr">
        <is>
          <t>LV 600 V</t>
        </is>
      </c>
      <c r="J5170" s="12" t="inlineStr">
        <is>
          <t>Type TC-ER 600 V 3/C Cu XHHW-2 + ground, PVC jacket</t>
        </is>
      </c>
      <c r="K5170" s="12" t="inlineStr">
        <is>
          <t>LV|3/C+G|6</t>
        </is>
      </c>
      <c r="L5170" s="12" t="inlineStr">
        <is>
          <t>3/C+G</t>
        </is>
      </c>
      <c r="M5170" s="12" t="inlineStr">
        <is>
          <t>6</t>
        </is>
      </c>
      <c r="N5170" s="12" t="n">
        <v>1</v>
      </c>
      <c r="O5170" s="12" t="n">
        <v>1</v>
      </c>
      <c r="P5170" s="12" t="n">
        <v>480</v>
      </c>
      <c r="Q5170" s="12" t="n">
        <v>15</v>
      </c>
      <c r="R5170" s="12" t="n">
        <v>21.2</v>
      </c>
      <c r="S5170" s="12" t="inlineStr">
        <is>
          <t>Duct bank</t>
        </is>
      </c>
      <c r="T5170" s="15" t="n">
        <v>528</v>
      </c>
      <c r="U5170" s="15" t="n">
        <v>64</v>
      </c>
      <c r="V5170" s="15">
        <f>ROUNDUP((T5170+U5170+2*'Read Me'!$B$13)*(1+'Read Me'!$B$12),-1)</f>
        <v/>
      </c>
      <c r="W5170" s="15">
        <f>V5170*N5170*O5170</f>
        <v/>
      </c>
      <c r="X5170" s="12">
        <f>IF(LEFT(I5170,2)="MV",2*N5170*IF(L5170="1/C",O5170,1),0)</f>
        <v/>
      </c>
      <c r="Y5170" s="12">
        <f>IF(OR(LEFT(K5170,4)="LVAX",LEFT(K5170,6)="MV15AX",LEFT(K5170,4)="CTAX",LEFT(K5170,2)="W|"),2*N5170*O5170,0)</f>
        <v/>
      </c>
      <c r="Z5170" s="12" t="inlineStr">
        <is>
          <t>VD 2.5 %</t>
        </is>
      </c>
      <c r="AA5170" s="12">
        <f>N5170*O5170</f>
        <v/>
      </c>
    </row>
    <row r="5171">
      <c r="A5171" s="12" t="inlineStr">
        <is>
          <t>I-P-0007</t>
        </is>
      </c>
      <c r="B5171" s="12" t="inlineStr">
        <is>
          <t>I</t>
        </is>
      </c>
      <c r="C5171" s="12" t="inlineStr">
        <is>
          <t>Modular / portable power</t>
        </is>
      </c>
      <c r="D5171" s="12" t="inlineStr">
        <is>
          <t>CGE-1 cooling container: radiator fans, jacket-water pumps (deck)</t>
        </is>
      </c>
      <c r="E5171" s="12" t="inlineStr">
        <is>
          <t>CGE-AUX</t>
        </is>
      </c>
      <c r="F5171" s="12" t="inlineStr">
        <is>
          <t>CGE-AUX: 13.8 / 0.48 kV auxiliary transformer (cooling containers, rad</t>
        </is>
      </c>
      <c r="G5171" s="12" t="inlineStr">
        <is>
          <t>CGE-DECK</t>
        </is>
      </c>
      <c r="H5171" s="12" t="inlineStr">
        <is>
          <t>CGE-1..4 upper deck: stacked cooling containers, radiators, silencers,</t>
        </is>
      </c>
      <c r="I5171" s="12" t="inlineStr">
        <is>
          <t>LV 600 V</t>
        </is>
      </c>
      <c r="J5171" s="12" t="inlineStr">
        <is>
          <t>Type TC-ER 600 V 3/C Cu XHHW-2 + ground, PVC jacket</t>
        </is>
      </c>
      <c r="K5171" s="12" t="inlineStr">
        <is>
          <t>LV|3/C+G|3/0</t>
        </is>
      </c>
      <c r="L5171" s="12" t="inlineStr">
        <is>
          <t>3/C+G</t>
        </is>
      </c>
      <c r="M5171" s="12" t="inlineStr">
        <is>
          <t>3/0</t>
        </is>
      </c>
      <c r="N5171" s="12" t="n">
        <v>1</v>
      </c>
      <c r="O5171" s="12" t="n">
        <v>1</v>
      </c>
      <c r="P5171" s="12" t="n">
        <v>480</v>
      </c>
      <c r="Q5171" s="12" t="n">
        <v>110</v>
      </c>
      <c r="R5171" s="12" t="n">
        <v>155.7</v>
      </c>
      <c r="S5171" s="12" t="inlineStr">
        <is>
          <t>Duct bank</t>
        </is>
      </c>
      <c r="T5171" s="15" t="n">
        <v>59</v>
      </c>
      <c r="U5171" s="15" t="n">
        <v>32</v>
      </c>
      <c r="V5171" s="15">
        <f>ROUNDUP((T5171+U5171+2*'Read Me'!$B$13)*(1+'Read Me'!$B$12),-1)</f>
        <v/>
      </c>
      <c r="W5171" s="15">
        <f>V5171*N5171*O5171</f>
        <v/>
      </c>
      <c r="X5171" s="12">
        <f>IF(LEFT(I5171,2)="MV",2*N5171*IF(L5171="1/C",O5171,1),0)</f>
        <v/>
      </c>
      <c r="Y5171" s="12">
        <f>IF(OR(LEFT(K5171,4)="LVAX",LEFT(K5171,6)="MV15AX",LEFT(K5171,4)="CTAX",LEFT(K5171,2)="W|"),2*N5171*O5171,0)</f>
        <v/>
      </c>
      <c r="Z5171" s="12" t="inlineStr">
        <is>
          <t>VD 0.4 %</t>
        </is>
      </c>
      <c r="AA5171" s="12">
        <f>N5171*O5171</f>
        <v/>
      </c>
    </row>
    <row r="5172">
      <c r="A5172" s="12" t="inlineStr">
        <is>
          <t>I-P-0008</t>
        </is>
      </c>
      <c r="B5172" s="12" t="inlineStr">
        <is>
          <t>I</t>
        </is>
      </c>
      <c r="C5172" s="12" t="inlineStr">
        <is>
          <t>Modular / portable power</t>
        </is>
      </c>
      <c r="D5172" s="12" t="inlineStr">
        <is>
          <t>CGE-2 cooling container: radiator fans, jacket-water pumps (deck)</t>
        </is>
      </c>
      <c r="E5172" s="12" t="inlineStr">
        <is>
          <t>CGE-AUX</t>
        </is>
      </c>
      <c r="F5172" s="12" t="inlineStr">
        <is>
          <t>CGE-AUX: 13.8 / 0.48 kV auxiliary transformer (cooling containers, rad</t>
        </is>
      </c>
      <c r="G5172" s="12" t="inlineStr">
        <is>
          <t>CGE-DECK</t>
        </is>
      </c>
      <c r="H5172" s="12" t="inlineStr">
        <is>
          <t>CGE-1..4 upper deck: stacked cooling containers, radiators, silencers,</t>
        </is>
      </c>
      <c r="I5172" s="12" t="inlineStr">
        <is>
          <t>LV 600 V</t>
        </is>
      </c>
      <c r="J5172" s="12" t="inlineStr">
        <is>
          <t>Type TC-ER 600 V 3/C Cu XHHW-2 + ground, PVC jacket</t>
        </is>
      </c>
      <c r="K5172" s="12" t="inlineStr">
        <is>
          <t>LV|3/C+G|3/0</t>
        </is>
      </c>
      <c r="L5172" s="12" t="inlineStr">
        <is>
          <t>3/C+G</t>
        </is>
      </c>
      <c r="M5172" s="12" t="inlineStr">
        <is>
          <t>3/0</t>
        </is>
      </c>
      <c r="N5172" s="12" t="n">
        <v>1</v>
      </c>
      <c r="O5172" s="12" t="n">
        <v>1</v>
      </c>
      <c r="P5172" s="12" t="n">
        <v>480</v>
      </c>
      <c r="Q5172" s="12" t="n">
        <v>110</v>
      </c>
      <c r="R5172" s="12" t="n">
        <v>155.7</v>
      </c>
      <c r="S5172" s="12" t="inlineStr">
        <is>
          <t>Duct bank</t>
        </is>
      </c>
      <c r="T5172" s="15" t="n">
        <v>59</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I-P-0009</t>
        </is>
      </c>
      <c r="B5173" s="12" t="inlineStr">
        <is>
          <t>I</t>
        </is>
      </c>
      <c r="C5173" s="12" t="inlineStr">
        <is>
          <t>Modular / portable power</t>
        </is>
      </c>
      <c r="D5173" s="12" t="inlineStr">
        <is>
          <t>CGE-3 cooling container: radiator fans, jacket-water pumps (deck)</t>
        </is>
      </c>
      <c r="E5173" s="12" t="inlineStr">
        <is>
          <t>CGE-AUX</t>
        </is>
      </c>
      <c r="F5173" s="12" t="inlineStr">
        <is>
          <t>CGE-AUX: 13.8 / 0.48 kV auxiliary transformer (cooling containers, rad</t>
        </is>
      </c>
      <c r="G5173" s="12" t="inlineStr">
        <is>
          <t>CGE-DECK</t>
        </is>
      </c>
      <c r="H5173" s="12" t="inlineStr">
        <is>
          <t>CGE-1..4 upper deck: stacked cooling containers, radiators, silencers,</t>
        </is>
      </c>
      <c r="I5173" s="12" t="inlineStr">
        <is>
          <t>LV 600 V</t>
        </is>
      </c>
      <c r="J5173" s="12" t="inlineStr">
        <is>
          <t>Type TC-ER 600 V 3/C Cu XHHW-2 + ground, PVC jacket</t>
        </is>
      </c>
      <c r="K5173" s="12" t="inlineStr">
        <is>
          <t>LV|3/C+G|3/0</t>
        </is>
      </c>
      <c r="L5173" s="12" t="inlineStr">
        <is>
          <t>3/C+G</t>
        </is>
      </c>
      <c r="M5173" s="12" t="inlineStr">
        <is>
          <t>3/0</t>
        </is>
      </c>
      <c r="N5173" s="12" t="n">
        <v>1</v>
      </c>
      <c r="O5173" s="12" t="n">
        <v>1</v>
      </c>
      <c r="P5173" s="12" t="n">
        <v>480</v>
      </c>
      <c r="Q5173" s="12" t="n">
        <v>110</v>
      </c>
      <c r="R5173" s="12" t="n">
        <v>155.7</v>
      </c>
      <c r="S5173" s="12" t="inlineStr">
        <is>
          <t>Duct bank</t>
        </is>
      </c>
      <c r="T5173" s="15" t="n">
        <v>59</v>
      </c>
      <c r="U5173" s="15" t="n">
        <v>32</v>
      </c>
      <c r="V5173" s="15">
        <f>ROUNDUP((T5173+U5173+2*'Read Me'!$B$13)*(1+'Read Me'!$B$12),-1)</f>
        <v/>
      </c>
      <c r="W5173" s="15">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I-P-0010</t>
        </is>
      </c>
      <c r="B5174" s="12" t="inlineStr">
        <is>
          <t>I</t>
        </is>
      </c>
      <c r="C5174" s="12" t="inlineStr">
        <is>
          <t>Modular / portable power</t>
        </is>
      </c>
      <c r="D5174" s="12" t="inlineStr">
        <is>
          <t>CGE-4 cooling container: radiator fans, jacket-water pumps (deck)</t>
        </is>
      </c>
      <c r="E5174" s="12" t="inlineStr">
        <is>
          <t>CGE-AUX</t>
        </is>
      </c>
      <c r="F5174" s="12" t="inlineStr">
        <is>
          <t>CGE-AUX: 13.8 / 0.48 kV auxiliary transformer (cooling containers, rad</t>
        </is>
      </c>
      <c r="G5174" s="12" t="inlineStr">
        <is>
          <t>CGE-DECK</t>
        </is>
      </c>
      <c r="H5174" s="12" t="inlineStr">
        <is>
          <t>CGE-1..4 upper deck: stacked cooling containers, radiators, silencers,</t>
        </is>
      </c>
      <c r="I5174" s="12" t="inlineStr">
        <is>
          <t>LV 600 V</t>
        </is>
      </c>
      <c r="J5174" s="12" t="inlineStr">
        <is>
          <t>Type TC-ER 600 V 3/C Cu XHHW-2 + ground, PVC jacket</t>
        </is>
      </c>
      <c r="K5174" s="12" t="inlineStr">
        <is>
          <t>LV|3/C+G|3/0</t>
        </is>
      </c>
      <c r="L5174" s="12" t="inlineStr">
        <is>
          <t>3/C+G</t>
        </is>
      </c>
      <c r="M5174" s="12" t="inlineStr">
        <is>
          <t>3/0</t>
        </is>
      </c>
      <c r="N5174" s="12" t="n">
        <v>1</v>
      </c>
      <c r="O5174" s="12" t="n">
        <v>1</v>
      </c>
      <c r="P5174" s="12" t="n">
        <v>480</v>
      </c>
      <c r="Q5174" s="12" t="n">
        <v>110</v>
      </c>
      <c r="R5174" s="12" t="n">
        <v>155.7</v>
      </c>
      <c r="S5174" s="12" t="inlineStr">
        <is>
          <t>Duct bank</t>
        </is>
      </c>
      <c r="T5174" s="15" t="n">
        <v>59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0.4 %</t>
        </is>
      </c>
      <c r="AA5174" s="12">
        <f>N5174*O5174</f>
        <v/>
      </c>
    </row>
    <row r="5175">
      <c r="A5175" s="12" t="inlineStr">
        <is>
          <t>I-P-0011</t>
        </is>
      </c>
      <c r="B5175" s="12" t="inlineStr">
        <is>
          <t>I</t>
        </is>
      </c>
      <c r="C5175" s="12" t="inlineStr">
        <is>
          <t>Modular / portable power</t>
        </is>
      </c>
      <c r="D5175" s="12" t="inlineStr">
        <is>
          <t>CGE-SWG station service: DC charger, heaters, HVAC, lighting</t>
        </is>
      </c>
      <c r="E5175" s="12" t="inlineStr">
        <is>
          <t>CGE-AUX</t>
        </is>
      </c>
      <c r="F5175" s="12" t="inlineStr">
        <is>
          <t>CGE-AUX: 13.8 / 0.48 kV auxiliary transformer (cooling containers, rad</t>
        </is>
      </c>
      <c r="G5175" s="12" t="inlineStr">
        <is>
          <t>CGE-SWG</t>
        </is>
      </c>
      <c r="H5175" s="12" t="inlineStr">
        <is>
          <t>CGE-SWG: 13.8 kV switchgear container (engine breakers, site feeder)</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45</v>
      </c>
      <c r="R5175" s="12" t="n">
        <v>57</v>
      </c>
      <c r="S5175" s="12" t="inlineStr">
        <is>
          <t>Duct bank</t>
        </is>
      </c>
      <c r="T5175" s="15" t="n">
        <v>12</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I-P-0012</t>
        </is>
      </c>
      <c r="B5176" s="12" t="inlineStr">
        <is>
          <t>I</t>
        </is>
      </c>
      <c r="C5176" s="12" t="inlineStr">
        <is>
          <t>Modular / portable power</t>
        </is>
      </c>
      <c r="D5176" s="12" t="inlineStr">
        <is>
          <t>CHP-1 auxiliaries (jacket-water pump, enclosure ventilation)</t>
        </is>
      </c>
      <c r="E5176" s="12" t="inlineStr">
        <is>
          <t>CHP-AUX</t>
        </is>
      </c>
      <c r="F5176" s="12" t="inlineStr">
        <is>
          <t>CHP-AUX: 13.8 / 0.48 kV, 750 kVA auxiliary pad-mount (engine auxiliari</t>
        </is>
      </c>
      <c r="G5176" s="12" t="inlineStr">
        <is>
          <t>CHP-1</t>
        </is>
      </c>
      <c r="H5176" s="12" t="inlineStr">
        <is>
          <t>CHP-1: gas-engine generator ~2.5 MW with exhaust heat recovery, 13.8 k</t>
        </is>
      </c>
      <c r="I5176" s="12" t="inlineStr">
        <is>
          <t>LV 600 V</t>
        </is>
      </c>
      <c r="J5176" s="12" t="inlineStr">
        <is>
          <t>Type TC-ER 600 V 3/C Cu XHHW-2 + ground, PVC jacket</t>
        </is>
      </c>
      <c r="K5176" s="12" t="inlineStr">
        <is>
          <t>LV|3/C+G|2</t>
        </is>
      </c>
      <c r="L5176" s="12" t="inlineStr">
        <is>
          <t>3/C+G</t>
        </is>
      </c>
      <c r="M5176" s="12" t="inlineStr">
        <is>
          <t>2</t>
        </is>
      </c>
      <c r="N5176" s="12" t="n">
        <v>1</v>
      </c>
      <c r="O5176" s="12" t="n">
        <v>1</v>
      </c>
      <c r="P5176" s="12" t="n">
        <v>480</v>
      </c>
      <c r="Q5176" s="12" t="n">
        <v>60</v>
      </c>
      <c r="R5176" s="12" t="n">
        <v>84.90000000000001</v>
      </c>
      <c r="S5176" s="12" t="inlineStr">
        <is>
          <t>Duct bank</t>
        </is>
      </c>
      <c r="T5176" s="15" t="n">
        <v>87</v>
      </c>
      <c r="U5176" s="15" t="n">
        <v>46</v>
      </c>
      <c r="V5176" s="15">
        <f>ROUNDUP((T5176+U5176+2*'Read Me'!$B$13)*(1+'Read Me'!$B$12),-1)</f>
        <v/>
      </c>
      <c r="W5176" s="15">
        <f>V5176*N5176*O5176</f>
        <v/>
      </c>
      <c r="X5176" s="12">
        <f>IF(LEFT(I5176,2)="MV",2*N5176*IF(L5176="1/C",O5176,1),0)</f>
        <v/>
      </c>
      <c r="Y5176" s="12">
        <f>IF(OR(LEFT(K5176,4)="LVAX",LEFT(K5176,6)="MV15AX",LEFT(K5176,4)="CTAX",LEFT(K5176,2)="W|"),2*N5176*O5176,0)</f>
        <v/>
      </c>
      <c r="Z5176" s="12" t="inlineStr">
        <is>
          <t>VD 0.9 %</t>
        </is>
      </c>
      <c r="AA5176" s="12">
        <f>N5176*O5176</f>
        <v/>
      </c>
    </row>
    <row r="5177">
      <c r="A5177" s="12" t="inlineStr">
        <is>
          <t>I-P-0013</t>
        </is>
      </c>
      <c r="B5177" s="12" t="inlineStr">
        <is>
          <t>I</t>
        </is>
      </c>
      <c r="C5177" s="12" t="inlineStr">
        <is>
          <t>Modular / portable power</t>
        </is>
      </c>
      <c r="D5177" s="12" t="inlineStr">
        <is>
          <t>CHP-2 auxiliaries (jacket-water pump, enclosure ventilation)</t>
        </is>
      </c>
      <c r="E5177" s="12" t="inlineStr">
        <is>
          <t>CHP-AUX</t>
        </is>
      </c>
      <c r="F5177" s="12" t="inlineStr">
        <is>
          <t>CHP-AUX: 13.8 / 0.48 kV, 750 kVA auxiliary pad-mount (engine auxiliari</t>
        </is>
      </c>
      <c r="G5177" s="12" t="inlineStr">
        <is>
          <t>CHP-2</t>
        </is>
      </c>
      <c r="H5177" s="12" t="inlineStr">
        <is>
          <t>CHP-2: gas-engine generator ~2.5 MW with exhaust heat recovery, 13.8 k</t>
        </is>
      </c>
      <c r="I5177" s="12" t="inlineStr">
        <is>
          <t>LV 600 V</t>
        </is>
      </c>
      <c r="J5177" s="12" t="inlineStr">
        <is>
          <t>Type TC-ER 600 V 3/C Cu XHHW-2 + ground, PVC jacket</t>
        </is>
      </c>
      <c r="K5177" s="12" t="inlineStr">
        <is>
          <t>LV|3/C+G|2</t>
        </is>
      </c>
      <c r="L5177" s="12" t="inlineStr">
        <is>
          <t>3/C+G</t>
        </is>
      </c>
      <c r="M5177" s="12" t="inlineStr">
        <is>
          <t>2</t>
        </is>
      </c>
      <c r="N5177" s="12" t="n">
        <v>1</v>
      </c>
      <c r="O5177" s="12" t="n">
        <v>1</v>
      </c>
      <c r="P5177" s="12" t="n">
        <v>480</v>
      </c>
      <c r="Q5177" s="12" t="n">
        <v>60</v>
      </c>
      <c r="R5177" s="12" t="n">
        <v>84.90000000000001</v>
      </c>
      <c r="S5177" s="12" t="inlineStr">
        <is>
          <t>Duct bank</t>
        </is>
      </c>
      <c r="T5177" s="15" t="n">
        <v>87</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0.8 %</t>
        </is>
      </c>
      <c r="AA5177" s="12">
        <f>N5177*O5177</f>
        <v/>
      </c>
    </row>
    <row r="5178">
      <c r="A5178" s="12" t="inlineStr">
        <is>
          <t>I-P-0014</t>
        </is>
      </c>
      <c r="B5178" s="12" t="inlineStr">
        <is>
          <t>I</t>
        </is>
      </c>
      <c r="C5178" s="12" t="inlineStr">
        <is>
          <t>Modular / portable power</t>
        </is>
      </c>
      <c r="D5178" s="12" t="inlineStr">
        <is>
          <t>CHP-3 auxiliaries (jacket-water pump, enclosure ventilation)</t>
        </is>
      </c>
      <c r="E5178" s="12" t="inlineStr">
        <is>
          <t>CHP-AUX</t>
        </is>
      </c>
      <c r="F5178" s="12" t="inlineStr">
        <is>
          <t>CHP-AUX: 13.8 / 0.48 kV, 750 kVA auxiliary pad-mount (engine auxiliari</t>
        </is>
      </c>
      <c r="G5178" s="12" t="inlineStr">
        <is>
          <t>CHP-3</t>
        </is>
      </c>
      <c r="H5178" s="12" t="inlineStr">
        <is>
          <t>CHP-3: gas-engine generator ~2.5 MW with exhaust heat recovery, 13.8 k</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84.90000000000001</v>
      </c>
      <c r="S5178" s="12" t="inlineStr">
        <is>
          <t>Duct bank</t>
        </is>
      </c>
      <c r="T5178" s="15" t="n">
        <v>62</v>
      </c>
      <c r="U5178" s="15" t="n">
        <v>33</v>
      </c>
      <c r="V5178" s="15">
        <f>ROUNDUP((T5178+U5178+2*'Read Me'!$B$13)*(1+'Read Me'!$B$12),-1)</f>
        <v/>
      </c>
      <c r="W5178" s="15">
        <f>V5178*N5178*O5178</f>
        <v/>
      </c>
      <c r="X5178" s="12">
        <f>IF(LEFT(I5178,2)="MV",2*N5178*IF(L5178="1/C",O5178,1),0)</f>
        <v/>
      </c>
      <c r="Y5178" s="12">
        <f>IF(OR(LEFT(K5178,4)="LVAX",LEFT(K5178,6)="MV15AX",LEFT(K5178,4)="CTAX",LEFT(K5178,2)="W|"),2*N5178*O5178,0)</f>
        <v/>
      </c>
      <c r="Z5178" s="12" t="inlineStr">
        <is>
          <t>VD 0.6 %</t>
        </is>
      </c>
      <c r="AA5178" s="12">
        <f>N5178*O5178</f>
        <v/>
      </c>
    </row>
    <row r="5179">
      <c r="A5179" s="12" t="inlineStr">
        <is>
          <t>I-P-0015</t>
        </is>
      </c>
      <c r="B5179" s="12" t="inlineStr">
        <is>
          <t>I</t>
        </is>
      </c>
      <c r="C5179" s="12" t="inlineStr">
        <is>
          <t>Modular / portable power</t>
        </is>
      </c>
      <c r="D5179" s="12" t="inlineStr">
        <is>
          <t>CHP-4 auxiliaries (jacket-water pump, enclosure ventilation)</t>
        </is>
      </c>
      <c r="E5179" s="12" t="inlineStr">
        <is>
          <t>CHP-AUX</t>
        </is>
      </c>
      <c r="F5179" s="12" t="inlineStr">
        <is>
          <t>CHP-AUX: 13.8 / 0.48 kV, 750 kVA auxiliary pad-mount (engine auxiliari</t>
        </is>
      </c>
      <c r="G5179" s="12" t="inlineStr">
        <is>
          <t>CHP-4</t>
        </is>
      </c>
      <c r="H5179" s="12" t="inlineStr">
        <is>
          <t>CHP-4: gas-engine generator ~2.5 MW with exhaust heat recovery, 13.8 k</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84.90000000000001</v>
      </c>
      <c r="S5179" s="12" t="inlineStr">
        <is>
          <t>Duct bank</t>
        </is>
      </c>
      <c r="T5179" s="15" t="n">
        <v>49</v>
      </c>
      <c r="U5179" s="15" t="n">
        <v>32</v>
      </c>
      <c r="V5179" s="15">
        <f>ROUNDUP((T5179+U5179+2*'Read Me'!$B$13)*(1+'Read Me'!$B$12),-1)</f>
        <v/>
      </c>
      <c r="W5179" s="15">
        <f>V5179*N5179*O5179</f>
        <v/>
      </c>
      <c r="X5179" s="12">
        <f>IF(LEFT(I5179,2)="MV",2*N5179*IF(L5179="1/C",O5179,1),0)</f>
        <v/>
      </c>
      <c r="Y5179" s="12">
        <f>IF(OR(LEFT(K5179,4)="LVAX",LEFT(K5179,6)="MV15AX",LEFT(K5179,4)="CTAX",LEFT(K5179,2)="W|"),2*N5179*O5179,0)</f>
        <v/>
      </c>
      <c r="Z5179" s="12" t="inlineStr">
        <is>
          <t>VD 0.5 %</t>
        </is>
      </c>
      <c r="AA5179" s="12">
        <f>N5179*O5179</f>
        <v/>
      </c>
    </row>
    <row r="5180">
      <c r="A5180" s="12" t="inlineStr">
        <is>
          <t>I-P-0016</t>
        </is>
      </c>
      <c r="B5180" s="12" t="inlineStr">
        <is>
          <t>I</t>
        </is>
      </c>
      <c r="C5180" s="12" t="inlineStr">
        <is>
          <t>Modular / portable power</t>
        </is>
      </c>
      <c r="D5180" s="12" t="inlineStr">
        <is>
          <t>CHP-HR dump-cooler fans and hot-water circulation pumps</t>
        </is>
      </c>
      <c r="E5180" s="12" t="inlineStr">
        <is>
          <t>CHP-AUX</t>
        </is>
      </c>
      <c r="F5180" s="12" t="inlineStr">
        <is>
          <t>CHP-AUX: 13.8 / 0.48 kV, 750 kVA auxiliary pad-mount (engine auxiliari</t>
        </is>
      </c>
      <c r="G5180" s="12" t="inlineStr">
        <is>
          <t>CHP-HR</t>
        </is>
      </c>
      <c r="H5180" s="12" t="inlineStr">
        <is>
          <t>CHP-HR: exhaust heat-recovery rack (4 exhaust heat exchangers and stac</t>
        </is>
      </c>
      <c r="I5180" s="12" t="inlineStr">
        <is>
          <t>LV 600 V</t>
        </is>
      </c>
      <c r="J5180" s="12" t="inlineStr">
        <is>
          <t>Type TC-ER 600 V 3/C Cu XHHW-2 + ground, PVC jacket</t>
        </is>
      </c>
      <c r="K5180" s="12" t="inlineStr">
        <is>
          <t>LV|3/C+G|350</t>
        </is>
      </c>
      <c r="L5180" s="12" t="inlineStr">
        <is>
          <t>3/C+G</t>
        </is>
      </c>
      <c r="M5180" s="12" t="inlineStr">
        <is>
          <t>350 kcmil</t>
        </is>
      </c>
      <c r="N5180" s="12" t="n">
        <v>1</v>
      </c>
      <c r="O5180" s="12" t="n">
        <v>1</v>
      </c>
      <c r="P5180" s="12" t="n">
        <v>480</v>
      </c>
      <c r="Q5180" s="12" t="n">
        <v>160</v>
      </c>
      <c r="R5180" s="12" t="n">
        <v>226.4</v>
      </c>
      <c r="S5180" s="12" t="inlineStr">
        <is>
          <t>Duct bank</t>
        </is>
      </c>
      <c r="T5180" s="15" t="n">
        <v>69</v>
      </c>
      <c r="U5180" s="15" t="n">
        <v>32</v>
      </c>
      <c r="V5180" s="15">
        <f>ROUNDUP((T5180+U5180+2*'Read Me'!$B$13)*(1+'Read Me'!$B$12),-1)</f>
        <v/>
      </c>
      <c r="W5180" s="15">
        <f>V5180*N5180*O5180</f>
        <v/>
      </c>
      <c r="X5180" s="12">
        <f>IF(LEFT(I5180,2)="MV",2*N5180*IF(L5180="1/C",O5180,1),0)</f>
        <v/>
      </c>
      <c r="Y5180" s="12">
        <f>IF(OR(LEFT(K5180,4)="LVAX",LEFT(K5180,6)="MV15AX",LEFT(K5180,4)="CTAX",LEFT(K5180,2)="W|"),2*N5180*O5180,0)</f>
        <v/>
      </c>
      <c r="Z5180" s="12" t="inlineStr">
        <is>
          <t>VD 0.3 %</t>
        </is>
      </c>
      <c r="AA5180" s="12">
        <f>N5180*O5180</f>
        <v/>
      </c>
    </row>
    <row r="5181">
      <c r="A5181" s="12" t="inlineStr">
        <is>
          <t>I-P-0017</t>
        </is>
      </c>
      <c r="B5181" s="12" t="inlineStr">
        <is>
          <t>I</t>
        </is>
      </c>
      <c r="C5181" s="12" t="inlineStr">
        <is>
          <t>Modular / portable power</t>
        </is>
      </c>
      <c r="D5181" s="12" t="inlineStr">
        <is>
          <t>CHP-SWG station service: DC charger, heaters, HVAC, lighting</t>
        </is>
      </c>
      <c r="E5181" s="12" t="inlineStr">
        <is>
          <t>CHP-AUX</t>
        </is>
      </c>
      <c r="F5181" s="12" t="inlineStr">
        <is>
          <t>CHP-AUX: 13.8 / 0.48 kV, 750 kVA auxiliary pad-mount (engine auxiliari</t>
        </is>
      </c>
      <c r="G5181" s="12" t="inlineStr">
        <is>
          <t>CHP-SWG</t>
        </is>
      </c>
      <c r="H5181" s="12" t="inlineStr">
        <is>
          <t>CHP-SWG: 13.8 kV switchgear container (4 engine breakers, site feeder)</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45</v>
      </c>
      <c r="R5181" s="12" t="n">
        <v>57</v>
      </c>
      <c r="S5181" s="12" t="inlineStr">
        <is>
          <t>Riser</t>
        </is>
      </c>
      <c r="T5181" s="15" t="n">
        <v>4</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I-P-0018</t>
        </is>
      </c>
      <c r="B5182" s="12" t="inlineStr">
        <is>
          <t>I</t>
        </is>
      </c>
      <c r="C5182" s="12" t="inlineStr">
        <is>
          <t>Modular / portable power</t>
        </is>
      </c>
      <c r="D5182" s="12" t="inlineStr">
        <is>
          <t>LV power feeder</t>
        </is>
      </c>
      <c r="E5182" s="12" t="inlineStr"/>
      <c r="F5182" s="12" t="inlineStr">
        <is>
          <t>PCM: power control module</t>
        </is>
      </c>
      <c r="G5182" s="12" t="inlineStr"/>
      <c r="H5182" s="12" t="inlineStr">
        <is>
          <t>CONDITIONAL: BESS black-start alternative</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15</v>
      </c>
      <c r="R5182" s="12" t="n">
        <v>21.2</v>
      </c>
      <c r="S5182" s="12" t="inlineStr">
        <is>
          <t>Duct bank</t>
        </is>
      </c>
      <c r="T5182" s="15" t="n">
        <v>516</v>
      </c>
      <c r="U5182" s="15" t="n">
        <v>32</v>
      </c>
      <c r="V5182" s="15">
        <f>ROUNDUP((T5182+U5182+2*'Read Me'!$B$13)*(1+'Read Me'!$B$12),-1)</f>
        <v/>
      </c>
      <c r="W5182" s="15">
        <f>V5182*N5182*O5182</f>
        <v/>
      </c>
      <c r="X5182" s="12">
        <f>IF(LEFT(I5182,2)="MV",2*N5182*IF(L5182="1/C",O5182,1),0)</f>
        <v/>
      </c>
      <c r="Y5182" s="12">
        <f>IF(OR(LEFT(K5182,4)="LVAX",LEFT(K5182,6)="MV15AX",LEFT(K5182,4)="CTAX",LEFT(K5182,2)="W|"),2*N5182*O5182,0)</f>
        <v/>
      </c>
      <c r="Z5182" s="12" t="inlineStr">
        <is>
          <t>VD 2.3 %</t>
        </is>
      </c>
      <c r="AA5182" s="12">
        <f>N5182*O5182</f>
        <v/>
      </c>
    </row>
    <row r="5183">
      <c r="A5183" s="12" t="inlineStr">
        <is>
          <t>I-P-0019</t>
        </is>
      </c>
      <c r="B5183" s="12" t="inlineStr">
        <is>
          <t>I</t>
        </is>
      </c>
      <c r="C5183" s="12" t="inlineStr">
        <is>
          <t>Modular / portable power</t>
        </is>
      </c>
      <c r="D5183" s="12" t="inlineStr">
        <is>
          <t>LV power feeder</t>
        </is>
      </c>
      <c r="E5183" s="12" t="inlineStr"/>
      <c r="F5183" s="12" t="inlineStr">
        <is>
          <t>SC-1 PCM + 15 kV GCB</t>
        </is>
      </c>
      <c r="G5183" s="12" t="inlineStr"/>
      <c r="H5183" s="12" t="inlineStr">
        <is>
          <t>CONDITIONAL: SC-1 inlet chiller / evaporative cooler</t>
        </is>
      </c>
      <c r="I5183" s="12" t="inlineStr">
        <is>
          <t>LV 600 V</t>
        </is>
      </c>
      <c r="J5183" s="12" t="inlineStr">
        <is>
          <t>Type TC-ER 600 V 3/C Cu XHHW-2 + ground, PVC jacket</t>
        </is>
      </c>
      <c r="K5183" s="12" t="inlineStr">
        <is>
          <t>LV|3/C+G|350</t>
        </is>
      </c>
      <c r="L5183" s="12" t="inlineStr">
        <is>
          <t>3/C+G</t>
        </is>
      </c>
      <c r="M5183" s="12" t="inlineStr">
        <is>
          <t>350 kcmil</t>
        </is>
      </c>
      <c r="N5183" s="12" t="n">
        <v>3</v>
      </c>
      <c r="O5183" s="12" t="n">
        <v>1</v>
      </c>
      <c r="P5183" s="12" t="n">
        <v>480</v>
      </c>
      <c r="Q5183" s="12" t="n">
        <v>500</v>
      </c>
      <c r="R5183" s="12" t="n">
        <v>707.6</v>
      </c>
      <c r="S5183" s="12" t="inlineStr">
        <is>
          <t>Duct bank</t>
        </is>
      </c>
      <c r="T5183" s="15" t="n">
        <v>270</v>
      </c>
      <c r="U5183" s="15" t="n">
        <v>78</v>
      </c>
      <c r="V5183" s="15">
        <f>ROUNDUP((T5183+U5183+2*'Read Me'!$B$13)*(1+'Read Me'!$B$12),-1)</f>
        <v/>
      </c>
      <c r="W5183" s="15">
        <f>V5183*N5183*O5183</f>
        <v/>
      </c>
      <c r="X5183" s="12">
        <f>IF(LEFT(I5183,2)="MV",2*N5183*IF(L5183="1/C",O5183,1),0)</f>
        <v/>
      </c>
      <c r="Y5183" s="12">
        <f>IF(OR(LEFT(K5183,4)="LVAX",LEFT(K5183,6)="MV15AX",LEFT(K5183,4)="CTAX",LEFT(K5183,2)="W|"),2*N5183*O5183,0)</f>
        <v/>
      </c>
      <c r="Z5183" s="12" t="inlineStr">
        <is>
          <t>VD 1.2 %</t>
        </is>
      </c>
      <c r="AA5183" s="12">
        <f>N5183*O5183</f>
        <v/>
      </c>
    </row>
    <row r="5184">
      <c r="A5184" s="12" t="inlineStr">
        <is>
          <t>I-P-0020</t>
        </is>
      </c>
      <c r="B5184" s="12" t="inlineStr">
        <is>
          <t>I</t>
        </is>
      </c>
      <c r="C5184" s="12" t="inlineStr">
        <is>
          <t>Modular / portable power</t>
        </is>
      </c>
      <c r="D5184" s="12" t="inlineStr">
        <is>
          <t>LV power feeder</t>
        </is>
      </c>
      <c r="E5184" s="12" t="inlineStr"/>
      <c r="F5184" s="12" t="inlineStr">
        <is>
          <t>SC-2 PCM + 15 kV GCB</t>
        </is>
      </c>
      <c r="G5184" s="12" t="inlineStr"/>
      <c r="H5184" s="12" t="inlineStr">
        <is>
          <t>CONDITIONAL: SC-2 inlet chiller / evaporative cooler</t>
        </is>
      </c>
      <c r="I5184" s="12" t="inlineStr">
        <is>
          <t>LV 600 V</t>
        </is>
      </c>
      <c r="J5184" s="12" t="inlineStr">
        <is>
          <t>Type TC-ER 600 V 3/C Cu XHHW-2 + ground, PVC jacket</t>
        </is>
      </c>
      <c r="K5184" s="12" t="inlineStr">
        <is>
          <t>LV|3/C+G|350</t>
        </is>
      </c>
      <c r="L5184" s="12" t="inlineStr">
        <is>
          <t>3/C+G</t>
        </is>
      </c>
      <c r="M5184" s="12" t="inlineStr">
        <is>
          <t>350 kcmil</t>
        </is>
      </c>
      <c r="N5184" s="12" t="n">
        <v>3</v>
      </c>
      <c r="O5184" s="12" t="n">
        <v>1</v>
      </c>
      <c r="P5184" s="12" t="n">
        <v>480</v>
      </c>
      <c r="Q5184" s="12" t="n">
        <v>500</v>
      </c>
      <c r="R5184" s="12" t="n">
        <v>707.6</v>
      </c>
      <c r="S5184" s="12" t="inlineStr">
        <is>
          <t>Duct bank</t>
        </is>
      </c>
      <c r="T5184" s="15" t="n">
        <v>10</v>
      </c>
      <c r="U5184" s="15" t="n">
        <v>106</v>
      </c>
      <c r="V5184" s="15">
        <f>ROUNDUP((T5184+U5184+2*'Read Me'!$B$13)*(1+'Read Me'!$B$12),-1)</f>
        <v/>
      </c>
      <c r="W5184" s="15">
        <f>V5184*N5184*O5184</f>
        <v/>
      </c>
      <c r="X5184" s="12">
        <f>IF(LEFT(I5184,2)="MV",2*N5184*IF(L5184="1/C",O5184,1),0)</f>
        <v/>
      </c>
      <c r="Y5184" s="12">
        <f>IF(OR(LEFT(K5184,4)="LVAX",LEFT(K5184,6)="MV15AX",LEFT(K5184,4)="CTAX",LEFT(K5184,2)="W|"),2*N5184*O5184,0)</f>
        <v/>
      </c>
      <c r="Z5184" s="12" t="inlineStr">
        <is>
          <t>VD 0.4 %</t>
        </is>
      </c>
      <c r="AA5184" s="12">
        <f>N5184*O5184</f>
        <v/>
      </c>
    </row>
    <row r="5185">
      <c r="A5185" s="12" t="inlineStr">
        <is>
          <t>I-P-0021</t>
        </is>
      </c>
      <c r="B5185" s="12" t="inlineStr">
        <is>
          <t>I</t>
        </is>
      </c>
      <c r="C5185" s="12" t="inlineStr">
        <is>
          <t>Modular / portable power</t>
        </is>
      </c>
      <c r="D5185" s="12" t="inlineStr">
        <is>
          <t>FC-5 SOFC output to inverter / AC cabinet</t>
        </is>
      </c>
      <c r="E5185" s="12" t="inlineStr">
        <is>
          <t>FC-5</t>
        </is>
      </c>
      <c r="F5185" s="12" t="inlineStr">
        <is>
          <t>FC-5: SOFC module (200-300 kW class)</t>
        </is>
      </c>
      <c r="G5185" s="12" t="inlineStr"/>
      <c r="H5185" s="12" t="inlineStr">
        <is>
          <t>FC-5..8 inverter / AC cabinet / desulfurizer</t>
        </is>
      </c>
      <c r="I5185" s="12" t="inlineStr">
        <is>
          <t>LV 600 V</t>
        </is>
      </c>
      <c r="J5185" s="12" t="inlineStr">
        <is>
          <t>Type TC-ER 600 V 3/C Cu XHHW-2 + ground, PVC jacket</t>
        </is>
      </c>
      <c r="K5185" s="12" t="inlineStr">
        <is>
          <t>LV|3/C+G|3/0</t>
        </is>
      </c>
      <c r="L5185" s="12" t="inlineStr">
        <is>
          <t>3/C+G</t>
        </is>
      </c>
      <c r="M5185" s="12" t="inlineStr">
        <is>
          <t>3/0</t>
        </is>
      </c>
      <c r="N5185" s="12" t="n">
        <v>2</v>
      </c>
      <c r="O5185" s="12" t="n">
        <v>1</v>
      </c>
      <c r="P5185" s="12" t="n">
        <v>480</v>
      </c>
      <c r="Q5185" s="12" t="n">
        <v>250</v>
      </c>
      <c r="R5185" s="12" t="n">
        <v>316.5</v>
      </c>
      <c r="S5185" s="12" t="inlineStr">
        <is>
          <t>Surface</t>
        </is>
      </c>
      <c r="T5185" s="15" t="n">
        <v>48</v>
      </c>
      <c r="U5185" s="15" t="n">
        <v>27</v>
      </c>
      <c r="V5185" s="15">
        <f>ROUNDUP((T5185+U5185+2*'Read Me'!$B$13)*(1+'Read Me'!$B$12),-1)</f>
        <v/>
      </c>
      <c r="W5185" s="15">
        <f>V5185*N5185*O5185</f>
        <v/>
      </c>
      <c r="X5185" s="12">
        <f>IF(LEFT(I5185,2)="MV",2*N5185*IF(L5185="1/C",O5185,1),0)</f>
        <v/>
      </c>
      <c r="Y5185" s="12">
        <f>IF(OR(LEFT(K5185,4)="LVAX",LEFT(K5185,6)="MV15AX",LEFT(K5185,4)="CTAX",LEFT(K5185,2)="W|"),2*N5185*O5185,0)</f>
        <v/>
      </c>
      <c r="Z5185" s="12" t="inlineStr">
        <is>
          <t>VD 0.4 %</t>
        </is>
      </c>
      <c r="AA5185" s="12">
        <f>N5185*O5185</f>
        <v/>
      </c>
    </row>
    <row r="5186">
      <c r="A5186" s="12" t="inlineStr">
        <is>
          <t>I-P-0022</t>
        </is>
      </c>
      <c r="B5186" s="12" t="inlineStr">
        <is>
          <t>I</t>
        </is>
      </c>
      <c r="C5186" s="12" t="inlineStr">
        <is>
          <t>Modular / portable power</t>
        </is>
      </c>
      <c r="D5186" s="12" t="inlineStr">
        <is>
          <t>FC-6 SOFC output to inverter / AC cabinet</t>
        </is>
      </c>
      <c r="E5186" s="12" t="inlineStr">
        <is>
          <t>FC-6</t>
        </is>
      </c>
      <c r="F5186" s="12" t="inlineStr">
        <is>
          <t>FC-6: SOFC module (200-300 kW class)</t>
        </is>
      </c>
      <c r="G5186" s="12" t="inlineStr"/>
      <c r="H5186" s="12" t="inlineStr">
        <is>
          <t>FC-5..8 inverter / AC cabinet / desulfurizer</t>
        </is>
      </c>
      <c r="I5186" s="12" t="inlineStr">
        <is>
          <t>LV 600 V</t>
        </is>
      </c>
      <c r="J5186" s="12" t="inlineStr">
        <is>
          <t>Type TC-ER 600 V 3/C Cu XHHW-2 + ground, PVC jacket</t>
        </is>
      </c>
      <c r="K5186" s="12" t="inlineStr">
        <is>
          <t>LV|3/C+G|3/0</t>
        </is>
      </c>
      <c r="L5186" s="12" t="inlineStr">
        <is>
          <t>3/C+G</t>
        </is>
      </c>
      <c r="M5186" s="12" t="inlineStr">
        <is>
          <t>3/0</t>
        </is>
      </c>
      <c r="N5186" s="12" t="n">
        <v>2</v>
      </c>
      <c r="O5186" s="12" t="n">
        <v>1</v>
      </c>
      <c r="P5186" s="12" t="n">
        <v>480</v>
      </c>
      <c r="Q5186" s="12" t="n">
        <v>250</v>
      </c>
      <c r="R5186" s="12" t="n">
        <v>316.5</v>
      </c>
      <c r="S5186" s="12" t="inlineStr">
        <is>
          <t>Surface</t>
        </is>
      </c>
      <c r="T5186" s="15" t="n">
        <v>40</v>
      </c>
      <c r="U5186" s="15" t="n">
        <v>27</v>
      </c>
      <c r="V5186" s="15">
        <f>ROUNDUP((T5186+U5186+2*'Read Me'!$B$13)*(1+'Read Me'!$B$12),-1)</f>
        <v/>
      </c>
      <c r="W5186" s="15">
        <f>V5186*N5186*O5186</f>
        <v/>
      </c>
      <c r="X5186" s="12">
        <f>IF(LEFT(I5186,2)="MV",2*N5186*IF(L5186="1/C",O5186,1),0)</f>
        <v/>
      </c>
      <c r="Y5186" s="12">
        <f>IF(OR(LEFT(K5186,4)="LVAX",LEFT(K5186,6)="MV15AX",LEFT(K5186,4)="CTAX",LEFT(K5186,2)="W|"),2*N5186*O5186,0)</f>
        <v/>
      </c>
      <c r="Z5186" s="12" t="inlineStr">
        <is>
          <t>VD 0.3 %</t>
        </is>
      </c>
      <c r="AA5186" s="12">
        <f>N5186*O5186</f>
        <v/>
      </c>
    </row>
    <row r="5187">
      <c r="A5187" s="12" t="inlineStr">
        <is>
          <t>I-P-0023</t>
        </is>
      </c>
      <c r="B5187" s="12" t="inlineStr">
        <is>
          <t>I</t>
        </is>
      </c>
      <c r="C5187" s="12" t="inlineStr">
        <is>
          <t>Modular / portable power</t>
        </is>
      </c>
      <c r="D5187" s="12" t="inlineStr">
        <is>
          <t>FC-7 SOFC output to inverter / AC cabinet</t>
        </is>
      </c>
      <c r="E5187" s="12" t="inlineStr">
        <is>
          <t>FC-7</t>
        </is>
      </c>
      <c r="F5187" s="12" t="inlineStr">
        <is>
          <t>FC-7: SOFC module (200-300 kW class)</t>
        </is>
      </c>
      <c r="G5187" s="12" t="inlineStr"/>
      <c r="H5187" s="12" t="inlineStr">
        <is>
          <t>FC-5..8 inverter / AC cabinet / desulfurizer</t>
        </is>
      </c>
      <c r="I5187" s="12" t="inlineStr">
        <is>
          <t>LV 600 V</t>
        </is>
      </c>
      <c r="J5187" s="12" t="inlineStr">
        <is>
          <t>Type TC-ER 600 V 3/C Cu XHHW-2 + ground, PVC jacket</t>
        </is>
      </c>
      <c r="K5187" s="12" t="inlineStr">
        <is>
          <t>LV|3/C+G|3/0</t>
        </is>
      </c>
      <c r="L5187" s="12" t="inlineStr">
        <is>
          <t>3/C+G</t>
        </is>
      </c>
      <c r="M5187" s="12" t="inlineStr">
        <is>
          <t>3/0</t>
        </is>
      </c>
      <c r="N5187" s="12" t="n">
        <v>2</v>
      </c>
      <c r="O5187" s="12" t="n">
        <v>1</v>
      </c>
      <c r="P5187" s="12" t="n">
        <v>480</v>
      </c>
      <c r="Q5187" s="12" t="n">
        <v>250</v>
      </c>
      <c r="R5187" s="12" t="n">
        <v>316.5</v>
      </c>
      <c r="S5187" s="12" t="inlineStr">
        <is>
          <t>Surface</t>
        </is>
      </c>
      <c r="T5187" s="15" t="n">
        <v>29</v>
      </c>
      <c r="U5187" s="15" t="n">
        <v>27</v>
      </c>
      <c r="V5187" s="15">
        <f>ROUNDUP((T5187+U5187+2*'Read Me'!$B$13)*(1+'Read Me'!$B$12),-1)</f>
        <v/>
      </c>
      <c r="W5187" s="15">
        <f>V5187*N5187*O5187</f>
        <v/>
      </c>
      <c r="X5187" s="12">
        <f>IF(LEFT(I5187,2)="MV",2*N5187*IF(L5187="1/C",O5187,1),0)</f>
        <v/>
      </c>
      <c r="Y5187" s="12">
        <f>IF(OR(LEFT(K5187,4)="LVAX",LEFT(K5187,6)="MV15AX",LEFT(K5187,4)="CTAX",LEFT(K5187,2)="W|"),2*N5187*O5187,0)</f>
        <v/>
      </c>
      <c r="Z5187" s="12" t="inlineStr">
        <is>
          <t>VD 0.3 %</t>
        </is>
      </c>
      <c r="AA5187" s="12">
        <f>N5187*O5187</f>
        <v/>
      </c>
    </row>
    <row r="5188">
      <c r="A5188" s="12" t="inlineStr">
        <is>
          <t>I-P-0024</t>
        </is>
      </c>
      <c r="B5188" s="12" t="inlineStr">
        <is>
          <t>I</t>
        </is>
      </c>
      <c r="C5188" s="12" t="inlineStr">
        <is>
          <t>Modular / portable power</t>
        </is>
      </c>
      <c r="D5188" s="12" t="inlineStr">
        <is>
          <t>FC-8 SOFC output to inverter / AC cabinet</t>
        </is>
      </c>
      <c r="E5188" s="12" t="inlineStr">
        <is>
          <t>FC-8</t>
        </is>
      </c>
      <c r="F5188" s="12" t="inlineStr">
        <is>
          <t>FC-8: SOFC module (200-300 kW class)</t>
        </is>
      </c>
      <c r="G5188" s="12" t="inlineStr"/>
      <c r="H5188" s="12" t="inlineStr">
        <is>
          <t>FC-5..8 inverter / AC cabinet / desulfurizer</t>
        </is>
      </c>
      <c r="I5188" s="12" t="inlineStr">
        <is>
          <t>LV 600 V</t>
        </is>
      </c>
      <c r="J5188" s="12" t="inlineStr">
        <is>
          <t>Type TC-ER 600 V 3/C Cu XHHW-2 + ground, PVC jacket</t>
        </is>
      </c>
      <c r="K5188" s="12" t="inlineStr">
        <is>
          <t>LV|3/C+G|3/0</t>
        </is>
      </c>
      <c r="L5188" s="12" t="inlineStr">
        <is>
          <t>3/C+G</t>
        </is>
      </c>
      <c r="M5188" s="12" t="inlineStr">
        <is>
          <t>3/0</t>
        </is>
      </c>
      <c r="N5188" s="12" t="n">
        <v>2</v>
      </c>
      <c r="O5188" s="12" t="n">
        <v>1</v>
      </c>
      <c r="P5188" s="12" t="n">
        <v>480</v>
      </c>
      <c r="Q5188" s="12" t="n">
        <v>250</v>
      </c>
      <c r="R5188" s="12" t="n">
        <v>316.5</v>
      </c>
      <c r="S5188" s="12" t="inlineStr">
        <is>
          <t>Tray</t>
        </is>
      </c>
      <c r="T5188" s="15" t="n">
        <v>2</v>
      </c>
      <c r="U5188" s="15" t="n">
        <v>27</v>
      </c>
      <c r="V5188" s="15">
        <f>ROUNDUP((T5188+U5188+2*'Read Me'!$B$13)*(1+'Read Me'!$B$12),-1)</f>
        <v/>
      </c>
      <c r="W5188" s="15">
        <f>V5188*N5188*O5188</f>
        <v/>
      </c>
      <c r="X5188" s="12">
        <f>IF(LEFT(I5188,2)="MV",2*N5188*IF(L5188="1/C",O5188,1),0)</f>
        <v/>
      </c>
      <c r="Y5188" s="12">
        <f>IF(OR(LEFT(K5188,4)="LVAX",LEFT(K5188,6)="MV15AX",LEFT(K5188,4)="CTAX",LEFT(K5188,2)="W|"),2*N5188*O5188,0)</f>
        <v/>
      </c>
      <c r="Z5188" s="12" t="inlineStr">
        <is>
          <t>VD 0.1 %</t>
        </is>
      </c>
      <c r="AA5188" s="12">
        <f>N5188*O5188</f>
        <v/>
      </c>
    </row>
    <row r="5189">
      <c r="A5189" s="12" t="inlineStr">
        <is>
          <t>I-P-0025</t>
        </is>
      </c>
      <c r="B5189" s="12" t="inlineStr">
        <is>
          <t>I</t>
        </is>
      </c>
      <c r="C5189" s="12" t="inlineStr">
        <is>
          <t>Modular / portable power</t>
        </is>
      </c>
      <c r="D5189" s="12" t="inlineStr">
        <is>
          <t>Motor 1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I-P-0026</t>
        </is>
      </c>
      <c r="B5190" s="12" t="inlineStr">
        <is>
          <t>I</t>
        </is>
      </c>
      <c r="C5190" s="12" t="inlineStr">
        <is>
          <t>Modular / portable power</t>
        </is>
      </c>
      <c r="D5190" s="12" t="inlineStr">
        <is>
          <t>Motor 2 of 6, 15 kW</t>
        </is>
      </c>
      <c r="E5190" s="12" t="inlineStr"/>
      <c r="F5190" s="12" t="inlineStr">
        <is>
          <t>SC-2 PCM + 15 kV GCB</t>
        </is>
      </c>
      <c r="G5190" s="12" t="inlineStr"/>
      <c r="H5190" s="12" t="inlineStr">
        <is>
          <t>Fuel-gas compressors 3 x 100% electric</t>
        </is>
      </c>
      <c r="I5190" s="12" t="inlineStr">
        <is>
          <t>LV 600 V</t>
        </is>
      </c>
      <c r="J5190" s="12" t="inlineStr">
        <is>
          <t>ARMOR-X MC-HL 600 V 3/C Cu XHHW-2 + ground, CWA, black PVC (Class I Div 2)</t>
        </is>
      </c>
      <c r="K5190" s="12" t="inlineStr">
        <is>
          <t>LVAX|3/C+G|10</t>
        </is>
      </c>
      <c r="L5190" s="12" t="inlineStr">
        <is>
          <t>3/C+G</t>
        </is>
      </c>
      <c r="M5190" s="12" t="inlineStr">
        <is>
          <t>10</t>
        </is>
      </c>
      <c r="N5190" s="12" t="n">
        <v>1</v>
      </c>
      <c r="O5190" s="12" t="n">
        <v>1</v>
      </c>
      <c r="P5190" s="12" t="n">
        <v>480</v>
      </c>
      <c r="Q5190" s="12" t="n">
        <v>15</v>
      </c>
      <c r="R5190" s="12" t="n">
        <v>21.2</v>
      </c>
      <c r="S5190" s="12" t="inlineStr">
        <is>
          <t>Duct bank</t>
        </is>
      </c>
      <c r="T5190" s="15" t="n">
        <v>8</v>
      </c>
      <c r="U5190" s="15" t="n">
        <v>108</v>
      </c>
      <c r="V5190" s="15">
        <f>ROUNDUP((T5190+U5190+2*'Read Me'!$B$13)*(1+'Read Me'!$B$12),-1)</f>
        <v/>
      </c>
      <c r="W5190" s="15">
        <f>V5190*N5190*O5190</f>
        <v/>
      </c>
      <c r="X5190" s="12">
        <f>IF(LEFT(I5190,2)="MV",2*N5190*IF(L5190="1/C",O5190,1),0)</f>
        <v/>
      </c>
      <c r="Y5190" s="12">
        <f>IF(OR(LEFT(K5190,4)="LVAX",LEFT(K5190,6)="MV15AX",LEFT(K5190,4)="CTAX",LEFT(K5190,2)="W|"),2*N5190*O5190,0)</f>
        <v/>
      </c>
      <c r="Z5190" s="12" t="inlineStr">
        <is>
          <t>VD 1.2 %</t>
        </is>
      </c>
      <c r="AA5190" s="12">
        <f>N5190*O5190</f>
        <v/>
      </c>
    </row>
    <row r="5191">
      <c r="A5191" s="12" t="inlineStr">
        <is>
          <t>I-P-0027</t>
        </is>
      </c>
      <c r="B5191" s="12" t="inlineStr">
        <is>
          <t>I</t>
        </is>
      </c>
      <c r="C5191" s="12" t="inlineStr">
        <is>
          <t>Modular / portable power</t>
        </is>
      </c>
      <c r="D5191" s="12" t="inlineStr">
        <is>
          <t>Motor 3 of 6, 15 kW</t>
        </is>
      </c>
      <c r="E5191" s="12" t="inlineStr"/>
      <c r="F5191" s="12" t="inlineStr">
        <is>
          <t>SC-2 PCM + 15 kV GCB</t>
        </is>
      </c>
      <c r="G5191" s="12" t="inlineStr"/>
      <c r="H5191" s="12" t="inlineStr">
        <is>
          <t>Fuel-gas compressors 3 x 100% electric</t>
        </is>
      </c>
      <c r="I5191" s="12" t="inlineStr">
        <is>
          <t>LV 600 V</t>
        </is>
      </c>
      <c r="J5191" s="12" t="inlineStr">
        <is>
          <t>ARMOR-X MC-HL 600 V 3/C Cu XHHW-2 + ground, CWA, black PVC (Class I Div 2)</t>
        </is>
      </c>
      <c r="K5191" s="12" t="inlineStr">
        <is>
          <t>LVAX|3/C+G|10</t>
        </is>
      </c>
      <c r="L5191" s="12" t="inlineStr">
        <is>
          <t>3/C+G</t>
        </is>
      </c>
      <c r="M5191" s="12" t="inlineStr">
        <is>
          <t>10</t>
        </is>
      </c>
      <c r="N5191" s="12" t="n">
        <v>1</v>
      </c>
      <c r="O5191" s="12" t="n">
        <v>1</v>
      </c>
      <c r="P5191" s="12" t="n">
        <v>480</v>
      </c>
      <c r="Q5191" s="12" t="n">
        <v>15</v>
      </c>
      <c r="R5191" s="12" t="n">
        <v>21.2</v>
      </c>
      <c r="S5191" s="12" t="inlineStr">
        <is>
          <t>Duct bank</t>
        </is>
      </c>
      <c r="T5191" s="15" t="n">
        <v>8</v>
      </c>
      <c r="U5191" s="15" t="n">
        <v>108</v>
      </c>
      <c r="V5191" s="15">
        <f>ROUNDUP((T5191+U5191+2*'Read Me'!$B$13)*(1+'Read Me'!$B$12),-1)</f>
        <v/>
      </c>
      <c r="W5191" s="15">
        <f>V5191*N5191*O5191</f>
        <v/>
      </c>
      <c r="X5191" s="12">
        <f>IF(LEFT(I5191,2)="MV",2*N5191*IF(L5191="1/C",O5191,1),0)</f>
        <v/>
      </c>
      <c r="Y5191" s="12">
        <f>IF(OR(LEFT(K5191,4)="LVAX",LEFT(K5191,6)="MV15AX",LEFT(K5191,4)="CTAX",LEFT(K5191,2)="W|"),2*N5191*O5191,0)</f>
        <v/>
      </c>
      <c r="Z5191" s="12" t="inlineStr">
        <is>
          <t>VD 1.2 %</t>
        </is>
      </c>
      <c r="AA5191" s="12">
        <f>N5191*O5191</f>
        <v/>
      </c>
    </row>
    <row r="5192">
      <c r="A5192" s="12" t="inlineStr">
        <is>
          <t>I-P-0028</t>
        </is>
      </c>
      <c r="B5192" s="12" t="inlineStr">
        <is>
          <t>I</t>
        </is>
      </c>
      <c r="C5192" s="12" t="inlineStr">
        <is>
          <t>Modular / portable power</t>
        </is>
      </c>
      <c r="D5192" s="12" t="inlineStr">
        <is>
          <t>Motor 4 of 6, 15 kW</t>
        </is>
      </c>
      <c r="E5192" s="12" t="inlineStr"/>
      <c r="F5192" s="12" t="inlineStr">
        <is>
          <t>SC-2 PCM + 15 kV GCB</t>
        </is>
      </c>
      <c r="G5192" s="12" t="inlineStr"/>
      <c r="H5192" s="12" t="inlineStr">
        <is>
          <t>Fuel-gas compressors 3 x 100% electric</t>
        </is>
      </c>
      <c r="I5192" s="12" t="inlineStr">
        <is>
          <t>LV 600 V</t>
        </is>
      </c>
      <c r="J5192" s="12" t="inlineStr">
        <is>
          <t>ARMOR-X MC-HL 600 V 3/C Cu XHHW-2 + ground, CWA, black PVC (Class I Div 2)</t>
        </is>
      </c>
      <c r="K5192" s="12" t="inlineStr">
        <is>
          <t>LVAX|3/C+G|10</t>
        </is>
      </c>
      <c r="L5192" s="12" t="inlineStr">
        <is>
          <t>3/C+G</t>
        </is>
      </c>
      <c r="M5192" s="12" t="inlineStr">
        <is>
          <t>10</t>
        </is>
      </c>
      <c r="N5192" s="12" t="n">
        <v>1</v>
      </c>
      <c r="O5192" s="12" t="n">
        <v>1</v>
      </c>
      <c r="P5192" s="12" t="n">
        <v>480</v>
      </c>
      <c r="Q5192" s="12" t="n">
        <v>15</v>
      </c>
      <c r="R5192" s="12" t="n">
        <v>21.2</v>
      </c>
      <c r="S5192" s="12" t="inlineStr">
        <is>
          <t>Duct bank</t>
        </is>
      </c>
      <c r="T5192" s="15" t="n">
        <v>8</v>
      </c>
      <c r="U5192" s="15" t="n">
        <v>108</v>
      </c>
      <c r="V5192" s="15">
        <f>ROUNDUP((T5192+U5192+2*'Read Me'!$B$13)*(1+'Read Me'!$B$12),-1)</f>
        <v/>
      </c>
      <c r="W5192" s="15">
        <f>V5192*N5192*O5192</f>
        <v/>
      </c>
      <c r="X5192" s="12">
        <f>IF(LEFT(I5192,2)="MV",2*N5192*IF(L5192="1/C",O5192,1),0)</f>
        <v/>
      </c>
      <c r="Y5192" s="12">
        <f>IF(OR(LEFT(K5192,4)="LVAX",LEFT(K5192,6)="MV15AX",LEFT(K5192,4)="CTAX",LEFT(K5192,2)="W|"),2*N5192*O5192,0)</f>
        <v/>
      </c>
      <c r="Z5192" s="12" t="inlineStr">
        <is>
          <t>VD 1.2 %</t>
        </is>
      </c>
      <c r="AA5192" s="12">
        <f>N5192*O5192</f>
        <v/>
      </c>
    </row>
    <row r="5193">
      <c r="A5193" s="12" t="inlineStr">
        <is>
          <t>I-P-0029</t>
        </is>
      </c>
      <c r="B5193" s="12" t="inlineStr">
        <is>
          <t>I</t>
        </is>
      </c>
      <c r="C5193" s="12" t="inlineStr">
        <is>
          <t>Modular / portable power</t>
        </is>
      </c>
      <c r="D5193" s="12" t="inlineStr">
        <is>
          <t>Motor 5 of 6, 15 kW</t>
        </is>
      </c>
      <c r="E5193" s="12" t="inlineStr"/>
      <c r="F5193" s="12" t="inlineStr">
        <is>
          <t>SC-2 PCM + 15 kV GCB</t>
        </is>
      </c>
      <c r="G5193" s="12" t="inlineStr"/>
      <c r="H5193" s="12" t="inlineStr">
        <is>
          <t>Fuel-gas compressors 3 x 100% electric</t>
        </is>
      </c>
      <c r="I5193" s="12" t="inlineStr">
        <is>
          <t>LV 600 V</t>
        </is>
      </c>
      <c r="J5193" s="12" t="inlineStr">
        <is>
          <t>ARMOR-X MC-HL 600 V 3/C Cu XHHW-2 + ground, CWA, black PVC (Class I Div 2)</t>
        </is>
      </c>
      <c r="K5193" s="12" t="inlineStr">
        <is>
          <t>LVAX|3/C+G|10</t>
        </is>
      </c>
      <c r="L5193" s="12" t="inlineStr">
        <is>
          <t>3/C+G</t>
        </is>
      </c>
      <c r="M5193" s="12" t="inlineStr">
        <is>
          <t>10</t>
        </is>
      </c>
      <c r="N5193" s="12" t="n">
        <v>1</v>
      </c>
      <c r="O5193" s="12" t="n">
        <v>1</v>
      </c>
      <c r="P5193" s="12" t="n">
        <v>480</v>
      </c>
      <c r="Q5193" s="12" t="n">
        <v>15</v>
      </c>
      <c r="R5193" s="12" t="n">
        <v>21.2</v>
      </c>
      <c r="S5193" s="12" t="inlineStr">
        <is>
          <t>Duct bank</t>
        </is>
      </c>
      <c r="T5193" s="15" t="n">
        <v>8</v>
      </c>
      <c r="U5193" s="15" t="n">
        <v>108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I-P-0030</t>
        </is>
      </c>
      <c r="B5194" s="12" t="inlineStr">
        <is>
          <t>I</t>
        </is>
      </c>
      <c r="C5194" s="12" t="inlineStr">
        <is>
          <t>Modular / portable power</t>
        </is>
      </c>
      <c r="D5194" s="12" t="inlineStr">
        <is>
          <t>Motor 6 of 6, 15 kW</t>
        </is>
      </c>
      <c r="E5194" s="12" t="inlineStr"/>
      <c r="F5194" s="12" t="inlineStr">
        <is>
          <t>SC-2 PCM + 15 kV GCB</t>
        </is>
      </c>
      <c r="G5194" s="12" t="inlineStr"/>
      <c r="H5194" s="12" t="inlineStr">
        <is>
          <t>Fuel-gas compressors 3 x 100% electric</t>
        </is>
      </c>
      <c r="I5194" s="12" t="inlineStr">
        <is>
          <t>LV 600 V</t>
        </is>
      </c>
      <c r="J5194" s="12" t="inlineStr">
        <is>
          <t>ARMOR-X MC-HL 600 V 3/C Cu XHHW-2 + ground, CWA, black PVC (Class I Div 2)</t>
        </is>
      </c>
      <c r="K5194" s="12" t="inlineStr">
        <is>
          <t>LVAX|3/C+G|10</t>
        </is>
      </c>
      <c r="L5194" s="12" t="inlineStr">
        <is>
          <t>3/C+G</t>
        </is>
      </c>
      <c r="M5194" s="12" t="inlineStr">
        <is>
          <t>10</t>
        </is>
      </c>
      <c r="N5194" s="12" t="n">
        <v>1</v>
      </c>
      <c r="O5194" s="12" t="n">
        <v>1</v>
      </c>
      <c r="P5194" s="12" t="n">
        <v>480</v>
      </c>
      <c r="Q5194" s="12" t="n">
        <v>15</v>
      </c>
      <c r="R5194" s="12" t="n">
        <v>21.2</v>
      </c>
      <c r="S5194" s="12" t="inlineStr">
        <is>
          <t>Duct bank</t>
        </is>
      </c>
      <c r="T5194" s="15" t="n">
        <v>8</v>
      </c>
      <c r="U5194" s="15" t="n">
        <v>108</v>
      </c>
      <c r="V5194" s="15">
        <f>ROUNDUP((T5194+U5194+2*'Read Me'!$B$13)*(1+'Read Me'!$B$12),-1)</f>
        <v/>
      </c>
      <c r="W5194" s="15">
        <f>V5194*N5194*O5194</f>
        <v/>
      </c>
      <c r="X5194" s="12">
        <f>IF(LEFT(I5194,2)="MV",2*N5194*IF(L5194="1/C",O5194,1),0)</f>
        <v/>
      </c>
      <c r="Y5194" s="12">
        <f>IF(OR(LEFT(K5194,4)="LVAX",LEFT(K5194,6)="MV15AX",LEFT(K5194,4)="CTAX",LEFT(K5194,2)="W|"),2*N5194*O5194,0)</f>
        <v/>
      </c>
      <c r="Z5194" s="12" t="inlineStr">
        <is>
          <t>VD 1.2 %</t>
        </is>
      </c>
      <c r="AA5194" s="12">
        <f>N5194*O5194</f>
        <v/>
      </c>
    </row>
    <row r="5195">
      <c r="A5195" s="12" t="inlineStr">
        <is>
          <t>I-P-0031</t>
        </is>
      </c>
      <c r="B5195" s="12" t="inlineStr">
        <is>
          <t>I</t>
        </is>
      </c>
      <c r="C5195" s="12" t="inlineStr">
        <is>
          <t>Modular / portable power</t>
        </is>
      </c>
      <c r="D5195" s="12" t="inlineStr">
        <is>
          <t>GB-1.1 aux power: jacket-water heater, battery charger, enclosure</t>
        </is>
      </c>
      <c r="E5195" s="12" t="inlineStr">
        <is>
          <t>GBC-1</t>
        </is>
      </c>
      <c r="F5195" s="12" t="inlineStr">
        <is>
          <t xml:space="preserve">GBC-1: block GB-1 generator collector box, 480 V outdoor switchboard, </t>
        </is>
      </c>
      <c r="G5195" s="12" t="inlineStr">
        <is>
          <t>GB-1.1</t>
        </is>
      </c>
      <c r="H5195" s="12" t="inlineStr">
        <is>
          <t>GB-1.1: modular gas genset 500 kW, 480 V (block GB-1,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I-P-0032</t>
        </is>
      </c>
      <c r="B5196" s="12" t="inlineStr">
        <is>
          <t>I</t>
        </is>
      </c>
      <c r="C5196" s="12" t="inlineStr">
        <is>
          <t>Modular / portable power</t>
        </is>
      </c>
      <c r="D5196" s="12" t="inlineStr">
        <is>
          <t>GB-1.2 aux power: jacket-water heater, battery charger, enclosure</t>
        </is>
      </c>
      <c r="E5196" s="12" t="inlineStr">
        <is>
          <t>GBC-1</t>
        </is>
      </c>
      <c r="F5196" s="12" t="inlineStr">
        <is>
          <t xml:space="preserve">GBC-1: block GB-1 generator collector box, 480 V outdoor switchboard, </t>
        </is>
      </c>
      <c r="G5196" s="12" t="inlineStr">
        <is>
          <t>GB-1.2</t>
        </is>
      </c>
      <c r="H5196" s="12" t="inlineStr">
        <is>
          <t>GB-1.2: modular gas genset 500 kW, 480 V (block GB-1,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I-P-0033</t>
        </is>
      </c>
      <c r="B5197" s="12" t="inlineStr">
        <is>
          <t>I</t>
        </is>
      </c>
      <c r="C5197" s="12" t="inlineStr">
        <is>
          <t>Modular / portable power</t>
        </is>
      </c>
      <c r="D5197" s="12" t="inlineStr">
        <is>
          <t>GB-1.3 aux power: jacket-water heater, battery charger, enclosure</t>
        </is>
      </c>
      <c r="E5197" s="12" t="inlineStr">
        <is>
          <t>GBC-1</t>
        </is>
      </c>
      <c r="F5197" s="12" t="inlineStr">
        <is>
          <t xml:space="preserve">GBC-1: block GB-1 generator collector box, 480 V outdoor switchboard, </t>
        </is>
      </c>
      <c r="G5197" s="12" t="inlineStr">
        <is>
          <t>GB-1.3</t>
        </is>
      </c>
      <c r="H5197" s="12" t="inlineStr">
        <is>
          <t>GB-1.3: modular gas genset 500 kW, 480 V (block GB-1,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I-P-0034</t>
        </is>
      </c>
      <c r="B5198" s="12" t="inlineStr">
        <is>
          <t>I</t>
        </is>
      </c>
      <c r="C5198" s="12" t="inlineStr">
        <is>
          <t>Modular / portable power</t>
        </is>
      </c>
      <c r="D5198" s="12" t="inlineStr">
        <is>
          <t>GB-1.4 aux power: jacket-water heater, battery charger, enclosure</t>
        </is>
      </c>
      <c r="E5198" s="12" t="inlineStr">
        <is>
          <t>GBC-1</t>
        </is>
      </c>
      <c r="F5198" s="12" t="inlineStr">
        <is>
          <t xml:space="preserve">GBC-1: block GB-1 generator collector box, 480 V outdoor switchboard, </t>
        </is>
      </c>
      <c r="G5198" s="12" t="inlineStr">
        <is>
          <t>GB-1.4</t>
        </is>
      </c>
      <c r="H5198" s="12" t="inlineStr">
        <is>
          <t>GB-1.4: modular gas genset 500 kW, 480 V (block GB-1,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I-P-0035</t>
        </is>
      </c>
      <c r="B5199" s="12" t="inlineStr">
        <is>
          <t>I</t>
        </is>
      </c>
      <c r="C5199" s="12" t="inlineStr">
        <is>
          <t>Modular / portable power</t>
        </is>
      </c>
      <c r="D5199" s="12" t="inlineStr">
        <is>
          <t>GB-1.5 aux power: jacket-water heater, battery charger, enclosure</t>
        </is>
      </c>
      <c r="E5199" s="12" t="inlineStr">
        <is>
          <t>GBC-1</t>
        </is>
      </c>
      <c r="F5199" s="12" t="inlineStr">
        <is>
          <t xml:space="preserve">GBC-1: block GB-1 generator collector box, 480 V outdoor switchboard, </t>
        </is>
      </c>
      <c r="G5199" s="12" t="inlineStr">
        <is>
          <t>GB-1.5</t>
        </is>
      </c>
      <c r="H5199" s="12" t="inlineStr">
        <is>
          <t>GB-1.5: modular gas genset 500 kW, 480 V (block GB-1,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I-P-0036</t>
        </is>
      </c>
      <c r="B5200" s="12" t="inlineStr">
        <is>
          <t>I</t>
        </is>
      </c>
      <c r="C5200" s="12" t="inlineStr">
        <is>
          <t>Modular / portable power</t>
        </is>
      </c>
      <c r="D5200" s="12" t="inlineStr">
        <is>
          <t>GB-2.1 aux power: jacket-water heater, battery charger, enclosure</t>
        </is>
      </c>
      <c r="E5200" s="12" t="inlineStr">
        <is>
          <t>GBC-2</t>
        </is>
      </c>
      <c r="F5200" s="12" t="inlineStr">
        <is>
          <t xml:space="preserve">GBC-2: block GB-2 generator collector box, 480 V outdoor switchboard, </t>
        </is>
      </c>
      <c r="G5200" s="12" t="inlineStr">
        <is>
          <t>GB-2.1</t>
        </is>
      </c>
      <c r="H5200" s="12" t="inlineStr">
        <is>
          <t>GB-2.1: modular gas genset 500 kW, 480 V (block GB-2,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I-P-0037</t>
        </is>
      </c>
      <c r="B5201" s="12" t="inlineStr">
        <is>
          <t>I</t>
        </is>
      </c>
      <c r="C5201" s="12" t="inlineStr">
        <is>
          <t>Modular / portable power</t>
        </is>
      </c>
      <c r="D5201" s="12" t="inlineStr">
        <is>
          <t>GB-2.2 aux power: jacket-water heater, battery charger, enclosure</t>
        </is>
      </c>
      <c r="E5201" s="12" t="inlineStr">
        <is>
          <t>GBC-2</t>
        </is>
      </c>
      <c r="F5201" s="12" t="inlineStr">
        <is>
          <t xml:space="preserve">GBC-2: block GB-2 generator collector box, 480 V outdoor switchboard, </t>
        </is>
      </c>
      <c r="G5201" s="12" t="inlineStr">
        <is>
          <t>GB-2.2</t>
        </is>
      </c>
      <c r="H5201" s="12" t="inlineStr">
        <is>
          <t>GB-2.2: modular gas genset 500 kW, 480 V (block GB-2,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I-P-0038</t>
        </is>
      </c>
      <c r="B5202" s="12" t="inlineStr">
        <is>
          <t>I</t>
        </is>
      </c>
      <c r="C5202" s="12" t="inlineStr">
        <is>
          <t>Modular / portable power</t>
        </is>
      </c>
      <c r="D5202" s="12" t="inlineStr">
        <is>
          <t>GB-2.3 aux power: jacket-water heater, battery charger, enclosure</t>
        </is>
      </c>
      <c r="E5202" s="12" t="inlineStr">
        <is>
          <t>GBC-2</t>
        </is>
      </c>
      <c r="F5202" s="12" t="inlineStr">
        <is>
          <t xml:space="preserve">GBC-2: block GB-2 generator collector box, 480 V outdoor switchboard, </t>
        </is>
      </c>
      <c r="G5202" s="12" t="inlineStr">
        <is>
          <t>GB-2.3</t>
        </is>
      </c>
      <c r="H5202" s="12" t="inlineStr">
        <is>
          <t>GB-2.3: modular gas genset 500 kW, 480 V (block GB-2,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I-P-0039</t>
        </is>
      </c>
      <c r="B5203" s="12" t="inlineStr">
        <is>
          <t>I</t>
        </is>
      </c>
      <c r="C5203" s="12" t="inlineStr">
        <is>
          <t>Modular / portable power</t>
        </is>
      </c>
      <c r="D5203" s="12" t="inlineStr">
        <is>
          <t>GB-2.4 aux power: jacket-water heater, battery charger, enclosure</t>
        </is>
      </c>
      <c r="E5203" s="12" t="inlineStr">
        <is>
          <t>GBC-2</t>
        </is>
      </c>
      <c r="F5203" s="12" t="inlineStr">
        <is>
          <t xml:space="preserve">GBC-2: block GB-2 generator collector box, 480 V outdoor switchboard, </t>
        </is>
      </c>
      <c r="G5203" s="12" t="inlineStr">
        <is>
          <t>GB-2.4</t>
        </is>
      </c>
      <c r="H5203" s="12" t="inlineStr">
        <is>
          <t>GB-2.4: modular gas genset 500 kW, 480 V (block GB-2,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I-P-0040</t>
        </is>
      </c>
      <c r="B5204" s="12" t="inlineStr">
        <is>
          <t>I</t>
        </is>
      </c>
      <c r="C5204" s="12" t="inlineStr">
        <is>
          <t>Modular / portable power</t>
        </is>
      </c>
      <c r="D5204" s="12" t="inlineStr">
        <is>
          <t>GB-2.5 aux power: jacket-water heater, battery charger, enclosure</t>
        </is>
      </c>
      <c r="E5204" s="12" t="inlineStr">
        <is>
          <t>GBC-2</t>
        </is>
      </c>
      <c r="F5204" s="12" t="inlineStr">
        <is>
          <t xml:space="preserve">GBC-2: block GB-2 generator collector box, 480 V outdoor switchboard, </t>
        </is>
      </c>
      <c r="G5204" s="12" t="inlineStr">
        <is>
          <t>GB-2.5</t>
        </is>
      </c>
      <c r="H5204" s="12" t="inlineStr">
        <is>
          <t>GB-2.5: modular gas genset 500 kW, 480 V (block GB-2,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I-P-0041</t>
        </is>
      </c>
      <c r="B5205" s="12" t="inlineStr">
        <is>
          <t>I</t>
        </is>
      </c>
      <c r="C5205" s="12" t="inlineStr">
        <is>
          <t>Modular / portable power</t>
        </is>
      </c>
      <c r="D5205" s="12" t="inlineStr">
        <is>
          <t>GB-3.1 aux power: jacket-water heater, battery charger, enclosure</t>
        </is>
      </c>
      <c r="E5205" s="12" t="inlineStr">
        <is>
          <t>GBC-3</t>
        </is>
      </c>
      <c r="F5205" s="12" t="inlineStr">
        <is>
          <t xml:space="preserve">GBC-3: block GB-3 generator collector box, 480 V outdoor switchboard, </t>
        </is>
      </c>
      <c r="G5205" s="12" t="inlineStr">
        <is>
          <t>GB-3.1</t>
        </is>
      </c>
      <c r="H5205" s="12" t="inlineStr">
        <is>
          <t>GB-3.1: modular gas genset 500 kW, 480 V (block GB-3,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44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0.7 %</t>
        </is>
      </c>
      <c r="AA5205" s="12">
        <f>N5205*O5205</f>
        <v/>
      </c>
    </row>
    <row r="5206">
      <c r="A5206" s="12" t="inlineStr">
        <is>
          <t>I-P-0042</t>
        </is>
      </c>
      <c r="B5206" s="12" t="inlineStr">
        <is>
          <t>I</t>
        </is>
      </c>
      <c r="C5206" s="12" t="inlineStr">
        <is>
          <t>Modular / portable power</t>
        </is>
      </c>
      <c r="D5206" s="12" t="inlineStr">
        <is>
          <t>GB-3.2 aux power: jacket-water heater, battery charger, enclosure</t>
        </is>
      </c>
      <c r="E5206" s="12" t="inlineStr">
        <is>
          <t>GBC-3</t>
        </is>
      </c>
      <c r="F5206" s="12" t="inlineStr">
        <is>
          <t xml:space="preserve">GBC-3: block GB-3 generator collector box, 480 V outdoor switchboard, </t>
        </is>
      </c>
      <c r="G5206" s="12" t="inlineStr">
        <is>
          <t>GB-3.2</t>
        </is>
      </c>
      <c r="H5206" s="12" t="inlineStr">
        <is>
          <t>GB-3.2: modular gas genset 500 kW, 480 V (block GB-3,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I-P-0043</t>
        </is>
      </c>
      <c r="B5207" s="12" t="inlineStr">
        <is>
          <t>I</t>
        </is>
      </c>
      <c r="C5207" s="12" t="inlineStr">
        <is>
          <t>Modular / portable power</t>
        </is>
      </c>
      <c r="D5207" s="12" t="inlineStr">
        <is>
          <t>GB-3.3 aux power: jacket-water heater, battery charger, enclosure</t>
        </is>
      </c>
      <c r="E5207" s="12" t="inlineStr">
        <is>
          <t>GBC-3</t>
        </is>
      </c>
      <c r="F5207" s="12" t="inlineStr">
        <is>
          <t xml:space="preserve">GBC-3: block GB-3 generator collector box, 480 V outdoor switchboard, </t>
        </is>
      </c>
      <c r="G5207" s="12" t="inlineStr">
        <is>
          <t>GB-3.3</t>
        </is>
      </c>
      <c r="H5207" s="12" t="inlineStr">
        <is>
          <t>GB-3.3: modular gas genset 500 kW, 480 V (block GB-3,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I-P-0044</t>
        </is>
      </c>
      <c r="B5208" s="12" t="inlineStr">
        <is>
          <t>I</t>
        </is>
      </c>
      <c r="C5208" s="12" t="inlineStr">
        <is>
          <t>Modular / portable power</t>
        </is>
      </c>
      <c r="D5208" s="12" t="inlineStr">
        <is>
          <t>GB-3.4 aux power: jacket-water heater, battery charger, enclosure</t>
        </is>
      </c>
      <c r="E5208" s="12" t="inlineStr">
        <is>
          <t>GBC-3</t>
        </is>
      </c>
      <c r="F5208" s="12" t="inlineStr">
        <is>
          <t xml:space="preserve">GBC-3: block GB-3 generator collector box, 480 V outdoor switchboard, </t>
        </is>
      </c>
      <c r="G5208" s="12" t="inlineStr">
        <is>
          <t>GB-3.4</t>
        </is>
      </c>
      <c r="H5208" s="12" t="inlineStr">
        <is>
          <t>GB-3.4: modular gas genset 500 kW, 480 V (block GB-3,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I-P-0045</t>
        </is>
      </c>
      <c r="B5209" s="12" t="inlineStr">
        <is>
          <t>I</t>
        </is>
      </c>
      <c r="C5209" s="12" t="inlineStr">
        <is>
          <t>Modular / portable power</t>
        </is>
      </c>
      <c r="D5209" s="12" t="inlineStr">
        <is>
          <t>GB-3.5 aux power: jacket-water heater, battery charger, enclosure</t>
        </is>
      </c>
      <c r="E5209" s="12" t="inlineStr">
        <is>
          <t>GBC-3</t>
        </is>
      </c>
      <c r="F5209" s="12" t="inlineStr">
        <is>
          <t xml:space="preserve">GBC-3: block GB-3 generator collector box, 480 V outdoor switchboard, </t>
        </is>
      </c>
      <c r="G5209" s="12" t="inlineStr">
        <is>
          <t>GB-3.5</t>
        </is>
      </c>
      <c r="H5209" s="12" t="inlineStr">
        <is>
          <t>GB-3.5: modular gas genset 500 kW, 480 V (block GB-3,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I-P-0046</t>
        </is>
      </c>
      <c r="B5210" s="12" t="inlineStr">
        <is>
          <t>I</t>
        </is>
      </c>
      <c r="C5210" s="12" t="inlineStr">
        <is>
          <t>Modular / portable power</t>
        </is>
      </c>
      <c r="D5210" s="12" t="inlineStr">
        <is>
          <t>GB-4.1 aux power: jacket-water heater, battery charger, enclosure</t>
        </is>
      </c>
      <c r="E5210" s="12" t="inlineStr">
        <is>
          <t>GBC-4</t>
        </is>
      </c>
      <c r="F5210" s="12" t="inlineStr">
        <is>
          <t xml:space="preserve">GBC-4: block GB-4 generator collector box, 480 V outdoor switchboard, </t>
        </is>
      </c>
      <c r="G5210" s="12" t="inlineStr">
        <is>
          <t>GB-4.1</t>
        </is>
      </c>
      <c r="H5210" s="12" t="inlineStr">
        <is>
          <t>GB-4.1: modular gas genset 500 kW, 480 V (block GB-4,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34</v>
      </c>
      <c r="U5210" s="15" t="n">
        <v>36</v>
      </c>
      <c r="V5210" s="15">
        <f>ROUNDUP((T5210+U5210+2*'Read Me'!$B$13)*(1+'Read Me'!$B$12),-1)</f>
        <v/>
      </c>
      <c r="W5210" s="15">
        <f>V5210*N5210*O5210</f>
        <v/>
      </c>
      <c r="X5210" s="12">
        <f>IF(LEFT(I5210,2)="MV",2*N5210*IF(L5210="1/C",O5210,1),0)</f>
        <v/>
      </c>
      <c r="Y5210" s="12">
        <f>IF(OR(LEFT(K5210,4)="LVAX",LEFT(K5210,6)="MV15AX",LEFT(K5210,4)="CTAX",LEFT(K5210,2)="W|"),2*N5210*O5210,0)</f>
        <v/>
      </c>
      <c r="Z5210" s="12" t="inlineStr">
        <is>
          <t>VD 0.6 %</t>
        </is>
      </c>
      <c r="AA5210" s="12">
        <f>N5210*O5210</f>
        <v/>
      </c>
    </row>
    <row r="5211">
      <c r="A5211" s="12" t="inlineStr">
        <is>
          <t>I-P-0047</t>
        </is>
      </c>
      <c r="B5211" s="12" t="inlineStr">
        <is>
          <t>I</t>
        </is>
      </c>
      <c r="C5211" s="12" t="inlineStr">
        <is>
          <t>Modular / portable power</t>
        </is>
      </c>
      <c r="D5211" s="12" t="inlineStr">
        <is>
          <t>GB-4.2 aux power: jacket-water heater, battery charger, enclosure</t>
        </is>
      </c>
      <c r="E5211" s="12" t="inlineStr">
        <is>
          <t>GBC-4</t>
        </is>
      </c>
      <c r="F5211" s="12" t="inlineStr">
        <is>
          <t xml:space="preserve">GBC-4: block GB-4 generator collector box, 480 V outdoor switchboard, </t>
        </is>
      </c>
      <c r="G5211" s="12" t="inlineStr">
        <is>
          <t>GB-4.2</t>
        </is>
      </c>
      <c r="H5211" s="12" t="inlineStr">
        <is>
          <t>GB-4.2: modular gas genset 500 kW, 480 V (block GB-4,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I-P-0048</t>
        </is>
      </c>
      <c r="B5212" s="12" t="inlineStr">
        <is>
          <t>I</t>
        </is>
      </c>
      <c r="C5212" s="12" t="inlineStr">
        <is>
          <t>Modular / portable power</t>
        </is>
      </c>
      <c r="D5212" s="12" t="inlineStr">
        <is>
          <t>GB-4.3 aux power: jacket-water heater, battery charger, enclosure</t>
        </is>
      </c>
      <c r="E5212" s="12" t="inlineStr">
        <is>
          <t>GBC-4</t>
        </is>
      </c>
      <c r="F5212" s="12" t="inlineStr">
        <is>
          <t xml:space="preserve">GBC-4: block GB-4 generator collector box, 480 V outdoor switchboard, </t>
        </is>
      </c>
      <c r="G5212" s="12" t="inlineStr">
        <is>
          <t>GB-4.3</t>
        </is>
      </c>
      <c r="H5212" s="12" t="inlineStr">
        <is>
          <t>GB-4.3: modular gas genset 500 kW, 480 V (block GB-4,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I-P-0049</t>
        </is>
      </c>
      <c r="B5213" s="12" t="inlineStr">
        <is>
          <t>I</t>
        </is>
      </c>
      <c r="C5213" s="12" t="inlineStr">
        <is>
          <t>Modular / portable power</t>
        </is>
      </c>
      <c r="D5213" s="12" t="inlineStr">
        <is>
          <t>GB-4.4 aux power: jacket-water heater, battery charger, enclosure</t>
        </is>
      </c>
      <c r="E5213" s="12" t="inlineStr">
        <is>
          <t>GBC-4</t>
        </is>
      </c>
      <c r="F5213" s="12" t="inlineStr">
        <is>
          <t xml:space="preserve">GBC-4: block GB-4 generator collector box, 480 V outdoor switchboard, </t>
        </is>
      </c>
      <c r="G5213" s="12" t="inlineStr">
        <is>
          <t>GB-4.4</t>
        </is>
      </c>
      <c r="H5213" s="12" t="inlineStr">
        <is>
          <t>GB-4.4: modular gas genset 500 kW, 480 V (block GB-4,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I-P-0050</t>
        </is>
      </c>
      <c r="B5214" s="12" t="inlineStr">
        <is>
          <t>I</t>
        </is>
      </c>
      <c r="C5214" s="12" t="inlineStr">
        <is>
          <t>Modular / portable power</t>
        </is>
      </c>
      <c r="D5214" s="12" t="inlineStr">
        <is>
          <t>GB-4.5 aux power: jacket-water heater, battery charger, enclosure</t>
        </is>
      </c>
      <c r="E5214" s="12" t="inlineStr">
        <is>
          <t>GBC-4</t>
        </is>
      </c>
      <c r="F5214" s="12" t="inlineStr">
        <is>
          <t xml:space="preserve">GBC-4: block GB-4 generator collector box, 480 V outdoor switchboard, </t>
        </is>
      </c>
      <c r="G5214" s="12" t="inlineStr">
        <is>
          <t>GB-4.5</t>
        </is>
      </c>
      <c r="H5214" s="12" t="inlineStr">
        <is>
          <t>GB-4.5: modular gas genset 500 kW, 480 V (block GB-4,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I-P-0051</t>
        </is>
      </c>
      <c r="B5215" s="12" t="inlineStr">
        <is>
          <t>I</t>
        </is>
      </c>
      <c r="C5215" s="12" t="inlineStr">
        <is>
          <t>Modular / portable power</t>
        </is>
      </c>
      <c r="D5215" s="12" t="inlineStr">
        <is>
          <t>L1 GB-1.1 480 V generator leads to GBC-1</t>
        </is>
      </c>
      <c r="E5215" s="12" t="inlineStr">
        <is>
          <t>GB-1.1</t>
        </is>
      </c>
      <c r="F5215" s="12" t="inlineStr">
        <is>
          <t>GB-1.1: modular gas genset 500 kW, 480 V (block GB-1, unit 1 of 5)</t>
        </is>
      </c>
      <c r="G5215" s="12" t="inlineStr">
        <is>
          <t>GBC-1</t>
        </is>
      </c>
      <c r="H5215" s="12" t="inlineStr">
        <is>
          <t xml:space="preserve">GBC-1: block GB-1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I-P-0052</t>
        </is>
      </c>
      <c r="B5216" s="12" t="inlineStr">
        <is>
          <t>I</t>
        </is>
      </c>
      <c r="C5216" s="12" t="inlineStr">
        <is>
          <t>Modular / portable power</t>
        </is>
      </c>
      <c r="D5216" s="12" t="inlineStr">
        <is>
          <t>L1 GB-1.2 480 V generator leads to GBC-1</t>
        </is>
      </c>
      <c r="E5216" s="12" t="inlineStr">
        <is>
          <t>GB-1.2</t>
        </is>
      </c>
      <c r="F5216" s="12" t="inlineStr">
        <is>
          <t>GB-1.2: modular gas genset 500 kW, 480 V (block GB-1, unit 2 of 5)</t>
        </is>
      </c>
      <c r="G5216" s="12" t="inlineStr">
        <is>
          <t>GBC-1</t>
        </is>
      </c>
      <c r="H5216" s="12" t="inlineStr">
        <is>
          <t xml:space="preserve">GBC-1: block GB-1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I-P-0053</t>
        </is>
      </c>
      <c r="B5217" s="12" t="inlineStr">
        <is>
          <t>I</t>
        </is>
      </c>
      <c r="C5217" s="12" t="inlineStr">
        <is>
          <t>Modular / portable power</t>
        </is>
      </c>
      <c r="D5217" s="12" t="inlineStr">
        <is>
          <t>L1 GB-1.3 480 V generator leads to GBC-1</t>
        </is>
      </c>
      <c r="E5217" s="12" t="inlineStr">
        <is>
          <t>GB-1.3</t>
        </is>
      </c>
      <c r="F5217" s="12" t="inlineStr">
        <is>
          <t>GB-1.3: modular gas genset 500 kW, 480 V (block GB-1, unit 3 of 5)</t>
        </is>
      </c>
      <c r="G5217" s="12" t="inlineStr">
        <is>
          <t>GBC-1</t>
        </is>
      </c>
      <c r="H5217" s="12" t="inlineStr">
        <is>
          <t xml:space="preserve">GBC-1: block GB-1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I-P-0054</t>
        </is>
      </c>
      <c r="B5218" s="12" t="inlineStr">
        <is>
          <t>I</t>
        </is>
      </c>
      <c r="C5218" s="12" t="inlineStr">
        <is>
          <t>Modular / portable power</t>
        </is>
      </c>
      <c r="D5218" s="12" t="inlineStr">
        <is>
          <t>L1 GB-1.4 480 V generator leads to GBC-1</t>
        </is>
      </c>
      <c r="E5218" s="12" t="inlineStr">
        <is>
          <t>GB-1.4</t>
        </is>
      </c>
      <c r="F5218" s="12" t="inlineStr">
        <is>
          <t>GB-1.4: modular gas genset 500 kW, 480 V (block GB-1, unit 4 of 5)</t>
        </is>
      </c>
      <c r="G5218" s="12" t="inlineStr">
        <is>
          <t>GBC-1</t>
        </is>
      </c>
      <c r="H5218" s="12" t="inlineStr">
        <is>
          <t xml:space="preserve">GBC-1: block GB-1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I-P-0055</t>
        </is>
      </c>
      <c r="B5219" s="12" t="inlineStr">
        <is>
          <t>I</t>
        </is>
      </c>
      <c r="C5219" s="12" t="inlineStr">
        <is>
          <t>Modular / portable power</t>
        </is>
      </c>
      <c r="D5219" s="12" t="inlineStr">
        <is>
          <t>L1 GB-1.5 480 V generator leads to GBC-1</t>
        </is>
      </c>
      <c r="E5219" s="12" t="inlineStr">
        <is>
          <t>GB-1.5</t>
        </is>
      </c>
      <c r="F5219" s="12" t="inlineStr">
        <is>
          <t>GB-1.5: modular gas genset 500 kW, 480 V (block GB-1, unit 5 of 5)</t>
        </is>
      </c>
      <c r="G5219" s="12" t="inlineStr">
        <is>
          <t>GBC-1</t>
        </is>
      </c>
      <c r="H5219" s="12" t="inlineStr">
        <is>
          <t xml:space="preserve">GBC-1: block GB-1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I-P-0056</t>
        </is>
      </c>
      <c r="B5220" s="12" t="inlineStr">
        <is>
          <t>I</t>
        </is>
      </c>
      <c r="C5220" s="12" t="inlineStr">
        <is>
          <t>Modular / portable power</t>
        </is>
      </c>
      <c r="D5220" s="12" t="inlineStr">
        <is>
          <t>L1 GB-2.1 480 V generator leads to GBC-2</t>
        </is>
      </c>
      <c r="E5220" s="12" t="inlineStr">
        <is>
          <t>GB-2.1</t>
        </is>
      </c>
      <c r="F5220" s="12" t="inlineStr">
        <is>
          <t>GB-2.1: modular gas genset 500 kW, 480 V (block GB-2, unit 1 of 5)</t>
        </is>
      </c>
      <c r="G5220" s="12" t="inlineStr">
        <is>
          <t>GBC-2</t>
        </is>
      </c>
      <c r="H5220" s="12" t="inlineStr">
        <is>
          <t xml:space="preserve">GBC-2: block GB-2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I-P-0057</t>
        </is>
      </c>
      <c r="B5221" s="12" t="inlineStr">
        <is>
          <t>I</t>
        </is>
      </c>
      <c r="C5221" s="12" t="inlineStr">
        <is>
          <t>Modular / portable power</t>
        </is>
      </c>
      <c r="D5221" s="12" t="inlineStr">
        <is>
          <t>L1 GB-2.2 480 V generator leads to GBC-2</t>
        </is>
      </c>
      <c r="E5221" s="12" t="inlineStr">
        <is>
          <t>GB-2.2</t>
        </is>
      </c>
      <c r="F5221" s="12" t="inlineStr">
        <is>
          <t>GB-2.2: modular gas genset 500 kW, 480 V (block GB-2, unit 2 of 5)</t>
        </is>
      </c>
      <c r="G5221" s="12" t="inlineStr">
        <is>
          <t>GBC-2</t>
        </is>
      </c>
      <c r="H5221" s="12" t="inlineStr">
        <is>
          <t xml:space="preserve">GBC-2: block GB-2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I-P-0058</t>
        </is>
      </c>
      <c r="B5222" s="12" t="inlineStr">
        <is>
          <t>I</t>
        </is>
      </c>
      <c r="C5222" s="12" t="inlineStr">
        <is>
          <t>Modular / portable power</t>
        </is>
      </c>
      <c r="D5222" s="12" t="inlineStr">
        <is>
          <t>L1 GB-2.3 480 V generator leads to GBC-2</t>
        </is>
      </c>
      <c r="E5222" s="12" t="inlineStr">
        <is>
          <t>GB-2.3</t>
        </is>
      </c>
      <c r="F5222" s="12" t="inlineStr">
        <is>
          <t>GB-2.3: modular gas genset 500 kW, 480 V (block GB-2, unit 3 of 5)</t>
        </is>
      </c>
      <c r="G5222" s="12" t="inlineStr">
        <is>
          <t>GBC-2</t>
        </is>
      </c>
      <c r="H5222" s="12" t="inlineStr">
        <is>
          <t xml:space="preserve">GBC-2: block GB-2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I-P-0059</t>
        </is>
      </c>
      <c r="B5223" s="12" t="inlineStr">
        <is>
          <t>I</t>
        </is>
      </c>
      <c r="C5223" s="12" t="inlineStr">
        <is>
          <t>Modular / portable power</t>
        </is>
      </c>
      <c r="D5223" s="12" t="inlineStr">
        <is>
          <t>L1 GB-2.4 480 V generator leads to GBC-2</t>
        </is>
      </c>
      <c r="E5223" s="12" t="inlineStr">
        <is>
          <t>GB-2.4</t>
        </is>
      </c>
      <c r="F5223" s="12" t="inlineStr">
        <is>
          <t>GB-2.4: modular gas genset 500 kW, 480 V (block GB-2, unit 4 of 5)</t>
        </is>
      </c>
      <c r="G5223" s="12" t="inlineStr">
        <is>
          <t>GBC-2</t>
        </is>
      </c>
      <c r="H5223" s="12" t="inlineStr">
        <is>
          <t xml:space="preserve">GBC-2: block GB-2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I-P-0060</t>
        </is>
      </c>
      <c r="B5224" s="12" t="inlineStr">
        <is>
          <t>I</t>
        </is>
      </c>
      <c r="C5224" s="12" t="inlineStr">
        <is>
          <t>Modular / portable power</t>
        </is>
      </c>
      <c r="D5224" s="12" t="inlineStr">
        <is>
          <t>L1 GB-2.5 480 V generator leads to GBC-2</t>
        </is>
      </c>
      <c r="E5224" s="12" t="inlineStr">
        <is>
          <t>GB-2.5</t>
        </is>
      </c>
      <c r="F5224" s="12" t="inlineStr">
        <is>
          <t>GB-2.5: modular gas genset 500 kW, 480 V (block GB-2, unit 5 of 5)</t>
        </is>
      </c>
      <c r="G5224" s="12" t="inlineStr">
        <is>
          <t>GBC-2</t>
        </is>
      </c>
      <c r="H5224" s="12" t="inlineStr">
        <is>
          <t xml:space="preserve">GBC-2: block GB-2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I-P-0061</t>
        </is>
      </c>
      <c r="B5225" s="12" t="inlineStr">
        <is>
          <t>I</t>
        </is>
      </c>
      <c r="C5225" s="12" t="inlineStr">
        <is>
          <t>Modular / portable power</t>
        </is>
      </c>
      <c r="D5225" s="12" t="inlineStr">
        <is>
          <t>L1 GB-3.1 480 V generator leads to GBC-3</t>
        </is>
      </c>
      <c r="E5225" s="12" t="inlineStr">
        <is>
          <t>GB-3.1</t>
        </is>
      </c>
      <c r="F5225" s="12" t="inlineStr">
        <is>
          <t>GB-3.1: modular gas genset 500 kW, 480 V (block GB-3, unit 1 of 5)</t>
        </is>
      </c>
      <c r="G5225" s="12" t="inlineStr">
        <is>
          <t>GBC-3</t>
        </is>
      </c>
      <c r="H5225" s="12" t="inlineStr">
        <is>
          <t xml:space="preserve">GBC-3: block GB-3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I-P-0062</t>
        </is>
      </c>
      <c r="B5226" s="12" t="inlineStr">
        <is>
          <t>I</t>
        </is>
      </c>
      <c r="C5226" s="12" t="inlineStr">
        <is>
          <t>Modular / portable power</t>
        </is>
      </c>
      <c r="D5226" s="12" t="inlineStr">
        <is>
          <t>L1 GB-3.2 480 V generator leads to GBC-3</t>
        </is>
      </c>
      <c r="E5226" s="12" t="inlineStr">
        <is>
          <t>GB-3.2</t>
        </is>
      </c>
      <c r="F5226" s="12" t="inlineStr">
        <is>
          <t>GB-3.2: modular gas genset 500 kW, 480 V (block GB-3, unit 2 of 5)</t>
        </is>
      </c>
      <c r="G5226" s="12" t="inlineStr">
        <is>
          <t>GBC-3</t>
        </is>
      </c>
      <c r="H5226" s="12" t="inlineStr">
        <is>
          <t xml:space="preserve">GBC-3: block GB-3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I-P-0063</t>
        </is>
      </c>
      <c r="B5227" s="12" t="inlineStr">
        <is>
          <t>I</t>
        </is>
      </c>
      <c r="C5227" s="12" t="inlineStr">
        <is>
          <t>Modular / portable power</t>
        </is>
      </c>
      <c r="D5227" s="12" t="inlineStr">
        <is>
          <t>L1 GB-3.3 480 V generator leads to GBC-3</t>
        </is>
      </c>
      <c r="E5227" s="12" t="inlineStr">
        <is>
          <t>GB-3.3</t>
        </is>
      </c>
      <c r="F5227" s="12" t="inlineStr">
        <is>
          <t>GB-3.3: modular gas genset 500 kW, 480 V (block GB-3, unit 3 of 5)</t>
        </is>
      </c>
      <c r="G5227" s="12" t="inlineStr">
        <is>
          <t>GBC-3</t>
        </is>
      </c>
      <c r="H5227" s="12" t="inlineStr">
        <is>
          <t xml:space="preserve">GBC-3: block GB-3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I-P-0064</t>
        </is>
      </c>
      <c r="B5228" s="12" t="inlineStr">
        <is>
          <t>I</t>
        </is>
      </c>
      <c r="C5228" s="12" t="inlineStr">
        <is>
          <t>Modular / portable power</t>
        </is>
      </c>
      <c r="D5228" s="12" t="inlineStr">
        <is>
          <t>L1 GB-3.4 480 V generator leads to GBC-3</t>
        </is>
      </c>
      <c r="E5228" s="12" t="inlineStr">
        <is>
          <t>GB-3.4</t>
        </is>
      </c>
      <c r="F5228" s="12" t="inlineStr">
        <is>
          <t>GB-3.4: modular gas genset 500 kW, 480 V (block GB-3, unit 4 of 5)</t>
        </is>
      </c>
      <c r="G5228" s="12" t="inlineStr">
        <is>
          <t>GBC-3</t>
        </is>
      </c>
      <c r="H5228" s="12" t="inlineStr">
        <is>
          <t xml:space="preserve">GBC-3: block GB-3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I-P-0065</t>
        </is>
      </c>
      <c r="B5229" s="12" t="inlineStr">
        <is>
          <t>I</t>
        </is>
      </c>
      <c r="C5229" s="12" t="inlineStr">
        <is>
          <t>Modular / portable power</t>
        </is>
      </c>
      <c r="D5229" s="12" t="inlineStr">
        <is>
          <t>L1 GB-3.5 480 V generator leads to GBC-3</t>
        </is>
      </c>
      <c r="E5229" s="12" t="inlineStr">
        <is>
          <t>GB-3.5</t>
        </is>
      </c>
      <c r="F5229" s="12" t="inlineStr">
        <is>
          <t>GB-3.5: modular gas genset 500 kW, 480 V (block GB-3, unit 5 of 5)</t>
        </is>
      </c>
      <c r="G5229" s="12" t="inlineStr">
        <is>
          <t>GBC-3</t>
        </is>
      </c>
      <c r="H5229" s="12" t="inlineStr">
        <is>
          <t xml:space="preserve">GBC-3: block GB-3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I-P-0066</t>
        </is>
      </c>
      <c r="B5230" s="12" t="inlineStr">
        <is>
          <t>I</t>
        </is>
      </c>
      <c r="C5230" s="12" t="inlineStr">
        <is>
          <t>Modular / portable power</t>
        </is>
      </c>
      <c r="D5230" s="12" t="inlineStr">
        <is>
          <t>L1 GB-4.1 480 V generator leads to GBC-4</t>
        </is>
      </c>
      <c r="E5230" s="12" t="inlineStr">
        <is>
          <t>GB-4.1</t>
        </is>
      </c>
      <c r="F5230" s="12" t="inlineStr">
        <is>
          <t>GB-4.1: modular gas genset 500 kW, 480 V (block GB-4, unit 1 of 5)</t>
        </is>
      </c>
      <c r="G5230" s="12" t="inlineStr">
        <is>
          <t>GBC-4</t>
        </is>
      </c>
      <c r="H5230" s="12" t="inlineStr">
        <is>
          <t xml:space="preserve">GBC-4: block GB-4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42</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I-P-0067</t>
        </is>
      </c>
      <c r="B5231" s="12" t="inlineStr">
        <is>
          <t>I</t>
        </is>
      </c>
      <c r="C5231" s="12" t="inlineStr">
        <is>
          <t>Modular / portable power</t>
        </is>
      </c>
      <c r="D5231" s="12" t="inlineStr">
        <is>
          <t>L1 GB-4.2 480 V generator leads to GBC-4</t>
        </is>
      </c>
      <c r="E5231" s="12" t="inlineStr">
        <is>
          <t>GB-4.2</t>
        </is>
      </c>
      <c r="F5231" s="12" t="inlineStr">
        <is>
          <t>GB-4.2: modular gas genset 500 kW, 480 V (block GB-4, unit 2 of 5)</t>
        </is>
      </c>
      <c r="G5231" s="12" t="inlineStr">
        <is>
          <t>GBC-4</t>
        </is>
      </c>
      <c r="H5231" s="12" t="inlineStr">
        <is>
          <t xml:space="preserve">GBC-4: block GB-4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I-P-0068</t>
        </is>
      </c>
      <c r="B5232" s="12" t="inlineStr">
        <is>
          <t>I</t>
        </is>
      </c>
      <c r="C5232" s="12" t="inlineStr">
        <is>
          <t>Modular / portable power</t>
        </is>
      </c>
      <c r="D5232" s="12" t="inlineStr">
        <is>
          <t>L1 GB-4.3 480 V generator leads to GBC-4</t>
        </is>
      </c>
      <c r="E5232" s="12" t="inlineStr">
        <is>
          <t>GB-4.3</t>
        </is>
      </c>
      <c r="F5232" s="12" t="inlineStr">
        <is>
          <t>GB-4.3: modular gas genset 500 kW, 480 V (block GB-4, unit 3 of 5)</t>
        </is>
      </c>
      <c r="G5232" s="12" t="inlineStr">
        <is>
          <t>GBC-4</t>
        </is>
      </c>
      <c r="H5232" s="12" t="inlineStr">
        <is>
          <t xml:space="preserve">GBC-4: block GB-4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I-P-0069</t>
        </is>
      </c>
      <c r="B5233" s="12" t="inlineStr">
        <is>
          <t>I</t>
        </is>
      </c>
      <c r="C5233" s="12" t="inlineStr">
        <is>
          <t>Modular / portable power</t>
        </is>
      </c>
      <c r="D5233" s="12" t="inlineStr">
        <is>
          <t>L1 GB-4.4 480 V generator leads to GBC-4</t>
        </is>
      </c>
      <c r="E5233" s="12" t="inlineStr">
        <is>
          <t>GB-4.4</t>
        </is>
      </c>
      <c r="F5233" s="12" t="inlineStr">
        <is>
          <t>GB-4.4: modular gas genset 500 kW, 480 V (block GB-4, unit 4 of 5)</t>
        </is>
      </c>
      <c r="G5233" s="12" t="inlineStr">
        <is>
          <t>GBC-4</t>
        </is>
      </c>
      <c r="H5233" s="12" t="inlineStr">
        <is>
          <t xml:space="preserve">GBC-4: block GB-4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I-P-0070</t>
        </is>
      </c>
      <c r="B5234" s="12" t="inlineStr">
        <is>
          <t>I</t>
        </is>
      </c>
      <c r="C5234" s="12" t="inlineStr">
        <is>
          <t>Modular / portable power</t>
        </is>
      </c>
      <c r="D5234" s="12" t="inlineStr">
        <is>
          <t>L1 GB-4.5 480 V generator leads to GBC-4</t>
        </is>
      </c>
      <c r="E5234" s="12" t="inlineStr">
        <is>
          <t>GB-4.5</t>
        </is>
      </c>
      <c r="F5234" s="12" t="inlineStr">
        <is>
          <t>GB-4.5: modular gas genset 500 kW, 480 V (block GB-4, unit 5 of 5)</t>
        </is>
      </c>
      <c r="G5234" s="12" t="inlineStr">
        <is>
          <t>GBC-4</t>
        </is>
      </c>
      <c r="H5234" s="12" t="inlineStr">
        <is>
          <t xml:space="preserve">GBC-4: block GB-4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I-P-0071</t>
        </is>
      </c>
      <c r="B5235" s="12" t="inlineStr">
        <is>
          <t>I</t>
        </is>
      </c>
      <c r="C5235" s="12" t="inlineStr">
        <is>
          <t>Modular / portable power</t>
        </is>
      </c>
      <c r="D5235" s="12" t="inlineStr">
        <is>
          <t>L2 GBC-1 to GBT-1 480 V block feed</t>
        </is>
      </c>
      <c r="E5235" s="12" t="inlineStr">
        <is>
          <t>GBC-1</t>
        </is>
      </c>
      <c r="F5235" s="12" t="inlineStr">
        <is>
          <t xml:space="preserve">GBC-1: block GB-1 generator collector box, 480 V outdoor switchboard, </t>
        </is>
      </c>
      <c r="G5235" s="12" t="inlineStr">
        <is>
          <t>GBT-1</t>
        </is>
      </c>
      <c r="H5235" s="12" t="inlineStr">
        <is>
          <t>GBT-1: block GB-1 step-up 480 V : 34.5 kV, ~3 MVA pad-mount (on the 35</t>
        </is>
      </c>
      <c r="I5235" s="12" t="inlineStr">
        <is>
          <t>LV 600 V</t>
        </is>
      </c>
      <c r="J5235" s="12" t="inlineStr">
        <is>
          <t>XHHW-2 600 V 1/C Cu (feeder sets in tray / duct)</t>
        </is>
      </c>
      <c r="K5235" s="12" t="inlineStr">
        <is>
          <t>LV1C|1/C|600</t>
        </is>
      </c>
      <c r="L5235" s="12" t="inlineStr">
        <is>
          <t>1/C</t>
        </is>
      </c>
      <c r="M5235" s="12" t="inlineStr">
        <is>
          <t>600 kcmil</t>
        </is>
      </c>
      <c r="N5235" s="12" t="n">
        <v>8</v>
      </c>
      <c r="O5235" s="12" t="n">
        <v>4</v>
      </c>
      <c r="P5235" s="12" t="n">
        <v>480</v>
      </c>
      <c r="Q5235" s="12" t="n">
        <v>2500</v>
      </c>
      <c r="R5235" s="12" t="n">
        <v>3007</v>
      </c>
      <c r="S5235" s="12" t="inlineStr">
        <is>
          <t>Riser</t>
        </is>
      </c>
      <c r="T5235" s="15" t="n">
        <v>2</v>
      </c>
      <c r="U5235" s="15" t="n">
        <v>27</v>
      </c>
      <c r="V5235" s="15">
        <f>ROUNDUP((T5235+U5235+2*'Read Me'!$B$13)*(1+'Read Me'!$B$12),-1)</f>
        <v/>
      </c>
      <c r="W5235" s="15">
        <f>V5235*N5235*O5235</f>
        <v/>
      </c>
      <c r="X5235" s="12">
        <f>IF(LEFT(I5235,2)="MV",2*N5235*IF(L5235="1/C",O5235,1),0)</f>
        <v/>
      </c>
      <c r="Y5235" s="12">
        <f>IF(OR(LEFT(K5235,4)="LVAX",LEFT(K5235,6)="MV15AX",LEFT(K5235,4)="CTAX",LEFT(K5235,2)="W|"),2*N5235*O5235,0)</f>
        <v/>
      </c>
      <c r="Z5235" s="12" t="inlineStr">
        <is>
          <t>8 sets of 4 x 1/C (or bus duct, TO VERIFY)</t>
        </is>
      </c>
      <c r="AA5235" s="12">
        <f>N5235*O5235</f>
        <v/>
      </c>
    </row>
    <row r="5236">
      <c r="A5236" s="12" t="inlineStr">
        <is>
          <t>I-P-0072</t>
        </is>
      </c>
      <c r="B5236" s="12" t="inlineStr">
        <is>
          <t>I</t>
        </is>
      </c>
      <c r="C5236" s="12" t="inlineStr">
        <is>
          <t>Modular / portable power</t>
        </is>
      </c>
      <c r="D5236" s="12" t="inlineStr">
        <is>
          <t>L2 GBC-2 to GBT-2 480 V block feed</t>
        </is>
      </c>
      <c r="E5236" s="12" t="inlineStr">
        <is>
          <t>GBC-2</t>
        </is>
      </c>
      <c r="F5236" s="12" t="inlineStr">
        <is>
          <t xml:space="preserve">GBC-2: block GB-2 generator collector box, 480 V outdoor switchboard, </t>
        </is>
      </c>
      <c r="G5236" s="12" t="inlineStr">
        <is>
          <t>GBT-2</t>
        </is>
      </c>
      <c r="H5236" s="12" t="inlineStr">
        <is>
          <t>GBT-2: block GB-2 step-up 480 V : 34.5 kV, ~3 MVA pad-mount (on the 35</t>
        </is>
      </c>
      <c r="I5236" s="12" t="inlineStr">
        <is>
          <t>LV 600 V</t>
        </is>
      </c>
      <c r="J5236" s="12" t="inlineStr">
        <is>
          <t>XHHW-2 600 V 1/C Cu (feeder sets in tray / duct)</t>
        </is>
      </c>
      <c r="K5236" s="12" t="inlineStr">
        <is>
          <t>LV1C|1/C|600</t>
        </is>
      </c>
      <c r="L5236" s="12" t="inlineStr">
        <is>
          <t>1/C</t>
        </is>
      </c>
      <c r="M5236" s="12" t="inlineStr">
        <is>
          <t>600 kcmil</t>
        </is>
      </c>
      <c r="N5236" s="12" t="n">
        <v>8</v>
      </c>
      <c r="O5236" s="12" t="n">
        <v>4</v>
      </c>
      <c r="P5236" s="12" t="n">
        <v>480</v>
      </c>
      <c r="Q5236" s="12" t="n">
        <v>2500</v>
      </c>
      <c r="R5236" s="12" t="n">
        <v>3007</v>
      </c>
      <c r="S5236" s="12" t="inlineStr">
        <is>
          <t>Riser</t>
        </is>
      </c>
      <c r="T5236" s="15" t="n">
        <v>2</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8 sets of 4 x 1/C (or bus duct, TO VERIFY)</t>
        </is>
      </c>
      <c r="AA5236" s="12">
        <f>N5236*O5236</f>
        <v/>
      </c>
    </row>
    <row r="5237">
      <c r="A5237" s="12" t="inlineStr">
        <is>
          <t>I-P-0073</t>
        </is>
      </c>
      <c r="B5237" s="12" t="inlineStr">
        <is>
          <t>I</t>
        </is>
      </c>
      <c r="C5237" s="12" t="inlineStr">
        <is>
          <t>Modular / portable power</t>
        </is>
      </c>
      <c r="D5237" s="12" t="inlineStr">
        <is>
          <t>L2 GBC-3 to GBT-3 480 V block feed</t>
        </is>
      </c>
      <c r="E5237" s="12" t="inlineStr">
        <is>
          <t>GBC-3</t>
        </is>
      </c>
      <c r="F5237" s="12" t="inlineStr">
        <is>
          <t xml:space="preserve">GBC-3: block GB-3 generator collector box, 480 V outdoor switchboard, </t>
        </is>
      </c>
      <c r="G5237" s="12" t="inlineStr">
        <is>
          <t>GBT-3</t>
        </is>
      </c>
      <c r="H5237" s="12" t="inlineStr">
        <is>
          <t>GBT-3: block GB-3 step-up 480 V : 34.5 kV, ~3 MVA pad-mount (on the 35</t>
        </is>
      </c>
      <c r="I5237" s="12" t="inlineStr">
        <is>
          <t>LV 600 V</t>
        </is>
      </c>
      <c r="J5237" s="12" t="inlineStr">
        <is>
          <t>XHHW-2 600 V 1/C Cu (feeder sets in tray / duct)</t>
        </is>
      </c>
      <c r="K5237" s="12" t="inlineStr">
        <is>
          <t>LV1C|1/C|600</t>
        </is>
      </c>
      <c r="L5237" s="12" t="inlineStr">
        <is>
          <t>1/C</t>
        </is>
      </c>
      <c r="M5237" s="12" t="inlineStr">
        <is>
          <t>600 kcmil</t>
        </is>
      </c>
      <c r="N5237" s="12" t="n">
        <v>8</v>
      </c>
      <c r="O5237" s="12" t="n">
        <v>4</v>
      </c>
      <c r="P5237" s="12" t="n">
        <v>480</v>
      </c>
      <c r="Q5237" s="12" t="n">
        <v>2500</v>
      </c>
      <c r="R5237" s="12" t="n">
        <v>3007</v>
      </c>
      <c r="S5237" s="12" t="inlineStr">
        <is>
          <t>Riser</t>
        </is>
      </c>
      <c r="T5237" s="15" t="n">
        <v>2</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8 sets of 4 x 1/C (or bus duct, TO VERIFY)</t>
        </is>
      </c>
      <c r="AA5237" s="12">
        <f>N5237*O5237</f>
        <v/>
      </c>
    </row>
    <row r="5238">
      <c r="A5238" s="12" t="inlineStr">
        <is>
          <t>I-P-0074</t>
        </is>
      </c>
      <c r="B5238" s="12" t="inlineStr">
        <is>
          <t>I</t>
        </is>
      </c>
      <c r="C5238" s="12" t="inlineStr">
        <is>
          <t>Modular / portable power</t>
        </is>
      </c>
      <c r="D5238" s="12" t="inlineStr">
        <is>
          <t>L2 GBC-4 to GBT-4 480 V block feed</t>
        </is>
      </c>
      <c r="E5238" s="12" t="inlineStr">
        <is>
          <t>GBC-4</t>
        </is>
      </c>
      <c r="F5238" s="12" t="inlineStr">
        <is>
          <t xml:space="preserve">GBC-4: block GB-4 generator collector box, 480 V outdoor switchboard, </t>
        </is>
      </c>
      <c r="G5238" s="12" t="inlineStr">
        <is>
          <t>GBT-4</t>
        </is>
      </c>
      <c r="H5238" s="12" t="inlineStr">
        <is>
          <t>GBT-4: block GB-4 step-up 480 V : 34.5 kV, ~3 MVA pad-mount (on the 35</t>
        </is>
      </c>
      <c r="I5238" s="12" t="inlineStr">
        <is>
          <t>LV 600 V</t>
        </is>
      </c>
      <c r="J5238" s="12" t="inlineStr">
        <is>
          <t>XHHW-2 600 V 1/C Cu (feeder sets in tray / duct)</t>
        </is>
      </c>
      <c r="K5238" s="12" t="inlineStr">
        <is>
          <t>LV1C|1/C|600</t>
        </is>
      </c>
      <c r="L5238" s="12" t="inlineStr">
        <is>
          <t>1/C</t>
        </is>
      </c>
      <c r="M5238" s="12" t="inlineStr">
        <is>
          <t>600 kcmil</t>
        </is>
      </c>
      <c r="N5238" s="12" t="n">
        <v>8</v>
      </c>
      <c r="O5238" s="12" t="n">
        <v>4</v>
      </c>
      <c r="P5238" s="12" t="n">
        <v>480</v>
      </c>
      <c r="Q5238" s="12" t="n">
        <v>2500</v>
      </c>
      <c r="R5238" s="12" t="n">
        <v>3007</v>
      </c>
      <c r="S5238" s="12" t="inlineStr">
        <is>
          <t>Riser</t>
        </is>
      </c>
      <c r="T5238" s="15" t="n">
        <v>2</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8 sets of 4 x 1/C (or bus duct, TO VERIFY)</t>
        </is>
      </c>
      <c r="AA5238" s="12">
        <f>N5238*O5238</f>
        <v/>
      </c>
    </row>
    <row r="5239">
      <c r="A5239" s="12" t="inlineStr">
        <is>
          <t>I-P-0075</t>
        </is>
      </c>
      <c r="B5239" s="12" t="inlineStr">
        <is>
          <t>I</t>
        </is>
      </c>
      <c r="C5239" s="12" t="inlineStr">
        <is>
          <t>Modular / portable power</t>
        </is>
      </c>
      <c r="D5239" s="12" t="inlineStr">
        <is>
          <t>LV power feeder</t>
        </is>
      </c>
      <c r="E5239" s="12" t="inlineStr"/>
      <c r="F5239" s="12" t="inlineStr">
        <is>
          <t>PCM: power control module</t>
        </is>
      </c>
      <c r="G5239" s="12" t="inlineStr"/>
      <c r="H5239" s="12" t="inlineStr">
        <is>
          <t>Gas conditioning skid</t>
        </is>
      </c>
      <c r="I5239" s="12" t="inlineStr">
        <is>
          <t>LV 600 V</t>
        </is>
      </c>
      <c r="J5239" s="12" t="inlineStr">
        <is>
          <t>ARMOR-X MC-HL 600 V 3/C Cu XHHW-2 + ground, CWA, black PVC (Class I Div 2)</t>
        </is>
      </c>
      <c r="K5239" s="12" t="inlineStr">
        <is>
          <t>LVAX|3/C+G|4</t>
        </is>
      </c>
      <c r="L5239" s="12" t="inlineStr">
        <is>
          <t>3/C+G</t>
        </is>
      </c>
      <c r="M5239" s="12" t="inlineStr">
        <is>
          <t>4</t>
        </is>
      </c>
      <c r="N5239" s="12" t="n">
        <v>1</v>
      </c>
      <c r="O5239" s="12" t="n">
        <v>1</v>
      </c>
      <c r="P5239" s="12" t="n">
        <v>480</v>
      </c>
      <c r="Q5239" s="12" t="n">
        <v>30</v>
      </c>
      <c r="R5239" s="12" t="n">
        <v>42.5</v>
      </c>
      <c r="S5239" s="12" t="inlineStr">
        <is>
          <t>Duct bank</t>
        </is>
      </c>
      <c r="T5239" s="15" t="n">
        <v>258</v>
      </c>
      <c r="U5239" s="15" t="n">
        <v>172</v>
      </c>
      <c r="V5239" s="15">
        <f>ROUNDUP((T5239+U5239+2*'Read Me'!$B$13)*(1+'Read Me'!$B$12),-1)</f>
        <v/>
      </c>
      <c r="W5239" s="15">
        <f>V5239*N5239*O5239</f>
        <v/>
      </c>
      <c r="X5239" s="12">
        <f>IF(LEFT(I5239,2)="MV",2*N5239*IF(L5239="1/C",O5239,1),0)</f>
        <v/>
      </c>
      <c r="Y5239" s="12">
        <f>IF(OR(LEFT(K5239,4)="LVAX",LEFT(K5239,6)="MV15AX",LEFT(K5239,4)="CTAX",LEFT(K5239,2)="W|"),2*N5239*O5239,0)</f>
        <v/>
      </c>
      <c r="Z5239" s="12" t="inlineStr">
        <is>
          <t>VD 2.2 %</t>
        </is>
      </c>
      <c r="AA5239" s="12">
        <f>N5239*O5239</f>
        <v/>
      </c>
    </row>
    <row r="5240">
      <c r="A5240" s="12" t="inlineStr">
        <is>
          <t>I-P-0076</t>
        </is>
      </c>
      <c r="B5240" s="12" t="inlineStr">
        <is>
          <t>I</t>
        </is>
      </c>
      <c r="C5240" s="12" t="inlineStr">
        <is>
          <t>Modular / portable power</t>
        </is>
      </c>
      <c r="D5240" s="12" t="inlineStr">
        <is>
          <t>IG-1 package auxiliaries 480 V (from the unit auxiliary transformer in the control module)</t>
        </is>
      </c>
      <c r="E5240" s="12" t="inlineStr">
        <is>
          <t>IG-1</t>
        </is>
      </c>
      <c r="F5240" s="12" t="inlineStr">
        <is>
          <t>IG-1: industrial gas-turbine installation, SGT-800 / H-25 class (~50 M</t>
        </is>
      </c>
      <c r="G5240" s="12" t="inlineStr">
        <is>
          <t>IG-1</t>
        </is>
      </c>
      <c r="H5240" s="12" t="inlineStr">
        <is>
          <t>IG-1: industrial gas-turbine installation, SGT-800 / H-25 class (~50 M</t>
        </is>
      </c>
      <c r="I5240" s="12" t="inlineStr">
        <is>
          <t>LV 600 V</t>
        </is>
      </c>
      <c r="J5240" s="12" t="inlineStr">
        <is>
          <t>Type TC-ER 600 V 3/C Cu XHHW-2 + ground, PVC jacket</t>
        </is>
      </c>
      <c r="K5240" s="12" t="inlineStr">
        <is>
          <t>LV|3/C+G|500</t>
        </is>
      </c>
      <c r="L5240" s="12" t="inlineStr">
        <is>
          <t>3/C+G</t>
        </is>
      </c>
      <c r="M5240" s="12" t="inlineStr">
        <is>
          <t>500 kcmil</t>
        </is>
      </c>
      <c r="N5240" s="12" t="n">
        <v>2</v>
      </c>
      <c r="O5240" s="12" t="n">
        <v>1</v>
      </c>
      <c r="P5240" s="12" t="n">
        <v>480</v>
      </c>
      <c r="Q5240" s="12" t="n">
        <v>400</v>
      </c>
      <c r="R5240" s="12" t="n">
        <v>510</v>
      </c>
      <c r="S5240" s="12" t="inlineStr">
        <is>
          <t>Tray</t>
        </is>
      </c>
      <c r="T5240" s="15" t="n">
        <v>120</v>
      </c>
      <c r="U5240" s="15" t="n">
        <v>10</v>
      </c>
      <c r="V5240" s="15">
        <f>ROUNDUP((T5240+U5240+2*'Read Me'!$B$13)*(1+'Read Me'!$B$12),-1)</f>
        <v/>
      </c>
      <c r="W5240" s="15">
        <f>V5240*N5240*O5240</f>
        <v/>
      </c>
      <c r="X5240" s="12">
        <f>IF(LEFT(I5240,2)="MV",2*N5240*IF(L5240="1/C",O5240,1),0)</f>
        <v/>
      </c>
      <c r="Y5240" s="12">
        <f>IF(OR(LEFT(K5240,4)="LVAX",LEFT(K5240,6)="MV15AX",LEFT(K5240,4)="CTAX",LEFT(K5240,2)="W|"),2*N5240*O5240,0)</f>
        <v/>
      </c>
      <c r="Z5240" s="12" t="inlineStr">
        <is>
          <t>internal to the package</t>
        </is>
      </c>
      <c r="AA5240" s="12">
        <f>N5240*O5240</f>
        <v/>
      </c>
    </row>
    <row r="5241">
      <c r="A5241" s="12" t="inlineStr">
        <is>
          <t>I-P-0077</t>
        </is>
      </c>
      <c r="B5241" s="12" t="inlineStr">
        <is>
          <t>I</t>
        </is>
      </c>
      <c r="C5241" s="12" t="inlineStr">
        <is>
          <t>Modular / portable power</t>
        </is>
      </c>
      <c r="D5241" s="12" t="inlineStr">
        <is>
          <t>LGN-1 DC output to the inverter</t>
        </is>
      </c>
      <c r="E5241" s="12" t="inlineStr">
        <is>
          <t>LGN-1</t>
        </is>
      </c>
      <c r="F5241" s="12" t="inlineStr">
        <is>
          <t>LGN-1: linear generator ~250 kW (gas, no combustion engine), DC out</t>
        </is>
      </c>
      <c r="G5241" s="12" t="inlineStr">
        <is>
          <t>LGN-INV</t>
        </is>
      </c>
      <c r="H5241" s="12" t="inlineStr">
        <is>
          <t>LGN-INV: linear generator inverter / AC cabinet (480 V)</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2</v>
      </c>
      <c r="P5241" s="12" t="n">
        <v>800</v>
      </c>
      <c r="Q5241" s="12" t="n">
        <v>250</v>
      </c>
      <c r="R5241" s="12" t="n">
        <v>320</v>
      </c>
      <c r="S5241" s="12" t="inlineStr">
        <is>
          <t>Surface</t>
        </is>
      </c>
      <c r="T5241" s="15" t="n">
        <v>71</v>
      </c>
      <c r="U5241" s="15" t="n">
        <v>27</v>
      </c>
      <c r="V5241" s="15">
        <f>ROUNDUP((T5241+U5241+2*'Read Me'!$B$13)*(1+'Read Me'!$B$12),-1)</f>
        <v/>
      </c>
      <c r="W5241" s="15">
        <f>V5241*N5241*O5241</f>
        <v/>
      </c>
      <c r="X5241" s="12">
        <f>IF(LEFT(I5241,2)="MV",2*N5241*IF(L5241="1/C",O5241,1),0)</f>
        <v/>
      </c>
      <c r="Y5241" s="12">
        <f>IF(OR(LEFT(K5241,4)="LVAX",LEFT(K5241,6)="MV15AX",LEFT(K5241,4)="CTAX",LEFT(K5241,2)="W|"),2*N5241*O5241,0)</f>
        <v/>
      </c>
      <c r="Z5241" s="12" t="inlineStr">
        <is>
          <t>DC, 2 sets of 2 x 1/C</t>
        </is>
      </c>
      <c r="AA5241" s="12">
        <f>N5241*O5241</f>
        <v/>
      </c>
    </row>
    <row r="5242">
      <c r="A5242" s="12" t="inlineStr">
        <is>
          <t>I-P-0078</t>
        </is>
      </c>
      <c r="B5242" s="12" t="inlineStr">
        <is>
          <t>I</t>
        </is>
      </c>
      <c r="C5242" s="12" t="inlineStr">
        <is>
          <t>Modular / portable power</t>
        </is>
      </c>
      <c r="D5242" s="12" t="inlineStr">
        <is>
          <t>LGN-2 DC output to the inverter</t>
        </is>
      </c>
      <c r="E5242" s="12" t="inlineStr">
        <is>
          <t>LGN-2</t>
        </is>
      </c>
      <c r="F5242" s="12" t="inlineStr">
        <is>
          <t>LGN-2: linear generator ~250 kW (gas, no combustion engine), DC out</t>
        </is>
      </c>
      <c r="G5242" s="12" t="inlineStr">
        <is>
          <t>LGN-INV</t>
        </is>
      </c>
      <c r="H5242" s="12" t="inlineStr">
        <is>
          <t>LGN-INV: linear generator inverter / AC cabinet (480 V)</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2</v>
      </c>
      <c r="P5242" s="12" t="n">
        <v>800</v>
      </c>
      <c r="Q5242" s="12" t="n">
        <v>250</v>
      </c>
      <c r="R5242" s="12" t="n">
        <v>320</v>
      </c>
      <c r="S5242" s="12" t="inlineStr">
        <is>
          <t>Surface</t>
        </is>
      </c>
      <c r="T5242" s="15" t="n">
        <v>57</v>
      </c>
      <c r="U5242" s="15" t="n">
        <v>27</v>
      </c>
      <c r="V5242" s="15">
        <f>ROUNDUP((T5242+U5242+2*'Read Me'!$B$13)*(1+'Read Me'!$B$12),-1)</f>
        <v/>
      </c>
      <c r="W5242" s="15">
        <f>V5242*N5242*O5242</f>
        <v/>
      </c>
      <c r="X5242" s="12">
        <f>IF(LEFT(I5242,2)="MV",2*N5242*IF(L5242="1/C",O5242,1),0)</f>
        <v/>
      </c>
      <c r="Y5242" s="12">
        <f>IF(OR(LEFT(K5242,4)="LVAX",LEFT(K5242,6)="MV15AX",LEFT(K5242,4)="CTAX",LEFT(K5242,2)="W|"),2*N5242*O5242,0)</f>
        <v/>
      </c>
      <c r="Z5242" s="12" t="inlineStr">
        <is>
          <t>DC, 2 sets of 2 x 1/C</t>
        </is>
      </c>
      <c r="AA5242" s="12">
        <f>N5242*O5242</f>
        <v/>
      </c>
    </row>
    <row r="5243">
      <c r="A5243" s="12" t="inlineStr">
        <is>
          <t>I-P-0079</t>
        </is>
      </c>
      <c r="B5243" s="12" t="inlineStr">
        <is>
          <t>I</t>
        </is>
      </c>
      <c r="C5243" s="12" t="inlineStr">
        <is>
          <t>Modular / portable power</t>
        </is>
      </c>
      <c r="D5243" s="12" t="inlineStr">
        <is>
          <t>LGN-3 DC output to the inverter</t>
        </is>
      </c>
      <c r="E5243" s="12" t="inlineStr">
        <is>
          <t>LGN-3</t>
        </is>
      </c>
      <c r="F5243" s="12" t="inlineStr">
        <is>
          <t>LGN-3: linear generator ~250 kW (gas, no combustion engine), DC out</t>
        </is>
      </c>
      <c r="G5243" s="12" t="inlineStr">
        <is>
          <t>LGN-INV</t>
        </is>
      </c>
      <c r="H5243" s="12" t="inlineStr">
        <is>
          <t>LGN-INV: linear generator inverter / AC cabinet (480 V)</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2</v>
      </c>
      <c r="P5243" s="12" t="n">
        <v>800</v>
      </c>
      <c r="Q5243" s="12" t="n">
        <v>250</v>
      </c>
      <c r="R5243" s="12" t="n">
        <v>320</v>
      </c>
      <c r="S5243" s="12" t="inlineStr">
        <is>
          <t>Surface</t>
        </is>
      </c>
      <c r="T5243" s="15" t="n">
        <v>41</v>
      </c>
      <c r="U5243" s="15" t="n">
        <v>27</v>
      </c>
      <c r="V5243" s="15">
        <f>ROUNDUP((T5243+U5243+2*'Read Me'!$B$13)*(1+'Read Me'!$B$12),-1)</f>
        <v/>
      </c>
      <c r="W5243" s="15">
        <f>V5243*N5243*O5243</f>
        <v/>
      </c>
      <c r="X5243" s="12">
        <f>IF(LEFT(I5243,2)="MV",2*N5243*IF(L5243="1/C",O5243,1),0)</f>
        <v/>
      </c>
      <c r="Y5243" s="12">
        <f>IF(OR(LEFT(K5243,4)="LVAX",LEFT(K5243,6)="MV15AX",LEFT(K5243,4)="CTAX",LEFT(K5243,2)="W|"),2*N5243*O5243,0)</f>
        <v/>
      </c>
      <c r="Z5243" s="12" t="inlineStr">
        <is>
          <t>DC, 2 sets of 2 x 1/C</t>
        </is>
      </c>
      <c r="AA5243" s="12">
        <f>N5243*O5243</f>
        <v/>
      </c>
    </row>
    <row r="5244">
      <c r="A5244" s="12" t="inlineStr">
        <is>
          <t>I-P-0080</t>
        </is>
      </c>
      <c r="B5244" s="12" t="inlineStr">
        <is>
          <t>I</t>
        </is>
      </c>
      <c r="C5244" s="12" t="inlineStr">
        <is>
          <t>Modular / portable power</t>
        </is>
      </c>
      <c r="D5244" s="12" t="inlineStr">
        <is>
          <t>LGN-4 DC output to the inverter</t>
        </is>
      </c>
      <c r="E5244" s="12" t="inlineStr">
        <is>
          <t>LGN-4</t>
        </is>
      </c>
      <c r="F5244" s="12" t="inlineStr">
        <is>
          <t>LGN-4: linear generator ~250 kW (gas, no combustion engine), DC out</t>
        </is>
      </c>
      <c r="G5244" s="12" t="inlineStr">
        <is>
          <t>LGN-INV</t>
        </is>
      </c>
      <c r="H5244" s="12" t="inlineStr">
        <is>
          <t>LGN-INV: linear generator inverter / AC cabinet (480 V)</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2</v>
      </c>
      <c r="P5244" s="12" t="n">
        <v>800</v>
      </c>
      <c r="Q5244" s="12" t="n">
        <v>250</v>
      </c>
      <c r="R5244" s="12" t="n">
        <v>320</v>
      </c>
      <c r="S5244" s="12" t="inlineStr">
        <is>
          <t>Surface</t>
        </is>
      </c>
      <c r="T5244" s="15" t="n">
        <v>33</v>
      </c>
      <c r="U5244" s="15" t="n">
        <v>27</v>
      </c>
      <c r="V5244" s="15">
        <f>ROUNDUP((T5244+U5244+2*'Read Me'!$B$13)*(1+'Read Me'!$B$12),-1)</f>
        <v/>
      </c>
      <c r="W5244" s="15">
        <f>V5244*N5244*O5244</f>
        <v/>
      </c>
      <c r="X5244" s="12">
        <f>IF(LEFT(I5244,2)="MV",2*N5244*IF(L5244="1/C",O5244,1),0)</f>
        <v/>
      </c>
      <c r="Y5244" s="12">
        <f>IF(OR(LEFT(K5244,4)="LVAX",LEFT(K5244,6)="MV15AX",LEFT(K5244,4)="CTAX",LEFT(K5244,2)="W|"),2*N5244*O5244,0)</f>
        <v/>
      </c>
      <c r="Z5244" s="12" t="inlineStr">
        <is>
          <t>DC, 2 sets of 2 x 1/C</t>
        </is>
      </c>
      <c r="AA5244" s="12">
        <f>N5244*O5244</f>
        <v/>
      </c>
    </row>
    <row r="5245">
      <c r="A5245" s="12" t="inlineStr">
        <is>
          <t>I-P-0081</t>
        </is>
      </c>
      <c r="B5245" s="12" t="inlineStr">
        <is>
          <t>I</t>
        </is>
      </c>
      <c r="C5245" s="12" t="inlineStr">
        <is>
          <t>Modular / portable power</t>
        </is>
      </c>
      <c r="D5245" s="12" t="inlineStr">
        <is>
          <t>LV panel / distribution feeder</t>
        </is>
      </c>
      <c r="E5245" s="12" t="inlineStr"/>
      <c r="F5245" s="12" t="inlineStr">
        <is>
          <t>PCM: power control module</t>
        </is>
      </c>
      <c r="G5245" s="12" t="inlineStr"/>
      <c r="H5245" s="12" t="inlineStr">
        <is>
          <t>Lube oil / starting air / oily water building</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79</v>
      </c>
      <c r="R5245" s="12" t="n">
        <v>111.8</v>
      </c>
      <c r="S5245" s="12" t="inlineStr">
        <is>
          <t>Duct bank</t>
        </is>
      </c>
      <c r="T5245" s="15" t="n">
        <v>344</v>
      </c>
      <c r="U5245" s="15" t="n">
        <v>164</v>
      </c>
      <c r="V5245" s="15">
        <f>ROUNDUP((T5245+U5245+2*'Read Me'!$B$13)*(1+'Read Me'!$B$12),-1)</f>
        <v/>
      </c>
      <c r="W5245" s="15">
        <f>V5245*N5245*O5245</f>
        <v/>
      </c>
      <c r="X5245" s="12">
        <f>IF(LEFT(I5245,2)="MV",2*N5245*IF(L5245="1/C",O5245,1),0)</f>
        <v/>
      </c>
      <c r="Y5245" s="12">
        <f>IF(OR(LEFT(K5245,4)="LVAX",LEFT(K5245,6)="MV15AX",LEFT(K5245,4)="CTAX",LEFT(K5245,2)="W|"),2*N5245*O5245,0)</f>
        <v/>
      </c>
      <c r="Z5245" s="12" t="inlineStr">
        <is>
          <t>VD 2.8 %</t>
        </is>
      </c>
      <c r="AA5245" s="12">
        <f>N5245*O5245</f>
        <v/>
      </c>
    </row>
    <row r="5246">
      <c r="A5246" s="12" t="inlineStr">
        <is>
          <t>I-P-0082</t>
        </is>
      </c>
      <c r="B5246" s="12" t="inlineStr">
        <is>
          <t>I</t>
        </is>
      </c>
      <c r="C5246" s="12" t="inlineStr">
        <is>
          <t>Modular / portable power</t>
        </is>
      </c>
      <c r="D5246" s="12" t="inlineStr">
        <is>
          <t>LV panel / distribution feeder</t>
        </is>
      </c>
      <c r="E5246" s="12" t="inlineStr"/>
      <c r="F5246" s="12" t="inlineStr">
        <is>
          <t>MOD-LV 480 V board + 480 V : 13.8 kV step-up</t>
        </is>
      </c>
      <c r="G5246" s="12" t="inlineStr">
        <is>
          <t>MOD-EH</t>
        </is>
      </c>
      <c r="H5246" s="12" t="inlineStr">
        <is>
          <t>MOD-EH: 34.5 kV modular collector e-house (2 bus sections + 13.8 kV st</t>
        </is>
      </c>
      <c r="I5246" s="12" t="inlineStr">
        <is>
          <t>LV 600 V</t>
        </is>
      </c>
      <c r="J5246" s="12" t="inlineStr">
        <is>
          <t>Type TC-ER 600 V 3/C Cu XHHW-2 + ground, PVC jacket</t>
        </is>
      </c>
      <c r="K5246" s="12" t="inlineStr">
        <is>
          <t>LV|3/C+G|4</t>
        </is>
      </c>
      <c r="L5246" s="12" t="inlineStr">
        <is>
          <t>3/C+G</t>
        </is>
      </c>
      <c r="M5246" s="12" t="inlineStr">
        <is>
          <t>4</t>
        </is>
      </c>
      <c r="N5246" s="12" t="n">
        <v>1</v>
      </c>
      <c r="O5246" s="12" t="n">
        <v>1</v>
      </c>
      <c r="P5246" s="12" t="n">
        <v>480</v>
      </c>
      <c r="Q5246" s="12" t="n">
        <v>30</v>
      </c>
      <c r="R5246" s="12" t="n">
        <v>42.5</v>
      </c>
      <c r="S5246" s="12" t="inlineStr">
        <is>
          <t>Duct bank</t>
        </is>
      </c>
      <c r="T5246" s="15" t="n">
        <v>538</v>
      </c>
      <c r="U5246" s="15" t="n">
        <v>32</v>
      </c>
      <c r="V5246" s="15">
        <f>ROUNDUP((T5246+U5246+2*'Read Me'!$B$13)*(1+'Read Me'!$B$12),-1)</f>
        <v/>
      </c>
      <c r="W5246" s="15">
        <f>V5246*N5246*O5246</f>
        <v/>
      </c>
      <c r="X5246" s="12">
        <f>IF(LEFT(I5246,2)="MV",2*N5246*IF(L5246="1/C",O5246,1),0)</f>
        <v/>
      </c>
      <c r="Y5246" s="12">
        <f>IF(OR(LEFT(K5246,4)="LVAX",LEFT(K5246,6)="MV15AX",LEFT(K5246,4)="CTAX",LEFT(K5246,2)="W|"),2*N5246*O5246,0)</f>
        <v/>
      </c>
      <c r="Z5246" s="12" t="inlineStr">
        <is>
          <t>VD 3.0 %</t>
        </is>
      </c>
      <c r="AA5246" s="12">
        <f>N5246*O5246</f>
        <v/>
      </c>
    </row>
    <row r="5247">
      <c r="A5247" s="12" t="inlineStr">
        <is>
          <t>I-P-0083</t>
        </is>
      </c>
      <c r="B5247" s="12" t="inlineStr">
        <is>
          <t>I</t>
        </is>
      </c>
      <c r="C5247" s="12" t="inlineStr">
        <is>
          <t>Modular / portable power</t>
        </is>
      </c>
      <c r="D5247" s="12" t="inlineStr">
        <is>
          <t>MT-4 microturbine output to the site switchboard</t>
        </is>
      </c>
      <c r="E5247" s="12" t="inlineStr">
        <is>
          <t>MT-4</t>
        </is>
      </c>
      <c r="F5247" s="12" t="inlineStr">
        <is>
          <t>MT-4: microturbine 1 MW (1 MW package class)</t>
        </is>
      </c>
      <c r="G5247" s="12" t="inlineStr"/>
      <c r="H5247" s="12" t="inlineStr">
        <is>
          <t>MT-4..6 480 V switchboard</t>
        </is>
      </c>
      <c r="I5247" s="12" t="inlineStr">
        <is>
          <t>LV 600 V</t>
        </is>
      </c>
      <c r="J5247" s="12" t="inlineStr">
        <is>
          <t>Type TC-ER 600 V 3/C Cu XHHW-2 + ground, PVC jacket</t>
        </is>
      </c>
      <c r="K5247" s="12" t="inlineStr">
        <is>
          <t>LV|3/C+G|350</t>
        </is>
      </c>
      <c r="L5247" s="12" t="inlineStr">
        <is>
          <t>3/C+G</t>
        </is>
      </c>
      <c r="M5247" s="12" t="inlineStr">
        <is>
          <t>350 kcmil</t>
        </is>
      </c>
      <c r="N5247" s="12" t="n">
        <v>6</v>
      </c>
      <c r="O5247" s="12" t="n">
        <v>1</v>
      </c>
      <c r="P5247" s="12" t="n">
        <v>480</v>
      </c>
      <c r="Q5247" s="12" t="n">
        <v>1000</v>
      </c>
      <c r="R5247" s="12" t="n">
        <v>1266.2</v>
      </c>
      <c r="S5247" s="12" t="inlineStr">
        <is>
          <t>Duct bank</t>
        </is>
      </c>
      <c r="T5247" s="15" t="n">
        <v>56</v>
      </c>
      <c r="U5247" s="15" t="n">
        <v>32</v>
      </c>
      <c r="V5247" s="15">
        <f>ROUNDUP((T5247+U5247+2*'Read Me'!$B$13)*(1+'Read Me'!$B$12),-1)</f>
        <v/>
      </c>
      <c r="W5247" s="15">
        <f>V5247*N5247*O5247</f>
        <v/>
      </c>
      <c r="X5247" s="12">
        <f>IF(LEFT(I5247,2)="MV",2*N5247*IF(L5247="1/C",O5247,1),0)</f>
        <v/>
      </c>
      <c r="Y5247" s="12">
        <f>IF(OR(LEFT(K5247,4)="LVAX",LEFT(K5247,6)="MV15AX",LEFT(K5247,4)="CTAX",LEFT(K5247,2)="W|"),2*N5247*O5247,0)</f>
        <v/>
      </c>
      <c r="Z5247" s="12" t="inlineStr">
        <is>
          <t>VD 0.3 %</t>
        </is>
      </c>
      <c r="AA5247" s="12">
        <f>N5247*O5247</f>
        <v/>
      </c>
    </row>
    <row r="5248">
      <c r="A5248" s="12" t="inlineStr">
        <is>
          <t>I-P-0084</t>
        </is>
      </c>
      <c r="B5248" s="12" t="inlineStr">
        <is>
          <t>I</t>
        </is>
      </c>
      <c r="C5248" s="12" t="inlineStr">
        <is>
          <t>Modular / portable power</t>
        </is>
      </c>
      <c r="D5248" s="12" t="inlineStr">
        <is>
          <t>MT-5 microturbine output to the site switchboard</t>
        </is>
      </c>
      <c r="E5248" s="12" t="inlineStr">
        <is>
          <t>MT-5</t>
        </is>
      </c>
      <c r="F5248" s="12" t="inlineStr">
        <is>
          <t>MT-5: microturbine 1 MW (1 MW package class)</t>
        </is>
      </c>
      <c r="G5248" s="12" t="inlineStr"/>
      <c r="H5248" s="12" t="inlineStr">
        <is>
          <t>MT-4..6 480 V switchboard</t>
        </is>
      </c>
      <c r="I5248" s="12" t="inlineStr">
        <is>
          <t>LV 600 V</t>
        </is>
      </c>
      <c r="J5248" s="12" t="inlineStr">
        <is>
          <t>Type TC-ER 600 V 3/C Cu XHHW-2 + ground, PVC jacket</t>
        </is>
      </c>
      <c r="K5248" s="12" t="inlineStr">
        <is>
          <t>LV|3/C+G|350</t>
        </is>
      </c>
      <c r="L5248" s="12" t="inlineStr">
        <is>
          <t>3/C+G</t>
        </is>
      </c>
      <c r="M5248" s="12" t="inlineStr">
        <is>
          <t>350 kcmil</t>
        </is>
      </c>
      <c r="N5248" s="12" t="n">
        <v>6</v>
      </c>
      <c r="O5248" s="12" t="n">
        <v>1</v>
      </c>
      <c r="P5248" s="12" t="n">
        <v>480</v>
      </c>
      <c r="Q5248" s="12" t="n">
        <v>1000</v>
      </c>
      <c r="R5248" s="12" t="n">
        <v>1266.2</v>
      </c>
      <c r="S5248" s="12" t="inlineStr">
        <is>
          <t>Duct bank</t>
        </is>
      </c>
      <c r="T5248" s="15" t="n">
        <v>42</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I-P-0085</t>
        </is>
      </c>
      <c r="B5249" s="12" t="inlineStr">
        <is>
          <t>I</t>
        </is>
      </c>
      <c r="C5249" s="12" t="inlineStr">
        <is>
          <t>Modular / portable power</t>
        </is>
      </c>
      <c r="D5249" s="12" t="inlineStr">
        <is>
          <t>MT-6 microturbine output to the site switchboard</t>
        </is>
      </c>
      <c r="E5249" s="12" t="inlineStr">
        <is>
          <t>MT-6</t>
        </is>
      </c>
      <c r="F5249" s="12" t="inlineStr">
        <is>
          <t>MT-6: microturbine 1 MW (1 MW package class)</t>
        </is>
      </c>
      <c r="G5249" s="12" t="inlineStr"/>
      <c r="H5249" s="12" t="inlineStr">
        <is>
          <t>MT-4..6 480 V switchboard</t>
        </is>
      </c>
      <c r="I5249" s="12" t="inlineStr">
        <is>
          <t>LV 600 V</t>
        </is>
      </c>
      <c r="J5249" s="12" t="inlineStr">
        <is>
          <t>Type TC-ER 600 V 3/C Cu XHHW-2 + ground, PVC jacket</t>
        </is>
      </c>
      <c r="K5249" s="12" t="inlineStr">
        <is>
          <t>LV|3/C+G|350</t>
        </is>
      </c>
      <c r="L5249" s="12" t="inlineStr">
        <is>
          <t>3/C+G</t>
        </is>
      </c>
      <c r="M5249" s="12" t="inlineStr">
        <is>
          <t>350 kcmil</t>
        </is>
      </c>
      <c r="N5249" s="12" t="n">
        <v>6</v>
      </c>
      <c r="O5249" s="12" t="n">
        <v>1</v>
      </c>
      <c r="P5249" s="12" t="n">
        <v>480</v>
      </c>
      <c r="Q5249" s="12" t="n">
        <v>1000</v>
      </c>
      <c r="R5249" s="12" t="n">
        <v>1266.2</v>
      </c>
      <c r="S5249" s="12" t="inlineStr">
        <is>
          <t>Tray</t>
        </is>
      </c>
      <c r="T5249" s="15" t="n">
        <v>6</v>
      </c>
      <c r="U5249" s="15" t="n">
        <v>37</v>
      </c>
      <c r="V5249" s="15">
        <f>ROUNDUP((T5249+U5249+2*'Read Me'!$B$13)*(1+'Read Me'!$B$12),-1)</f>
        <v/>
      </c>
      <c r="W5249" s="15">
        <f>V5249*N5249*O5249</f>
        <v/>
      </c>
      <c r="X5249" s="12">
        <f>IF(LEFT(I5249,2)="MV",2*N5249*IF(L5249="1/C",O5249,1),0)</f>
        <v/>
      </c>
      <c r="Y5249" s="12">
        <f>IF(OR(LEFT(K5249,4)="LVAX",LEFT(K5249,6)="MV15AX",LEFT(K5249,4)="CTAX",LEFT(K5249,2)="W|"),2*N5249*O5249,0)</f>
        <v/>
      </c>
      <c r="Z5249" s="12" t="inlineStr">
        <is>
          <t>VD 0.1 %</t>
        </is>
      </c>
      <c r="AA5249" s="12">
        <f>N5249*O5249</f>
        <v/>
      </c>
    </row>
    <row r="5250">
      <c r="A5250" s="12" t="inlineStr">
        <is>
          <t>I-P-0086</t>
        </is>
      </c>
      <c r="B5250" s="12" t="inlineStr">
        <is>
          <t>I</t>
        </is>
      </c>
      <c r="C5250" s="12" t="inlineStr">
        <is>
          <t>Modular / portable power</t>
        </is>
      </c>
      <c r="D5250" s="12" t="inlineStr">
        <is>
          <t>Microturbine site switchboard to MT-TX 480 V secondary</t>
        </is>
      </c>
      <c r="E5250" s="12" t="inlineStr"/>
      <c r="F5250" s="12" t="inlineStr">
        <is>
          <t>MT-4..6 480 V switchboard</t>
        </is>
      </c>
      <c r="G5250" s="12" t="inlineStr">
        <is>
          <t>MT-TX</t>
        </is>
      </c>
      <c r="H5250" s="12" t="inlineStr">
        <is>
          <t>MT-TX: 480 V : 13.8 kV, ~3.75 MVA pad-mount (microturbine site)</t>
        </is>
      </c>
      <c r="I5250" s="12" t="inlineStr">
        <is>
          <t>LV 600 V</t>
        </is>
      </c>
      <c r="J5250" s="12" t="inlineStr">
        <is>
          <t>XHHW-2 600 V 1/C Cu (feeder sets in tray / duct)</t>
        </is>
      </c>
      <c r="K5250" s="12" t="inlineStr">
        <is>
          <t>LV1C|1/C|750</t>
        </is>
      </c>
      <c r="L5250" s="12" t="inlineStr">
        <is>
          <t>1/C</t>
        </is>
      </c>
      <c r="M5250" s="12" t="inlineStr">
        <is>
          <t>750 kcmil</t>
        </is>
      </c>
      <c r="N5250" s="12" t="n">
        <v>11</v>
      </c>
      <c r="O5250" s="12" t="n">
        <v>4</v>
      </c>
      <c r="P5250" s="12" t="n">
        <v>480</v>
      </c>
      <c r="Q5250" s="12" t="n">
        <v>3000</v>
      </c>
      <c r="R5250" s="12" t="n">
        <v>3798</v>
      </c>
      <c r="S5250" s="12" t="inlineStr">
        <is>
          <t>Duct bank</t>
        </is>
      </c>
      <c r="T5250" s="15" t="n">
        <v>0</v>
      </c>
      <c r="U5250" s="15" t="n">
        <v>36</v>
      </c>
      <c r="V5250" s="15">
        <f>ROUNDUP((T5250+U5250+2*'Read Me'!$B$13)*(1+'Read Me'!$B$12),-1)</f>
        <v/>
      </c>
      <c r="W5250" s="15">
        <f>V5250*N5250*O5250</f>
        <v/>
      </c>
      <c r="X5250" s="12">
        <f>IF(LEFT(I5250,2)="MV",2*N5250*IF(L5250="1/C",O5250,1),0)</f>
        <v/>
      </c>
      <c r="Y5250" s="12">
        <f>IF(OR(LEFT(K5250,4)="LVAX",LEFT(K5250,6)="MV15AX",LEFT(K5250,4)="CTAX",LEFT(K5250,2)="W|"),2*N5250*O5250,0)</f>
        <v/>
      </c>
      <c r="Z5250" s="12" t="inlineStr">
        <is>
          <t>11 sets of 4 x 1/C, short run</t>
        </is>
      </c>
      <c r="AA5250" s="12">
        <f>N5250*O5250</f>
        <v/>
      </c>
    </row>
    <row r="5251">
      <c r="A5251" s="12" t="inlineStr">
        <is>
          <t>I-P-0087</t>
        </is>
      </c>
      <c r="B5251" s="12" t="inlineStr">
        <is>
          <t>I</t>
        </is>
      </c>
      <c r="C5251" s="12" t="inlineStr">
        <is>
          <t>Modular / portable power</t>
        </is>
      </c>
      <c r="D5251" s="12" t="inlineStr">
        <is>
          <t>MTG-1 480 V auxiliaries (lube-oil pumps, cooler fans, enclosure ventilation)</t>
        </is>
      </c>
      <c r="E5251" s="12" t="inlineStr">
        <is>
          <t>MTG-CB</t>
        </is>
      </c>
      <c r="F5251" s="12" t="inlineStr">
        <is>
          <t>MTG-CB: control and MCC building (unit controls, 480 V MCC)</t>
        </is>
      </c>
      <c r="G5251" s="12" t="inlineStr">
        <is>
          <t>MTG-1</t>
        </is>
      </c>
      <c r="H5251" s="12" t="inlineStr">
        <is>
          <t xml:space="preserve">MTG-1: mid-size industrial gas-turbine generator package ~16 MW, 13.8 </t>
        </is>
      </c>
      <c r="I5251" s="12" t="inlineStr">
        <is>
          <t>LV 600 V</t>
        </is>
      </c>
      <c r="J5251" s="12" t="inlineStr">
        <is>
          <t>Type TC-ER 600 V 3/C Cu XHHW-2 + ground, PVC jacket</t>
        </is>
      </c>
      <c r="K5251" s="12" t="inlineStr">
        <is>
          <t>LV|3/C+G|250</t>
        </is>
      </c>
      <c r="L5251" s="12" t="inlineStr">
        <is>
          <t>3/C+G</t>
        </is>
      </c>
      <c r="M5251" s="12" t="inlineStr">
        <is>
          <t>250 kcmil</t>
        </is>
      </c>
      <c r="N5251" s="12" t="n">
        <v>1</v>
      </c>
      <c r="O5251" s="12" t="n">
        <v>1</v>
      </c>
      <c r="P5251" s="12" t="n">
        <v>480</v>
      </c>
      <c r="Q5251" s="12" t="n">
        <v>120</v>
      </c>
      <c r="R5251" s="12" t="n">
        <v>170</v>
      </c>
      <c r="S5251" s="12" t="inlineStr">
        <is>
          <t>Duct bank</t>
        </is>
      </c>
      <c r="T5251" s="15" t="n">
        <v>10</v>
      </c>
      <c r="U5251" s="15" t="n">
        <v>36</v>
      </c>
      <c r="V5251" s="15">
        <f>ROUNDUP((T5251+U5251+2*'Read Me'!$B$13)*(1+'Read Me'!$B$12),-1)</f>
        <v/>
      </c>
      <c r="W5251" s="15">
        <f>V5251*N5251*O5251</f>
        <v/>
      </c>
      <c r="X5251" s="12">
        <f>IF(LEFT(I5251,2)="MV",2*N5251*IF(L5251="1/C",O5251,1),0)</f>
        <v/>
      </c>
      <c r="Y5251" s="12">
        <f>IF(OR(LEFT(K5251,4)="LVAX",LEFT(K5251,6)="MV15AX",LEFT(K5251,4)="CTAX",LEFT(K5251,2)="W|"),2*N5251*O5251,0)</f>
        <v/>
      </c>
      <c r="Z5251" s="12" t="inlineStr"/>
      <c r="AA5251" s="12">
        <f>N5251*O5251</f>
        <v/>
      </c>
    </row>
    <row r="5252">
      <c r="A5252" s="12" t="inlineStr">
        <is>
          <t>I-P-0088</t>
        </is>
      </c>
      <c r="B5252" s="12" t="inlineStr">
        <is>
          <t>I</t>
        </is>
      </c>
      <c r="C5252" s="12" t="inlineStr">
        <is>
          <t>Modular / portable power</t>
        </is>
      </c>
      <c r="D5252" s="12" t="inlineStr">
        <is>
          <t>MTG-2 480 V auxiliaries (lube-oil pumps, cooler fans, enclosure ventilation)</t>
        </is>
      </c>
      <c r="E5252" s="12" t="inlineStr">
        <is>
          <t>MTG-CB</t>
        </is>
      </c>
      <c r="F5252" s="12" t="inlineStr">
        <is>
          <t>MTG-CB: control and MCC building (unit controls, 480 V MCC)</t>
        </is>
      </c>
      <c r="G5252" s="12" t="inlineStr">
        <is>
          <t>MTG-2</t>
        </is>
      </c>
      <c r="H5252" s="12" t="inlineStr">
        <is>
          <t xml:space="preserve">MTG-2: mid-size industrial gas-turbine generator package ~16 MW, 13.8 </t>
        </is>
      </c>
      <c r="I5252" s="12" t="inlineStr">
        <is>
          <t>LV 600 V</t>
        </is>
      </c>
      <c r="J5252" s="12" t="inlineStr">
        <is>
          <t>Type TC-ER 600 V 3/C Cu XHHW-2 + ground, PVC jacket</t>
        </is>
      </c>
      <c r="K5252" s="12" t="inlineStr">
        <is>
          <t>LV|3/C+G|250</t>
        </is>
      </c>
      <c r="L5252" s="12" t="inlineStr">
        <is>
          <t>3/C+G</t>
        </is>
      </c>
      <c r="M5252" s="12" t="inlineStr">
        <is>
          <t>250 kcmil</t>
        </is>
      </c>
      <c r="N5252" s="12" t="n">
        <v>1</v>
      </c>
      <c r="O5252" s="12" t="n">
        <v>1</v>
      </c>
      <c r="P5252" s="12" t="n">
        <v>480</v>
      </c>
      <c r="Q5252" s="12" t="n">
        <v>120</v>
      </c>
      <c r="R5252" s="12" t="n">
        <v>170</v>
      </c>
      <c r="S5252" s="12" t="inlineStr">
        <is>
          <t>Duct bank</t>
        </is>
      </c>
      <c r="T5252" s="15" t="n">
        <v>43</v>
      </c>
      <c r="U5252" s="15" t="n">
        <v>37</v>
      </c>
      <c r="V5252" s="15">
        <f>ROUNDUP((T5252+U5252+2*'Read Me'!$B$13)*(1+'Read Me'!$B$12),-1)</f>
        <v/>
      </c>
      <c r="W5252" s="15">
        <f>V5252*N5252*O5252</f>
        <v/>
      </c>
      <c r="X5252" s="12">
        <f>IF(LEFT(I5252,2)="MV",2*N5252*IF(L5252="1/C",O5252,1),0)</f>
        <v/>
      </c>
      <c r="Y5252" s="12">
        <f>IF(OR(LEFT(K5252,4)="LVAX",LEFT(K5252,6)="MV15AX",LEFT(K5252,4)="CTAX",LEFT(K5252,2)="W|"),2*N5252*O5252,0)</f>
        <v/>
      </c>
      <c r="Z5252" s="12" t="inlineStr"/>
      <c r="AA5252" s="12">
        <f>N5252*O5252</f>
        <v/>
      </c>
    </row>
    <row r="5253">
      <c r="A5253" s="12" t="inlineStr">
        <is>
          <t>I-P-0089</t>
        </is>
      </c>
      <c r="B5253" s="12" t="inlineStr">
        <is>
          <t>I</t>
        </is>
      </c>
      <c r="C5253" s="12" t="inlineStr">
        <is>
          <t>Modular / portable power</t>
        </is>
      </c>
      <c r="D5253" s="12" t="inlineStr">
        <is>
          <t>MTG-CB 480 V MCC from MTG-AUX</t>
        </is>
      </c>
      <c r="E5253" s="12" t="inlineStr">
        <is>
          <t>MTG-AUX</t>
        </is>
      </c>
      <c r="F5253" s="12" t="inlineStr">
        <is>
          <t>MTG-AUX: 13.8 / 0.48 kV auxiliary transformer</t>
        </is>
      </c>
      <c r="G5253" s="12" t="inlineStr">
        <is>
          <t>MTG-CB</t>
        </is>
      </c>
      <c r="H5253" s="12" t="inlineStr">
        <is>
          <t>MTG-CB: control and MCC building (unit controls, 480 V MCC)</t>
        </is>
      </c>
      <c r="I5253" s="12" t="inlineStr">
        <is>
          <t>LV 600 V</t>
        </is>
      </c>
      <c r="J5253" s="12" t="inlineStr">
        <is>
          <t>Type TC-ER 600 V 3/C Cu XHHW-2 + ground, PVC jacket</t>
        </is>
      </c>
      <c r="K5253" s="12" t="inlineStr">
        <is>
          <t>LV|3/C+G|500</t>
        </is>
      </c>
      <c r="L5253" s="12" t="inlineStr">
        <is>
          <t>3/C+G</t>
        </is>
      </c>
      <c r="M5253" s="12" t="inlineStr">
        <is>
          <t>500 kcmil</t>
        </is>
      </c>
      <c r="N5253" s="12" t="n">
        <v>3</v>
      </c>
      <c r="O5253" s="12" t="n">
        <v>1</v>
      </c>
      <c r="P5253" s="12" t="n">
        <v>480</v>
      </c>
      <c r="Q5253" s="12" t="n">
        <v>600</v>
      </c>
      <c r="R5253" s="12" t="n">
        <v>759.7</v>
      </c>
      <c r="S5253" s="12" t="inlineStr">
        <is>
          <t>Duct bank</t>
        </is>
      </c>
      <c r="T5253" s="15" t="n">
        <v>58</v>
      </c>
      <c r="U5253" s="15" t="n">
        <v>32</v>
      </c>
      <c r="V5253" s="15">
        <f>ROUNDUP((T5253+U5253+2*'Read Me'!$B$13)*(1+'Read Me'!$B$12),-1)</f>
        <v/>
      </c>
      <c r="W5253" s="15">
        <f>V5253*N5253*O5253</f>
        <v/>
      </c>
      <c r="X5253" s="12">
        <f>IF(LEFT(I5253,2)="MV",2*N5253*IF(L5253="1/C",O5253,1),0)</f>
        <v/>
      </c>
      <c r="Y5253" s="12">
        <f>IF(OR(LEFT(K5253,4)="LVAX",LEFT(K5253,6)="MV15AX",LEFT(K5253,4)="CTAX",LEFT(K5253,2)="W|"),2*N5253*O5253,0)</f>
        <v/>
      </c>
      <c r="Z5253" s="12" t="inlineStr">
        <is>
          <t>VD 0.2 %</t>
        </is>
      </c>
      <c r="AA5253" s="12">
        <f>N5253*O5253</f>
        <v/>
      </c>
    </row>
    <row r="5254">
      <c r="A5254" s="12" t="inlineStr">
        <is>
          <t>I-P-0090</t>
        </is>
      </c>
      <c r="B5254" s="12" t="inlineStr">
        <is>
          <t>I</t>
        </is>
      </c>
      <c r="C5254" s="12" t="inlineStr">
        <is>
          <t>Modular / portable power</t>
        </is>
      </c>
      <c r="D5254" s="12" t="inlineStr">
        <is>
          <t>MTG-FG gas heater and skid power (Class I Div 2)</t>
        </is>
      </c>
      <c r="E5254" s="12" t="inlineStr">
        <is>
          <t>MTG-CB</t>
        </is>
      </c>
      <c r="F5254" s="12" t="inlineStr">
        <is>
          <t>MTG-CB: control and MCC building (unit controls, 480 V MCC)</t>
        </is>
      </c>
      <c r="G5254" s="12" t="inlineStr">
        <is>
          <t>MTG-FG</t>
        </is>
      </c>
      <c r="H5254" s="12" t="inlineStr">
        <is>
          <t>MTG-FG: fuel-gas conditioning skid (scrubber, filter-separator, heater</t>
        </is>
      </c>
      <c r="I5254" s="12" t="inlineStr">
        <is>
          <t>LV 600 V</t>
        </is>
      </c>
      <c r="J5254" s="12" t="inlineStr">
        <is>
          <t>ARMOR-X MC-HL 600 V 3/C Cu XHHW-2 + ground, CWA, black PVC (Class I Div 2)</t>
        </is>
      </c>
      <c r="K5254" s="12" t="inlineStr">
        <is>
          <t>LVAX|3/C+G|2</t>
        </is>
      </c>
      <c r="L5254" s="12" t="inlineStr">
        <is>
          <t>3/C+G</t>
        </is>
      </c>
      <c r="M5254" s="12" t="inlineStr">
        <is>
          <t>2</t>
        </is>
      </c>
      <c r="N5254" s="12" t="n">
        <v>1</v>
      </c>
      <c r="O5254" s="12" t="n">
        <v>1</v>
      </c>
      <c r="P5254" s="12" t="n">
        <v>480</v>
      </c>
      <c r="Q5254" s="12" t="n">
        <v>60</v>
      </c>
      <c r="R5254" s="12" t="n">
        <v>84.90000000000001</v>
      </c>
      <c r="S5254" s="12" t="inlineStr">
        <is>
          <t>Duct bank</t>
        </is>
      </c>
      <c r="T5254" s="15" t="n">
        <v>36</v>
      </c>
      <c r="U5254" s="15" t="n">
        <v>102</v>
      </c>
      <c r="V5254" s="15">
        <f>ROUNDUP((T5254+U5254+2*'Read Me'!$B$13)*(1+'Read Me'!$B$12),-1)</f>
        <v/>
      </c>
      <c r="W5254" s="15">
        <f>V5254*N5254*O5254</f>
        <v/>
      </c>
      <c r="X5254" s="12">
        <f>IF(LEFT(I5254,2)="MV",2*N5254*IF(L5254="1/C",O5254,1),0)</f>
        <v/>
      </c>
      <c r="Y5254" s="12">
        <f>IF(OR(LEFT(K5254,4)="LVAX",LEFT(K5254,6)="MV15AX",LEFT(K5254,4)="CTAX",LEFT(K5254,2)="W|"),2*N5254*O5254,0)</f>
        <v/>
      </c>
      <c r="Z5254" s="12" t="inlineStr">
        <is>
          <t>VD 0.9 %</t>
        </is>
      </c>
      <c r="AA5254" s="12">
        <f>N5254*O5254</f>
        <v/>
      </c>
    </row>
    <row r="5255">
      <c r="A5255" s="12" t="inlineStr">
        <is>
          <t>I-P-0091</t>
        </is>
      </c>
      <c r="B5255" s="12" t="inlineStr">
        <is>
          <t>I</t>
        </is>
      </c>
      <c r="C5255" s="12" t="inlineStr">
        <is>
          <t>Modular / portable power</t>
        </is>
      </c>
      <c r="D5255" s="12" t="inlineStr">
        <is>
          <t>MTG-SWG station service: DC charger, heaters, HVAC, lighting</t>
        </is>
      </c>
      <c r="E5255" s="12" t="inlineStr">
        <is>
          <t>MTG-CB</t>
        </is>
      </c>
      <c r="F5255" s="12" t="inlineStr">
        <is>
          <t>MTG-CB: control and MCC building (unit controls, 480 V MCC)</t>
        </is>
      </c>
      <c r="G5255" s="12" t="inlineStr">
        <is>
          <t>MTG-SWG</t>
        </is>
      </c>
      <c r="H5255" s="12" t="inlineStr">
        <is>
          <t>MTG-SWG: 13.8 kV switchgear e-house (2 generator breakers, site feeder</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45</v>
      </c>
      <c r="R5255" s="12" t="n">
        <v>57</v>
      </c>
      <c r="S5255" s="12" t="inlineStr">
        <is>
          <t>Duct bank</t>
        </is>
      </c>
      <c r="T5255" s="15" t="n">
        <v>44</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0.5 %</t>
        </is>
      </c>
      <c r="AA5255" s="12">
        <f>N5255*O5255</f>
        <v/>
      </c>
    </row>
    <row r="5256">
      <c r="A5256" s="12" t="inlineStr">
        <is>
          <t>I-P-0092</t>
        </is>
      </c>
      <c r="B5256" s="12" t="inlineStr">
        <is>
          <t>I</t>
        </is>
      </c>
      <c r="C5256" s="12" t="inlineStr">
        <is>
          <t>Modular / portable power</t>
        </is>
      </c>
      <c r="D5256" s="12" t="inlineStr">
        <is>
          <t>PAD-EH station service: DC charger, heaters, HVAC, lighting</t>
        </is>
      </c>
      <c r="E5256" s="12" t="inlineStr">
        <is>
          <t>PAD-LV</t>
        </is>
      </c>
      <c r="F5256" s="12" t="inlineStr">
        <is>
          <t>PAD-LV 480 V paralleling switchboard</t>
        </is>
      </c>
      <c r="G5256" s="12" t="inlineStr">
        <is>
          <t>PAD-EH</t>
        </is>
      </c>
      <c r="H5256" s="12" t="inlineStr">
        <is>
          <t>PAD-EH 13.8 kV switchgear e-house</t>
        </is>
      </c>
      <c r="I5256" s="12" t="inlineStr">
        <is>
          <t>LV 600 V</t>
        </is>
      </c>
      <c r="J5256" s="12" t="inlineStr">
        <is>
          <t>Type TC-ER 600 V 3/C Cu XHHW-2 + ground, PVC jacket</t>
        </is>
      </c>
      <c r="K5256" s="12" t="inlineStr">
        <is>
          <t>LV|3/C+G|2</t>
        </is>
      </c>
      <c r="L5256" s="12" t="inlineStr">
        <is>
          <t>3/C+G</t>
        </is>
      </c>
      <c r="M5256" s="12" t="inlineStr">
        <is>
          <t>2</t>
        </is>
      </c>
      <c r="N5256" s="12" t="n">
        <v>1</v>
      </c>
      <c r="O5256" s="12" t="n">
        <v>1</v>
      </c>
      <c r="P5256" s="12" t="n">
        <v>480</v>
      </c>
      <c r="Q5256" s="12" t="n">
        <v>60</v>
      </c>
      <c r="R5256" s="12" t="n">
        <v>76</v>
      </c>
      <c r="S5256" s="12" t="inlineStr">
        <is>
          <t>Duct bank</t>
        </is>
      </c>
      <c r="T5256" s="15" t="n">
        <v>40</v>
      </c>
      <c r="U5256" s="15" t="n">
        <v>32</v>
      </c>
      <c r="V5256" s="15">
        <f>ROUNDUP((T5256+U5256+2*'Read Me'!$B$13)*(1+'Read Me'!$B$12),-1)</f>
        <v/>
      </c>
      <c r="W5256" s="15">
        <f>V5256*N5256*O5256</f>
        <v/>
      </c>
      <c r="X5256" s="12">
        <f>IF(LEFT(I5256,2)="MV",2*N5256*IF(L5256="1/C",O5256,1),0)</f>
        <v/>
      </c>
      <c r="Y5256" s="12">
        <f>IF(OR(LEFT(K5256,4)="LVAX",LEFT(K5256,6)="MV15AX",LEFT(K5256,4)="CTAX",LEFT(K5256,2)="W|"),2*N5256*O5256,0)</f>
        <v/>
      </c>
      <c r="Z5256" s="12" t="inlineStr">
        <is>
          <t>VD 0.4 %</t>
        </is>
      </c>
      <c r="AA5256" s="12">
        <f>N5256*O5256</f>
        <v/>
      </c>
    </row>
    <row r="5257">
      <c r="A5257" s="12" t="inlineStr">
        <is>
          <t>I-P-0093</t>
        </is>
      </c>
      <c r="B5257" s="12" t="inlineStr">
        <is>
          <t>I</t>
        </is>
      </c>
      <c r="C5257" s="12" t="inlineStr">
        <is>
          <t>Modular / portable power</t>
        </is>
      </c>
      <c r="D5257" s="12" t="inlineStr">
        <is>
          <t>LGN-INV 480 V AC to PAD-LV</t>
        </is>
      </c>
      <c r="E5257" s="12" t="inlineStr">
        <is>
          <t>LGN-INV</t>
        </is>
      </c>
      <c r="F5257" s="12" t="inlineStr">
        <is>
          <t>LGN-INV: linear generator inverter / AC cabinet (480 V)</t>
        </is>
      </c>
      <c r="G5257" s="12" t="inlineStr">
        <is>
          <t>PAD-LV</t>
        </is>
      </c>
      <c r="H5257" s="12" t="inlineStr">
        <is>
          <t>PAD-LV 480 V paralleling switchboard</t>
        </is>
      </c>
      <c r="I5257" s="12" t="inlineStr">
        <is>
          <t>LV 600 V</t>
        </is>
      </c>
      <c r="J5257" s="12" t="inlineStr">
        <is>
          <t>Type TC-ER 600 V 3/C Cu XHHW-2 + ground, PVC jacket</t>
        </is>
      </c>
      <c r="K5257" s="12" t="inlineStr">
        <is>
          <t>LV|3/C+G|350</t>
        </is>
      </c>
      <c r="L5257" s="12" t="inlineStr">
        <is>
          <t>3/C+G</t>
        </is>
      </c>
      <c r="M5257" s="12" t="inlineStr">
        <is>
          <t>350 kcmil</t>
        </is>
      </c>
      <c r="N5257" s="12" t="n">
        <v>6</v>
      </c>
      <c r="O5257" s="12" t="n">
        <v>1</v>
      </c>
      <c r="P5257" s="12" t="n">
        <v>480</v>
      </c>
      <c r="Q5257" s="12" t="n">
        <v>1000</v>
      </c>
      <c r="R5257" s="12" t="n">
        <v>1266.2</v>
      </c>
      <c r="S5257" s="12" t="inlineStr">
        <is>
          <t>Duct bank</t>
        </is>
      </c>
      <c r="T5257" s="15" t="n">
        <v>33</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I-P-0094</t>
        </is>
      </c>
      <c r="B5258" s="12" t="inlineStr">
        <is>
          <t>I</t>
        </is>
      </c>
      <c r="C5258" s="12" t="inlineStr">
        <is>
          <t>Modular / portable power</t>
        </is>
      </c>
      <c r="D5258" s="12" t="inlineStr">
        <is>
          <t>Fuel-cell AC cabinet to PAD-LV</t>
        </is>
      </c>
      <c r="E5258" s="12" t="inlineStr"/>
      <c r="F5258" s="12" t="inlineStr">
        <is>
          <t>FC-5..8 inverter / AC cabinet / desulfurizer</t>
        </is>
      </c>
      <c r="G5258" s="12" t="inlineStr">
        <is>
          <t>PAD-LV</t>
        </is>
      </c>
      <c r="H5258" s="12" t="inlineStr">
        <is>
          <t>PAD-LV 480 V paralleling switchboard</t>
        </is>
      </c>
      <c r="I5258" s="12" t="inlineStr">
        <is>
          <t>LV 600 V</t>
        </is>
      </c>
      <c r="J5258" s="12" t="inlineStr">
        <is>
          <t>Type TC-ER 600 V 3/C Cu XHHW-2 + ground, PVC jacket</t>
        </is>
      </c>
      <c r="K5258" s="12" t="inlineStr">
        <is>
          <t>LV|3/C+G|350</t>
        </is>
      </c>
      <c r="L5258" s="12" t="inlineStr">
        <is>
          <t>3/C+G</t>
        </is>
      </c>
      <c r="M5258" s="12" t="inlineStr">
        <is>
          <t>350 kcmil</t>
        </is>
      </c>
      <c r="N5258" s="12" t="n">
        <v>6</v>
      </c>
      <c r="O5258" s="12" t="n">
        <v>1</v>
      </c>
      <c r="P5258" s="12" t="n">
        <v>480</v>
      </c>
      <c r="Q5258" s="12" t="n">
        <v>1000</v>
      </c>
      <c r="R5258" s="12" t="n">
        <v>1266.2</v>
      </c>
      <c r="S5258" s="12" t="inlineStr">
        <is>
          <t>Surface</t>
        </is>
      </c>
      <c r="T5258" s="15" t="n">
        <v>157</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VD 0.6 %</t>
        </is>
      </c>
      <c r="AA5258" s="12">
        <f>N5258*O5258</f>
        <v/>
      </c>
    </row>
    <row r="5259">
      <c r="A5259" s="12" t="inlineStr">
        <is>
          <t>I-P-0095</t>
        </is>
      </c>
      <c r="B5259" s="12" t="inlineStr">
        <is>
          <t>I</t>
        </is>
      </c>
      <c r="C5259" s="12" t="inlineStr">
        <is>
          <t>Modular / portable power</t>
        </is>
      </c>
      <c r="D5259" s="12" t="inlineStr">
        <is>
          <t>PAD-LV to PAD-TX</t>
        </is>
      </c>
      <c r="E5259" s="12" t="inlineStr">
        <is>
          <t>PAD-LV</t>
        </is>
      </c>
      <c r="F5259" s="12" t="inlineStr">
        <is>
          <t>PAD-LV 480 V paralleling switchboard</t>
        </is>
      </c>
      <c r="G5259" s="12" t="inlineStr">
        <is>
          <t>PAD-TX</t>
        </is>
      </c>
      <c r="H5259" s="12" t="inlineStr">
        <is>
          <t>PAD-TX 480 V : 13.8 kV</t>
        </is>
      </c>
      <c r="I5259" s="12" t="inlineStr">
        <is>
          <t>LV 600 V</t>
        </is>
      </c>
      <c r="J5259" s="12" t="inlineStr">
        <is>
          <t>XHHW-2 600 V 1/C Cu (feeder sets in tray / duct)</t>
        </is>
      </c>
      <c r="K5259" s="12" t="inlineStr">
        <is>
          <t>LV1C|1/C|500</t>
        </is>
      </c>
      <c r="L5259" s="12" t="inlineStr">
        <is>
          <t>1/C</t>
        </is>
      </c>
      <c r="M5259" s="12" t="inlineStr">
        <is>
          <t>500 kcmil</t>
        </is>
      </c>
      <c r="N5259" s="12" t="n">
        <v>8</v>
      </c>
      <c r="O5259" s="12" t="n">
        <v>4</v>
      </c>
      <c r="P5259" s="12" t="n">
        <v>480</v>
      </c>
      <c r="Q5259" s="12" t="n">
        <v>2000</v>
      </c>
      <c r="R5259" s="12" t="n">
        <v>2400</v>
      </c>
      <c r="S5259" s="12" t="inlineStr">
        <is>
          <t>Surface</t>
        </is>
      </c>
      <c r="T5259" s="15" t="n">
        <v>25</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8 sets of 4 x 1/C (fuel-cell and linear-generator outputs)</t>
        </is>
      </c>
      <c r="AA5259" s="12">
        <f>N5259*O5259</f>
        <v/>
      </c>
    </row>
    <row r="5260">
      <c r="A5260" s="12" t="inlineStr">
        <is>
          <t>I-P-0096</t>
        </is>
      </c>
      <c r="B5260" s="12" t="inlineStr">
        <is>
          <t>I</t>
        </is>
      </c>
      <c r="C5260" s="12" t="inlineStr">
        <is>
          <t>Modular / portable power</t>
        </is>
      </c>
      <c r="D5260" s="12" t="inlineStr">
        <is>
          <t>LV panel / distribution feeder</t>
        </is>
      </c>
      <c r="E5260" s="12" t="inlineStr"/>
      <c r="F5260" s="12" t="inlineStr">
        <is>
          <t>PCM: power control module</t>
        </is>
      </c>
      <c r="G5260" s="12" t="inlineStr"/>
      <c r="H5260" s="12" t="inlineStr">
        <is>
          <t>PCM: power control module</t>
        </is>
      </c>
      <c r="I5260" s="12" t="inlineStr">
        <is>
          <t>LV 600 V</t>
        </is>
      </c>
      <c r="J5260" s="12" t="inlineStr">
        <is>
          <t>Type TC-ER 600 V 3/C Cu XHHW-2 + ground, PVC jacket</t>
        </is>
      </c>
      <c r="K5260" s="12" t="inlineStr">
        <is>
          <t>LV|3/C+G|4</t>
        </is>
      </c>
      <c r="L5260" s="12" t="inlineStr">
        <is>
          <t>3/C+G</t>
        </is>
      </c>
      <c r="M5260" s="12" t="inlineStr">
        <is>
          <t>4</t>
        </is>
      </c>
      <c r="N5260" s="12" t="n">
        <v>1</v>
      </c>
      <c r="O5260" s="12" t="n">
        <v>1</v>
      </c>
      <c r="P5260" s="12" t="n">
        <v>480</v>
      </c>
      <c r="Q5260" s="12" t="n">
        <v>38</v>
      </c>
      <c r="R5260" s="12" t="n">
        <v>53.8</v>
      </c>
      <c r="S5260" s="12" t="inlineStr">
        <is>
          <t>Tray</t>
        </is>
      </c>
      <c r="T5260" s="15" t="n">
        <v>0</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VD 0.2 %</t>
        </is>
      </c>
      <c r="AA5260" s="12">
        <f>N5260*O5260</f>
        <v/>
      </c>
    </row>
    <row r="5261">
      <c r="A5261" s="12" t="inlineStr">
        <is>
          <t>I-P-0097</t>
        </is>
      </c>
      <c r="B5261" s="12" t="inlineStr">
        <is>
          <t>I</t>
        </is>
      </c>
      <c r="C5261" s="12" t="inlineStr">
        <is>
          <t>Modular / portable power</t>
        </is>
      </c>
      <c r="D5261" s="12" t="inlineStr">
        <is>
          <t>PGS-1 480 V generator leads to the paralleling switchgear</t>
        </is>
      </c>
      <c r="E5261" s="12" t="inlineStr">
        <is>
          <t>PGS-1</t>
        </is>
      </c>
      <c r="F5261" s="12" t="inlineStr">
        <is>
          <t>PGS-1: enclosed gas genset 1 MW, 480 V (paralleled, unit 1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Riser</t>
        </is>
      </c>
      <c r="T5261" s="15" t="n">
        <v>4</v>
      </c>
      <c r="U5261" s="15" t="n">
        <v>27</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I-P-0098</t>
        </is>
      </c>
      <c r="B5262" s="12" t="inlineStr">
        <is>
          <t>I</t>
        </is>
      </c>
      <c r="C5262" s="12" t="inlineStr">
        <is>
          <t>Modular / portable power</t>
        </is>
      </c>
      <c r="D5262" s="12" t="inlineStr">
        <is>
          <t>PGS-2 480 V generator leads to the paralleling switchgear</t>
        </is>
      </c>
      <c r="E5262" s="12" t="inlineStr">
        <is>
          <t>PGS-2</t>
        </is>
      </c>
      <c r="F5262" s="12" t="inlineStr">
        <is>
          <t>PGS-2: enclosed gas genset 1 MW, 480 V (paralleled, unit 2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Riser</t>
        </is>
      </c>
      <c r="T5262" s="15" t="n">
        <v>4</v>
      </c>
      <c r="U5262" s="15" t="n">
        <v>27</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I-P-0099</t>
        </is>
      </c>
      <c r="B5263" s="12" t="inlineStr">
        <is>
          <t>I</t>
        </is>
      </c>
      <c r="C5263" s="12" t="inlineStr">
        <is>
          <t>Modular / portable power</t>
        </is>
      </c>
      <c r="D5263" s="12" t="inlineStr">
        <is>
          <t>PGS-3 480 V generator leads to the paralleling switchgear</t>
        </is>
      </c>
      <c r="E5263" s="12" t="inlineStr">
        <is>
          <t>PGS-3</t>
        </is>
      </c>
      <c r="F5263" s="12" t="inlineStr">
        <is>
          <t>PGS-3: enclosed gas genset 1 MW, 480 V (paralleled, unit 3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Riser</t>
        </is>
      </c>
      <c r="T5263" s="15" t="n">
        <v>4</v>
      </c>
      <c r="U5263" s="15" t="n">
        <v>27</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I-P-0100</t>
        </is>
      </c>
      <c r="B5264" s="12" t="inlineStr">
        <is>
          <t>I</t>
        </is>
      </c>
      <c r="C5264" s="12" t="inlineStr">
        <is>
          <t>Modular / portable power</t>
        </is>
      </c>
      <c r="D5264" s="12" t="inlineStr">
        <is>
          <t>PGS-4 480 V generator leads to the paralleling switchgear</t>
        </is>
      </c>
      <c r="E5264" s="12" t="inlineStr">
        <is>
          <t>PGS-4</t>
        </is>
      </c>
      <c r="F5264" s="12" t="inlineStr">
        <is>
          <t>PGS-4: enclosed gas genset 1 MW, 480 V (paralleled, unit 4 of 8)</t>
        </is>
      </c>
      <c r="G5264" s="12" t="inlineStr">
        <is>
          <t>PGS-SWG</t>
        </is>
      </c>
      <c r="H5264" s="12" t="inlineStr">
        <is>
          <t>PGS-SWG: 480 V paralleling switchgear (8 generator breakers, 2 transfo</t>
        </is>
      </c>
      <c r="I5264" s="12" t="inlineStr">
        <is>
          <t>LV 600 V</t>
        </is>
      </c>
      <c r="J5264" s="12" t="inlineStr">
        <is>
          <t>XHHW-2 600 V 1/C Cu (feeder sets in tray / duct)</t>
        </is>
      </c>
      <c r="K5264" s="12" t="inlineStr">
        <is>
          <t>LV1C|1/C|500</t>
        </is>
      </c>
      <c r="L5264" s="12" t="inlineStr">
        <is>
          <t>1/C</t>
        </is>
      </c>
      <c r="M5264" s="12" t="inlineStr">
        <is>
          <t>500 kcmil</t>
        </is>
      </c>
      <c r="N5264" s="12" t="n">
        <v>4</v>
      </c>
      <c r="O5264" s="12" t="n">
        <v>4</v>
      </c>
      <c r="P5264" s="12" t="n">
        <v>480</v>
      </c>
      <c r="Q5264" s="12" t="n">
        <v>1000</v>
      </c>
      <c r="R5264" s="12" t="n">
        <v>1203</v>
      </c>
      <c r="S5264" s="12" t="inlineStr">
        <is>
          <t>Riser</t>
        </is>
      </c>
      <c r="T5264" s="15" t="n">
        <v>4</v>
      </c>
      <c r="U5264" s="15" t="n">
        <v>27</v>
      </c>
      <c r="V5264" s="15">
        <f>ROUNDUP((T5264+U5264+2*'Read Me'!$B$13)*(1+'Read Me'!$B$12),-1)</f>
        <v/>
      </c>
      <c r="W5264" s="15">
        <f>V5264*N5264*O5264</f>
        <v/>
      </c>
      <c r="X5264" s="12">
        <f>IF(LEFT(I5264,2)="MV",2*N5264*IF(L5264="1/C",O5264,1),0)</f>
        <v/>
      </c>
      <c r="Y5264" s="12">
        <f>IF(OR(LEFT(K5264,4)="LVAX",LEFT(K5264,6)="MV15AX",LEFT(K5264,4)="CTAX",LEFT(K5264,2)="W|"),2*N5264*O5264,0)</f>
        <v/>
      </c>
      <c r="Z5264" s="12" t="inlineStr">
        <is>
          <t>4 sets of 4 x 1/C</t>
        </is>
      </c>
      <c r="AA5264" s="12">
        <f>N5264*O5264</f>
        <v/>
      </c>
    </row>
    <row r="5265">
      <c r="A5265" s="12" t="inlineStr">
        <is>
          <t>I-P-0101</t>
        </is>
      </c>
      <c r="B5265" s="12" t="inlineStr">
        <is>
          <t>I</t>
        </is>
      </c>
      <c r="C5265" s="12" t="inlineStr">
        <is>
          <t>Modular / portable power</t>
        </is>
      </c>
      <c r="D5265" s="12" t="inlineStr">
        <is>
          <t>PGS-5 480 V generator leads to the paralleling switchgear</t>
        </is>
      </c>
      <c r="E5265" s="12" t="inlineStr">
        <is>
          <t>PGS-5</t>
        </is>
      </c>
      <c r="F5265" s="12" t="inlineStr">
        <is>
          <t>PGS-5: enclosed gas genset 1 MW, 480 V (paralleled, unit 5 of 8)</t>
        </is>
      </c>
      <c r="G5265" s="12" t="inlineStr">
        <is>
          <t>PGS-SWG</t>
        </is>
      </c>
      <c r="H5265" s="12" t="inlineStr">
        <is>
          <t>PGS-SWG: 480 V paralleling switchgear (8 generator breakers, 2 transfo</t>
        </is>
      </c>
      <c r="I5265" s="12" t="inlineStr">
        <is>
          <t>LV 600 V</t>
        </is>
      </c>
      <c r="J5265" s="12" t="inlineStr">
        <is>
          <t>XHHW-2 600 V 1/C Cu (feeder sets in tray / duct)</t>
        </is>
      </c>
      <c r="K5265" s="12" t="inlineStr">
        <is>
          <t>LV1C|1/C|500</t>
        </is>
      </c>
      <c r="L5265" s="12" t="inlineStr">
        <is>
          <t>1/C</t>
        </is>
      </c>
      <c r="M5265" s="12" t="inlineStr">
        <is>
          <t>500 kcmil</t>
        </is>
      </c>
      <c r="N5265" s="12" t="n">
        <v>4</v>
      </c>
      <c r="O5265" s="12" t="n">
        <v>4</v>
      </c>
      <c r="P5265" s="12" t="n">
        <v>480</v>
      </c>
      <c r="Q5265" s="12" t="n">
        <v>1000</v>
      </c>
      <c r="R5265" s="12" t="n">
        <v>1203</v>
      </c>
      <c r="S5265" s="12" t="inlineStr">
        <is>
          <t>Duct bank</t>
        </is>
      </c>
      <c r="T5265" s="15" t="n">
        <v>16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4 sets of 4 x 1/C</t>
        </is>
      </c>
      <c r="AA5265" s="12">
        <f>N5265*O5265</f>
        <v/>
      </c>
    </row>
    <row r="5266">
      <c r="A5266" s="12" t="inlineStr">
        <is>
          <t>I-P-0102</t>
        </is>
      </c>
      <c r="B5266" s="12" t="inlineStr">
        <is>
          <t>I</t>
        </is>
      </c>
      <c r="C5266" s="12" t="inlineStr">
        <is>
          <t>Modular / portable power</t>
        </is>
      </c>
      <c r="D5266" s="12" t="inlineStr">
        <is>
          <t>PGS-6 480 V generator leads to the paralleling switchgear</t>
        </is>
      </c>
      <c r="E5266" s="12" t="inlineStr">
        <is>
          <t>PGS-6</t>
        </is>
      </c>
      <c r="F5266" s="12" t="inlineStr">
        <is>
          <t>PGS-6: enclosed gas genset 1 MW, 480 V (paralleled, unit 6 of 8)</t>
        </is>
      </c>
      <c r="G5266" s="12" t="inlineStr">
        <is>
          <t>PGS-SWG</t>
        </is>
      </c>
      <c r="H5266" s="12" t="inlineStr">
        <is>
          <t>PGS-SWG: 480 V paralleling switchgear (8 generator breakers, 2 transfo</t>
        </is>
      </c>
      <c r="I5266" s="12" t="inlineStr">
        <is>
          <t>LV 600 V</t>
        </is>
      </c>
      <c r="J5266" s="12" t="inlineStr">
        <is>
          <t>XHHW-2 600 V 1/C Cu (feeder sets in tray / duct)</t>
        </is>
      </c>
      <c r="K5266" s="12" t="inlineStr">
        <is>
          <t>LV1C|1/C|500</t>
        </is>
      </c>
      <c r="L5266" s="12" t="inlineStr">
        <is>
          <t>1/C</t>
        </is>
      </c>
      <c r="M5266" s="12" t="inlineStr">
        <is>
          <t>500 kcmil</t>
        </is>
      </c>
      <c r="N5266" s="12" t="n">
        <v>4</v>
      </c>
      <c r="O5266" s="12" t="n">
        <v>4</v>
      </c>
      <c r="P5266" s="12" t="n">
        <v>480</v>
      </c>
      <c r="Q5266" s="12" t="n">
        <v>1000</v>
      </c>
      <c r="R5266" s="12" t="n">
        <v>1203</v>
      </c>
      <c r="S5266" s="12" t="inlineStr">
        <is>
          <t>Duct bank</t>
        </is>
      </c>
      <c r="T5266" s="15" t="n">
        <v>28</v>
      </c>
      <c r="U5266" s="15" t="n">
        <v>32</v>
      </c>
      <c r="V5266" s="15">
        <f>ROUNDUP((T5266+U5266+2*'Read Me'!$B$13)*(1+'Read Me'!$B$12),-1)</f>
        <v/>
      </c>
      <c r="W5266" s="15">
        <f>V5266*N5266*O5266</f>
        <v/>
      </c>
      <c r="X5266" s="12">
        <f>IF(LEFT(I5266,2)="MV",2*N5266*IF(L5266="1/C",O5266,1),0)</f>
        <v/>
      </c>
      <c r="Y5266" s="12">
        <f>IF(OR(LEFT(K5266,4)="LVAX",LEFT(K5266,6)="MV15AX",LEFT(K5266,4)="CTAX",LEFT(K5266,2)="W|"),2*N5266*O5266,0)</f>
        <v/>
      </c>
      <c r="Z5266" s="12" t="inlineStr">
        <is>
          <t>4 sets of 4 x 1/C</t>
        </is>
      </c>
      <c r="AA5266" s="12">
        <f>N5266*O5266</f>
        <v/>
      </c>
    </row>
    <row r="5267">
      <c r="A5267" s="12" t="inlineStr">
        <is>
          <t>I-P-0103</t>
        </is>
      </c>
      <c r="B5267" s="12" t="inlineStr">
        <is>
          <t>I</t>
        </is>
      </c>
      <c r="C5267" s="12" t="inlineStr">
        <is>
          <t>Modular / portable power</t>
        </is>
      </c>
      <c r="D5267" s="12" t="inlineStr">
        <is>
          <t>PGS-7 480 V generator leads to the paralleling switchgear</t>
        </is>
      </c>
      <c r="E5267" s="12" t="inlineStr">
        <is>
          <t>PGS-7</t>
        </is>
      </c>
      <c r="F5267" s="12" t="inlineStr">
        <is>
          <t>PGS-7: enclosed gas genset 1 MW, 480 V (paralleled, unit 7 of 8)</t>
        </is>
      </c>
      <c r="G5267" s="12" t="inlineStr">
        <is>
          <t>PGS-SWG</t>
        </is>
      </c>
      <c r="H5267" s="12" t="inlineStr">
        <is>
          <t>PGS-SWG: 480 V paralleling switchgear (8 generator breakers, 2 transfo</t>
        </is>
      </c>
      <c r="I5267" s="12" t="inlineStr">
        <is>
          <t>LV 600 V</t>
        </is>
      </c>
      <c r="J5267" s="12" t="inlineStr">
        <is>
          <t>XHHW-2 600 V 1/C Cu (feeder sets in tray / duct)</t>
        </is>
      </c>
      <c r="K5267" s="12" t="inlineStr">
        <is>
          <t>LV1C|1/C|500</t>
        </is>
      </c>
      <c r="L5267" s="12" t="inlineStr">
        <is>
          <t>1/C</t>
        </is>
      </c>
      <c r="M5267" s="12" t="inlineStr">
        <is>
          <t>500 kcmil</t>
        </is>
      </c>
      <c r="N5267" s="12" t="n">
        <v>4</v>
      </c>
      <c r="O5267" s="12" t="n">
        <v>4</v>
      </c>
      <c r="P5267" s="12" t="n">
        <v>480</v>
      </c>
      <c r="Q5267" s="12" t="n">
        <v>1000</v>
      </c>
      <c r="R5267" s="12" t="n">
        <v>1203</v>
      </c>
      <c r="S5267" s="12" t="inlineStr">
        <is>
          <t>Duct bank</t>
        </is>
      </c>
      <c r="T5267" s="15" t="n">
        <v>40</v>
      </c>
      <c r="U5267" s="15" t="n">
        <v>32</v>
      </c>
      <c r="V5267" s="15">
        <f>ROUNDUP((T5267+U5267+2*'Read Me'!$B$13)*(1+'Read Me'!$B$12),-1)</f>
        <v/>
      </c>
      <c r="W5267" s="15">
        <f>V5267*N5267*O5267</f>
        <v/>
      </c>
      <c r="X5267" s="12">
        <f>IF(LEFT(I5267,2)="MV",2*N5267*IF(L5267="1/C",O5267,1),0)</f>
        <v/>
      </c>
      <c r="Y5267" s="12">
        <f>IF(OR(LEFT(K5267,4)="LVAX",LEFT(K5267,6)="MV15AX",LEFT(K5267,4)="CTAX",LEFT(K5267,2)="W|"),2*N5267*O5267,0)</f>
        <v/>
      </c>
      <c r="Z5267" s="12" t="inlineStr">
        <is>
          <t>4 sets of 4 x 1/C</t>
        </is>
      </c>
      <c r="AA5267" s="12">
        <f>N5267*O5267</f>
        <v/>
      </c>
    </row>
    <row r="5268">
      <c r="A5268" s="12" t="inlineStr">
        <is>
          <t>I-P-0104</t>
        </is>
      </c>
      <c r="B5268" s="12" t="inlineStr">
        <is>
          <t>I</t>
        </is>
      </c>
      <c r="C5268" s="12" t="inlineStr">
        <is>
          <t>Modular / portable power</t>
        </is>
      </c>
      <c r="D5268" s="12" t="inlineStr">
        <is>
          <t>PGS-8 480 V generator leads to the paralleling switchgear</t>
        </is>
      </c>
      <c r="E5268" s="12" t="inlineStr">
        <is>
          <t>PGS-8</t>
        </is>
      </c>
      <c r="F5268" s="12" t="inlineStr">
        <is>
          <t>PGS-8: enclosed gas genset 1 MW, 480 V (paralleled, unit 8 of 8)</t>
        </is>
      </c>
      <c r="G5268" s="12" t="inlineStr">
        <is>
          <t>PGS-SWG</t>
        </is>
      </c>
      <c r="H5268" s="12" t="inlineStr">
        <is>
          <t>PGS-SWG: 480 V paralleling switchgear (8 generator breakers, 2 transfo</t>
        </is>
      </c>
      <c r="I5268" s="12" t="inlineStr">
        <is>
          <t>LV 600 V</t>
        </is>
      </c>
      <c r="J5268" s="12" t="inlineStr">
        <is>
          <t>XHHW-2 600 V 1/C Cu (feeder sets in tray / duct)</t>
        </is>
      </c>
      <c r="K5268" s="12" t="inlineStr">
        <is>
          <t>LV1C|1/C|500</t>
        </is>
      </c>
      <c r="L5268" s="12" t="inlineStr">
        <is>
          <t>1/C</t>
        </is>
      </c>
      <c r="M5268" s="12" t="inlineStr">
        <is>
          <t>500 kcmil</t>
        </is>
      </c>
      <c r="N5268" s="12" t="n">
        <v>4</v>
      </c>
      <c r="O5268" s="12" t="n">
        <v>4</v>
      </c>
      <c r="P5268" s="12" t="n">
        <v>480</v>
      </c>
      <c r="Q5268" s="12" t="n">
        <v>1000</v>
      </c>
      <c r="R5268" s="12" t="n">
        <v>1203</v>
      </c>
      <c r="S5268" s="12" t="inlineStr">
        <is>
          <t>Duct bank</t>
        </is>
      </c>
      <c r="T5268" s="15" t="n">
        <v>52</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4 sets of 4 x 1/C</t>
        </is>
      </c>
      <c r="AA5268" s="12">
        <f>N5268*O5268</f>
        <v/>
      </c>
    </row>
    <row r="5269">
      <c r="A5269" s="12" t="inlineStr">
        <is>
          <t>I-P-0105</t>
        </is>
      </c>
      <c r="B5269" s="12" t="inlineStr">
        <is>
          <t>I</t>
        </is>
      </c>
      <c r="C5269" s="12" t="inlineStr">
        <is>
          <t>Modular / portable power</t>
        </is>
      </c>
      <c r="D5269" s="12" t="inlineStr">
        <is>
          <t>PGS-SWG main 1 to PGS-TX1 480 V secondary</t>
        </is>
      </c>
      <c r="E5269" s="12" t="inlineStr">
        <is>
          <t>PGS-SWG</t>
        </is>
      </c>
      <c r="F5269" s="12" t="inlineStr">
        <is>
          <t>PGS-SWG: 480 V paralleling switchgear (8 generator breakers, 2 transfo</t>
        </is>
      </c>
      <c r="G5269" s="12" t="inlineStr">
        <is>
          <t>PGS-TX1</t>
        </is>
      </c>
      <c r="H5269" s="12" t="inlineStr">
        <is>
          <t>PGS-TX1: 480 V : 34.5 kV, ~5 MVA loop-feed pad-mount (gensets 1-4)</t>
        </is>
      </c>
      <c r="I5269" s="12" t="inlineStr">
        <is>
          <t>LV 600 V</t>
        </is>
      </c>
      <c r="J5269" s="12" t="inlineStr">
        <is>
          <t>XHHW-2 600 V 1/C Cu (feeder sets in tray / duct)</t>
        </is>
      </c>
      <c r="K5269" s="12" t="inlineStr">
        <is>
          <t>LV1C|1/C|600</t>
        </is>
      </c>
      <c r="L5269" s="12" t="inlineStr">
        <is>
          <t>1/C</t>
        </is>
      </c>
      <c r="M5269" s="12" t="inlineStr">
        <is>
          <t>600 kcmil</t>
        </is>
      </c>
      <c r="N5269" s="12" t="n">
        <v>12</v>
      </c>
      <c r="O5269" s="12" t="n">
        <v>4</v>
      </c>
      <c r="P5269" s="12" t="n">
        <v>480</v>
      </c>
      <c r="Q5269" s="12" t="n">
        <v>4000</v>
      </c>
      <c r="R5269" s="12" t="n">
        <v>4811</v>
      </c>
      <c r="S5269" s="12" t="inlineStr">
        <is>
          <t>Surface</t>
        </is>
      </c>
      <c r="T5269" s="15" t="n">
        <v>75</v>
      </c>
      <c r="U5269" s="15" t="n">
        <v>32</v>
      </c>
      <c r="V5269" s="15">
        <f>ROUNDUP((T5269+U5269+2*'Read Me'!$B$13)*(1+'Read Me'!$B$12),-1)</f>
        <v/>
      </c>
      <c r="W5269" s="15">
        <f>V5269*N5269*O5269</f>
        <v/>
      </c>
      <c r="X5269" s="12">
        <f>IF(LEFT(I5269,2)="MV",2*N5269*IF(L5269="1/C",O5269,1),0)</f>
        <v/>
      </c>
      <c r="Y5269" s="12">
        <f>IF(OR(LEFT(K5269,4)="LVAX",LEFT(K5269,6)="MV15AX",LEFT(K5269,4)="CTAX",LEFT(K5269,2)="W|"),2*N5269*O5269,0)</f>
        <v/>
      </c>
      <c r="Z5269" s="12" t="inlineStr">
        <is>
          <t>12 sets of 4 x 1/C</t>
        </is>
      </c>
      <c r="AA5269" s="12">
        <f>N5269*O5269</f>
        <v/>
      </c>
    </row>
    <row r="5270">
      <c r="A5270" s="12" t="inlineStr">
        <is>
          <t>I-P-0106</t>
        </is>
      </c>
      <c r="B5270" s="12" t="inlineStr">
        <is>
          <t>I</t>
        </is>
      </c>
      <c r="C5270" s="12" t="inlineStr">
        <is>
          <t>Modular / portable power</t>
        </is>
      </c>
      <c r="D5270" s="12" t="inlineStr">
        <is>
          <t>PGS-SWG main 2 to PGS-TX2 480 V secondary</t>
        </is>
      </c>
      <c r="E5270" s="12" t="inlineStr">
        <is>
          <t>PGS-SWG</t>
        </is>
      </c>
      <c r="F5270" s="12" t="inlineStr">
        <is>
          <t>PGS-SWG: 480 V paralleling switchgear (8 generator breakers, 2 transfo</t>
        </is>
      </c>
      <c r="G5270" s="12" t="inlineStr">
        <is>
          <t>PGS-TX2</t>
        </is>
      </c>
      <c r="H5270" s="12" t="inlineStr">
        <is>
          <t>PGS-TX2: 480 V : 34.5 kV, ~5 MVA loop-feed pad-mount (gensets 5-8)</t>
        </is>
      </c>
      <c r="I5270" s="12" t="inlineStr">
        <is>
          <t>LV 600 V</t>
        </is>
      </c>
      <c r="J5270" s="12" t="inlineStr">
        <is>
          <t>XHHW-2 600 V 1/C Cu (feeder sets in tray / duct)</t>
        </is>
      </c>
      <c r="K5270" s="12" t="inlineStr">
        <is>
          <t>LV1C|1/C|600</t>
        </is>
      </c>
      <c r="L5270" s="12" t="inlineStr">
        <is>
          <t>1/C</t>
        </is>
      </c>
      <c r="M5270" s="12" t="inlineStr">
        <is>
          <t>600 kcmil</t>
        </is>
      </c>
      <c r="N5270" s="12" t="n">
        <v>12</v>
      </c>
      <c r="O5270" s="12" t="n">
        <v>4</v>
      </c>
      <c r="P5270" s="12" t="n">
        <v>480</v>
      </c>
      <c r="Q5270" s="12" t="n">
        <v>4000</v>
      </c>
      <c r="R5270" s="12" t="n">
        <v>4811</v>
      </c>
      <c r="S5270" s="12" t="inlineStr">
        <is>
          <t>Surface</t>
        </is>
      </c>
      <c r="T5270" s="15" t="n">
        <v>46</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12 sets of 4 x 1/C</t>
        </is>
      </c>
      <c r="AA5270" s="12">
        <f>N5270*O5270</f>
        <v/>
      </c>
    </row>
    <row r="5271">
      <c r="A5271" s="12" t="inlineStr">
        <is>
          <t>I-P-0107</t>
        </is>
      </c>
      <c r="B5271" s="12" t="inlineStr">
        <is>
          <t>I</t>
        </is>
      </c>
      <c r="C5271" s="12" t="inlineStr">
        <is>
          <t>Modular / portable power</t>
        </is>
      </c>
      <c r="D5271" s="12" t="inlineStr">
        <is>
          <t>Motor 1 of 1, 15 kW</t>
        </is>
      </c>
      <c r="E5271" s="12" t="inlineStr"/>
      <c r="F5271" s="12" t="inlineStr">
        <is>
          <t>PCM: power control module</t>
        </is>
      </c>
      <c r="G5271" s="12" t="inlineStr"/>
      <c r="H5271" s="12" t="inlineStr">
        <is>
          <t>RICE 1 SCR + oxidation catalyst and stack</t>
        </is>
      </c>
      <c r="I5271" s="12" t="inlineStr">
        <is>
          <t>LV 600 V</t>
        </is>
      </c>
      <c r="J5271" s="12" t="inlineStr">
        <is>
          <t>Type TC-ER 600 V 3/C Cu XHHW-2 + ground, PVC jacket</t>
        </is>
      </c>
      <c r="K5271" s="12" t="inlineStr">
        <is>
          <t>LV|3/C+G|6</t>
        </is>
      </c>
      <c r="L5271" s="12" t="inlineStr">
        <is>
          <t>3/C+G</t>
        </is>
      </c>
      <c r="M5271" s="12" t="inlineStr">
        <is>
          <t>6</t>
        </is>
      </c>
      <c r="N5271" s="12" t="n">
        <v>1</v>
      </c>
      <c r="O5271" s="12" t="n">
        <v>1</v>
      </c>
      <c r="P5271" s="12" t="n">
        <v>480</v>
      </c>
      <c r="Q5271" s="12" t="n">
        <v>15</v>
      </c>
      <c r="R5271" s="12" t="n">
        <v>21.2</v>
      </c>
      <c r="S5271" s="12" t="inlineStr">
        <is>
          <t>Duct bank</t>
        </is>
      </c>
      <c r="T5271" s="15" t="n">
        <v>436</v>
      </c>
      <c r="U5271" s="15" t="n">
        <v>160</v>
      </c>
      <c r="V5271" s="15">
        <f>ROUNDUP((T5271+U5271+2*'Read Me'!$B$13)*(1+'Read Me'!$B$12),-1)</f>
        <v/>
      </c>
      <c r="W5271" s="15">
        <f>V5271*N5271*O5271</f>
        <v/>
      </c>
      <c r="X5271" s="12">
        <f>IF(LEFT(I5271,2)="MV",2*N5271*IF(L5271="1/C",O5271,1),0)</f>
        <v/>
      </c>
      <c r="Y5271" s="12">
        <f>IF(OR(LEFT(K5271,4)="LVAX",LEFT(K5271,6)="MV15AX",LEFT(K5271,4)="CTAX",LEFT(K5271,2)="W|"),2*N5271*O5271,0)</f>
        <v/>
      </c>
      <c r="Z5271" s="12" t="inlineStr">
        <is>
          <t>VD 2.5 %</t>
        </is>
      </c>
      <c r="AA5271" s="12">
        <f>N5271*O5271</f>
        <v/>
      </c>
    </row>
    <row r="5272">
      <c r="A5272" s="12" t="inlineStr">
        <is>
          <t>I-P-0108</t>
        </is>
      </c>
      <c r="B5272" s="12" t="inlineStr">
        <is>
          <t>I</t>
        </is>
      </c>
      <c r="C5272" s="12" t="inlineStr">
        <is>
          <t>Modular / portable power</t>
        </is>
      </c>
      <c r="D5272" s="12" t="inlineStr">
        <is>
          <t>Area / platform lighting circuit 1 (6 fixtures)</t>
        </is>
      </c>
      <c r="E5272" s="12" t="inlineStr"/>
      <c r="F5272" s="12" t="inlineStr">
        <is>
          <t>PCM: power control module</t>
        </is>
      </c>
      <c r="G5272" s="12" t="inlineStr"/>
      <c r="H5272" s="12" t="inlineStr">
        <is>
          <t>RICE 1 SCR + oxidation catalyst and stack</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3</v>
      </c>
      <c r="R5272" s="12" t="n">
        <v>5</v>
      </c>
      <c r="S5272" s="12" t="inlineStr">
        <is>
          <t>Duct bank</t>
        </is>
      </c>
      <c r="T5272" s="15" t="n">
        <v>736</v>
      </c>
      <c r="U5272" s="15" t="n">
        <v>160</v>
      </c>
      <c r="V5272" s="15">
        <f>ROUNDUP((T5272+U5272+2*'Read Me'!$B$13)*(1+'Read Me'!$B$12),-1)</f>
        <v/>
      </c>
      <c r="W5272" s="15">
        <f>V5272*N5272*O5272</f>
        <v/>
      </c>
      <c r="X5272" s="12">
        <f>IF(LEFT(I5272,2)="MV",2*N5272*IF(L5272="1/C",O5272,1),0)</f>
        <v/>
      </c>
      <c r="Y5272" s="12">
        <f>IF(OR(LEFT(K5272,4)="LVAX",LEFT(K5272,6)="MV15AX",LEFT(K5272,4)="CTAX",LEFT(K5272,2)="W|"),2*N5272*O5272,0)</f>
        <v/>
      </c>
      <c r="Z5272" s="12" t="inlineStr">
        <is>
          <t>fixture-to-fixture run included</t>
        </is>
      </c>
      <c r="AA5272" s="12">
        <f>N5272*O5272</f>
        <v/>
      </c>
    </row>
    <row r="5273">
      <c r="A5273" s="12" t="inlineStr">
        <is>
          <t>I-P-0109</t>
        </is>
      </c>
      <c r="B5273" s="12" t="inlineStr">
        <is>
          <t>I</t>
        </is>
      </c>
      <c r="C5273" s="12" t="inlineStr">
        <is>
          <t>Modular / portable power</t>
        </is>
      </c>
      <c r="D5273" s="12" t="inlineStr">
        <is>
          <t>Motor 1 of 5, 30 kW (VFD output)</t>
        </is>
      </c>
      <c r="E5273" s="12" t="inlineStr"/>
      <c r="F5273" s="12" t="inlineStr">
        <is>
          <t>PCM: power control module</t>
        </is>
      </c>
      <c r="G5273" s="12" t="inlineStr"/>
      <c r="H5273" s="12" t="inlineStr">
        <is>
          <t>RICE 1 radiators (5)</t>
        </is>
      </c>
      <c r="I5273" s="12" t="inlineStr">
        <is>
          <t>LV 600 V</t>
        </is>
      </c>
      <c r="J5273" s="12" t="inlineStr">
        <is>
          <t>VFD cable 600 V 3/C Cu XHHW-2, 3 symmetrical grounds, overall Cu tape shield, TC-ER</t>
        </is>
      </c>
      <c r="K5273" s="12" t="inlineStr">
        <is>
          <t>VFD|3/C+3G|1</t>
        </is>
      </c>
      <c r="L5273" s="12" t="inlineStr">
        <is>
          <t>3/C+3G</t>
        </is>
      </c>
      <c r="M5273" s="12" t="inlineStr">
        <is>
          <t>1</t>
        </is>
      </c>
      <c r="N5273" s="12" t="n">
        <v>1</v>
      </c>
      <c r="O5273" s="12" t="n">
        <v>1</v>
      </c>
      <c r="P5273" s="12" t="n">
        <v>480</v>
      </c>
      <c r="Q5273" s="12" t="n">
        <v>30</v>
      </c>
      <c r="R5273" s="12" t="n">
        <v>42</v>
      </c>
      <c r="S5273" s="12" t="inlineStr">
        <is>
          <t>Duct bank</t>
        </is>
      </c>
      <c r="T5273" s="15" t="n">
        <v>791</v>
      </c>
      <c r="U5273" s="15" t="n">
        <v>139</v>
      </c>
      <c r="V5273" s="15">
        <f>ROUNDUP((T5273+U5273+2*'Read Me'!$B$13)*(1+'Read Me'!$B$12),-1)</f>
        <v/>
      </c>
      <c r="W5273" s="15">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I-P-0110</t>
        </is>
      </c>
      <c r="B5274" s="12" t="inlineStr">
        <is>
          <t>I</t>
        </is>
      </c>
      <c r="C5274" s="12" t="inlineStr">
        <is>
          <t>Modular / portable power</t>
        </is>
      </c>
      <c r="D5274" s="12" t="inlineStr">
        <is>
          <t>Motor 2 of 5, 30 kW (VFD output)</t>
        </is>
      </c>
      <c r="E5274" s="12" t="inlineStr"/>
      <c r="F5274" s="12" t="inlineStr">
        <is>
          <t>PCM: power control module</t>
        </is>
      </c>
      <c r="G5274" s="12" t="inlineStr"/>
      <c r="H5274" s="12" t="inlineStr">
        <is>
          <t>RICE 1 radiators (5)</t>
        </is>
      </c>
      <c r="I5274" s="12" t="inlineStr">
        <is>
          <t>LV 600 V</t>
        </is>
      </c>
      <c r="J5274" s="12" t="inlineStr">
        <is>
          <t>VFD cable 600 V 3/C Cu XHHW-2, 3 symmetrical grounds, overall Cu tape shield, TC-ER</t>
        </is>
      </c>
      <c r="K5274" s="12" t="inlineStr">
        <is>
          <t>VFD|3/C+3G|1</t>
        </is>
      </c>
      <c r="L5274" s="12" t="inlineStr">
        <is>
          <t>3/C+3G</t>
        </is>
      </c>
      <c r="M5274" s="12" t="inlineStr">
        <is>
          <t>1</t>
        </is>
      </c>
      <c r="N5274" s="12" t="n">
        <v>1</v>
      </c>
      <c r="O5274" s="12" t="n">
        <v>1</v>
      </c>
      <c r="P5274" s="12" t="n">
        <v>480</v>
      </c>
      <c r="Q5274" s="12" t="n">
        <v>30</v>
      </c>
      <c r="R5274" s="12" t="n">
        <v>42</v>
      </c>
      <c r="S5274" s="12" t="inlineStr">
        <is>
          <t>Duct bank</t>
        </is>
      </c>
      <c r="T5274" s="15" t="n">
        <v>791</v>
      </c>
      <c r="U5274" s="15" t="n">
        <v>139</v>
      </c>
      <c r="V5274" s="15">
        <f>ROUNDUP((T5274+U5274+2*'Read Me'!$B$13)*(1+'Read Me'!$B$12),-1)</f>
        <v/>
      </c>
      <c r="W5274" s="15">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I-P-0111</t>
        </is>
      </c>
      <c r="B5275" s="12" t="inlineStr">
        <is>
          <t>I</t>
        </is>
      </c>
      <c r="C5275" s="12" t="inlineStr">
        <is>
          <t>Modular / portable power</t>
        </is>
      </c>
      <c r="D5275" s="12" t="inlineStr">
        <is>
          <t>Motor 3 of 5, 30 kW (VFD output)</t>
        </is>
      </c>
      <c r="E5275" s="12" t="inlineStr"/>
      <c r="F5275" s="12" t="inlineStr">
        <is>
          <t>PCM: power control module</t>
        </is>
      </c>
      <c r="G5275" s="12" t="inlineStr"/>
      <c r="H5275" s="12" t="inlineStr">
        <is>
          <t>RICE 1 radiators (5)</t>
        </is>
      </c>
      <c r="I5275" s="12" t="inlineStr">
        <is>
          <t>LV 600 V</t>
        </is>
      </c>
      <c r="J5275" s="12" t="inlineStr">
        <is>
          <t>VFD cable 600 V 3/C Cu XHHW-2, 3 symmetrical grounds, overall Cu tape shield, TC-ER</t>
        </is>
      </c>
      <c r="K5275" s="12" t="inlineStr">
        <is>
          <t>VFD|3/C+3G|1</t>
        </is>
      </c>
      <c r="L5275" s="12" t="inlineStr">
        <is>
          <t>3/C+3G</t>
        </is>
      </c>
      <c r="M5275" s="12" t="inlineStr">
        <is>
          <t>1</t>
        </is>
      </c>
      <c r="N5275" s="12" t="n">
        <v>1</v>
      </c>
      <c r="O5275" s="12" t="n">
        <v>1</v>
      </c>
      <c r="P5275" s="12" t="n">
        <v>480</v>
      </c>
      <c r="Q5275" s="12" t="n">
        <v>30</v>
      </c>
      <c r="R5275" s="12" t="n">
        <v>42</v>
      </c>
      <c r="S5275" s="12" t="inlineStr">
        <is>
          <t>Duct bank</t>
        </is>
      </c>
      <c r="T5275" s="15" t="n">
        <v>791</v>
      </c>
      <c r="U5275" s="15" t="n">
        <v>139</v>
      </c>
      <c r="V5275" s="15">
        <f>ROUNDUP((T5275+U5275+2*'Read Me'!$B$13)*(1+'Read Me'!$B$12),-1)</f>
        <v/>
      </c>
      <c r="W5275" s="15">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I-P-0112</t>
        </is>
      </c>
      <c r="B5276" s="12" t="inlineStr">
        <is>
          <t>I</t>
        </is>
      </c>
      <c r="C5276" s="12" t="inlineStr">
        <is>
          <t>Modular / portable power</t>
        </is>
      </c>
      <c r="D5276" s="12" t="inlineStr">
        <is>
          <t>Motor 4 of 5, 30 kW (VFD output)</t>
        </is>
      </c>
      <c r="E5276" s="12" t="inlineStr"/>
      <c r="F5276" s="12" t="inlineStr">
        <is>
          <t>PCM: power control module</t>
        </is>
      </c>
      <c r="G5276" s="12" t="inlineStr"/>
      <c r="H5276" s="12" t="inlineStr">
        <is>
          <t>RICE 1 radiators (5)</t>
        </is>
      </c>
      <c r="I5276" s="12" t="inlineStr">
        <is>
          <t>LV 600 V</t>
        </is>
      </c>
      <c r="J5276" s="12" t="inlineStr">
        <is>
          <t>VFD cable 600 V 3/C Cu XHHW-2, 3 symmetrical grounds, overall Cu tape shield, TC-ER</t>
        </is>
      </c>
      <c r="K5276" s="12" t="inlineStr">
        <is>
          <t>VFD|3/C+3G|1</t>
        </is>
      </c>
      <c r="L5276" s="12" t="inlineStr">
        <is>
          <t>3/C+3G</t>
        </is>
      </c>
      <c r="M5276" s="12" t="inlineStr">
        <is>
          <t>1</t>
        </is>
      </c>
      <c r="N5276" s="12" t="n">
        <v>1</v>
      </c>
      <c r="O5276" s="12" t="n">
        <v>1</v>
      </c>
      <c r="P5276" s="12" t="n">
        <v>480</v>
      </c>
      <c r="Q5276" s="12" t="n">
        <v>30</v>
      </c>
      <c r="R5276" s="12" t="n">
        <v>42</v>
      </c>
      <c r="S5276" s="12" t="inlineStr">
        <is>
          <t>Duct bank</t>
        </is>
      </c>
      <c r="T5276" s="15" t="n">
        <v>791</v>
      </c>
      <c r="U5276" s="15" t="n">
        <v>139</v>
      </c>
      <c r="V5276" s="15">
        <f>ROUNDUP((T5276+U5276+2*'Read Me'!$B$13)*(1+'Read Me'!$B$12),-1)</f>
        <v/>
      </c>
      <c r="W5276" s="15">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I-P-0113</t>
        </is>
      </c>
      <c r="B5277" s="12" t="inlineStr">
        <is>
          <t>I</t>
        </is>
      </c>
      <c r="C5277" s="12" t="inlineStr">
        <is>
          <t>Modular / portable power</t>
        </is>
      </c>
      <c r="D5277" s="12" t="inlineStr">
        <is>
          <t>Motor 5 of 5, 30 kW (VFD output)</t>
        </is>
      </c>
      <c r="E5277" s="12" t="inlineStr"/>
      <c r="F5277" s="12" t="inlineStr">
        <is>
          <t>PCM: power control module</t>
        </is>
      </c>
      <c r="G5277" s="12" t="inlineStr"/>
      <c r="H5277" s="12" t="inlineStr">
        <is>
          <t>RICE 1 radiators (5)</t>
        </is>
      </c>
      <c r="I5277" s="12" t="inlineStr">
        <is>
          <t>LV 600 V</t>
        </is>
      </c>
      <c r="J5277" s="12" t="inlineStr">
        <is>
          <t>VFD cable 600 V 3/C Cu XHHW-2, 3 symmetrical grounds, overall Cu tape shield, TC-ER</t>
        </is>
      </c>
      <c r="K5277" s="12" t="inlineStr">
        <is>
          <t>VFD|3/C+3G|1</t>
        </is>
      </c>
      <c r="L5277" s="12" t="inlineStr">
        <is>
          <t>3/C+3G</t>
        </is>
      </c>
      <c r="M5277" s="12" t="inlineStr">
        <is>
          <t>1</t>
        </is>
      </c>
      <c r="N5277" s="12" t="n">
        <v>1</v>
      </c>
      <c r="O5277" s="12" t="n">
        <v>1</v>
      </c>
      <c r="P5277" s="12" t="n">
        <v>480</v>
      </c>
      <c r="Q5277" s="12" t="n">
        <v>30</v>
      </c>
      <c r="R5277" s="12" t="n">
        <v>42</v>
      </c>
      <c r="S5277" s="12" t="inlineStr">
        <is>
          <t>Duct bank</t>
        </is>
      </c>
      <c r="T5277" s="15" t="n">
        <v>791</v>
      </c>
      <c r="U5277" s="15" t="n">
        <v>139</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I-P-0114</t>
        </is>
      </c>
      <c r="B5278" s="12" t="inlineStr">
        <is>
          <t>I</t>
        </is>
      </c>
      <c r="C5278" s="12" t="inlineStr">
        <is>
          <t>Modular / portable power</t>
        </is>
      </c>
      <c r="D5278" s="12" t="inlineStr">
        <is>
          <t>Motor 1 of 1, 15 kW</t>
        </is>
      </c>
      <c r="E5278" s="12" t="inlineStr"/>
      <c r="F5278" s="12" t="inlineStr">
        <is>
          <t>PCM: power control module</t>
        </is>
      </c>
      <c r="G5278" s="12" t="inlineStr"/>
      <c r="H5278" s="12" t="inlineStr">
        <is>
          <t>RICE 2 SCR + oxidation catalyst and stack</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15</v>
      </c>
      <c r="R5278" s="12" t="n">
        <v>21.2</v>
      </c>
      <c r="S5278" s="12" t="inlineStr">
        <is>
          <t>Duct bank</t>
        </is>
      </c>
      <c r="T5278" s="15" t="n">
        <v>436</v>
      </c>
      <c r="U5278" s="15" t="n">
        <v>132</v>
      </c>
      <c r="V5278" s="15">
        <f>ROUNDUP((T5278+U5278+2*'Read Me'!$B$13)*(1+'Read Me'!$B$12),-1)</f>
        <v/>
      </c>
      <c r="W5278" s="15">
        <f>V5278*N5278*O5278</f>
        <v/>
      </c>
      <c r="X5278" s="12">
        <f>IF(LEFT(I5278,2)="MV",2*N5278*IF(L5278="1/C",O5278,1),0)</f>
        <v/>
      </c>
      <c r="Y5278" s="12">
        <f>IF(OR(LEFT(K5278,4)="LVAX",LEFT(K5278,6)="MV15AX",LEFT(K5278,4)="CTAX",LEFT(K5278,2)="W|"),2*N5278*O5278,0)</f>
        <v/>
      </c>
      <c r="Z5278" s="12" t="inlineStr">
        <is>
          <t>VD 2.3 %</t>
        </is>
      </c>
      <c r="AA5278" s="12">
        <f>N5278*O5278</f>
        <v/>
      </c>
    </row>
    <row r="5279">
      <c r="A5279" s="12" t="inlineStr">
        <is>
          <t>I-P-0115</t>
        </is>
      </c>
      <c r="B5279" s="12" t="inlineStr">
        <is>
          <t>I</t>
        </is>
      </c>
      <c r="C5279" s="12" t="inlineStr">
        <is>
          <t>Modular / portable power</t>
        </is>
      </c>
      <c r="D5279" s="12" t="inlineStr">
        <is>
          <t>Area / platform lighting circuit 1 (6 fixtures)</t>
        </is>
      </c>
      <c r="E5279" s="12" t="inlineStr"/>
      <c r="F5279" s="12" t="inlineStr">
        <is>
          <t>PCM: power control module</t>
        </is>
      </c>
      <c r="G5279" s="12" t="inlineStr"/>
      <c r="H5279" s="12" t="inlineStr">
        <is>
          <t>RICE 2 SCR + oxidation catalyst and stack</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5" t="n">
        <v>736</v>
      </c>
      <c r="U5279" s="15" t="n">
        <v>132</v>
      </c>
      <c r="V5279" s="15">
        <f>ROUNDUP((T5279+U5279+2*'Read Me'!$B$13)*(1+'Read Me'!$B$12),-1)</f>
        <v/>
      </c>
      <c r="W5279" s="15">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I-P-0116</t>
        </is>
      </c>
      <c r="B5280" s="12" t="inlineStr">
        <is>
          <t>I</t>
        </is>
      </c>
      <c r="C5280" s="12" t="inlineStr">
        <is>
          <t>Modular / portable power</t>
        </is>
      </c>
      <c r="D5280" s="12" t="inlineStr">
        <is>
          <t>Motor 1 of 5, 30 kW (VFD output)</t>
        </is>
      </c>
      <c r="E5280" s="12" t="inlineStr"/>
      <c r="F5280" s="12" t="inlineStr">
        <is>
          <t>PCM: power control module</t>
        </is>
      </c>
      <c r="G5280" s="12" t="inlineStr"/>
      <c r="H5280" s="12" t="inlineStr">
        <is>
          <t>RICE 2 radiators (5)</t>
        </is>
      </c>
      <c r="I5280" s="12" t="inlineStr">
        <is>
          <t>LV 600 V</t>
        </is>
      </c>
      <c r="J5280" s="12" t="inlineStr">
        <is>
          <t>VFD cable 600 V 3/C Cu XHHW-2, 3 symmetrical grounds, overall Cu tape shield, TC-ER</t>
        </is>
      </c>
      <c r="K5280" s="12" t="inlineStr">
        <is>
          <t>VFD|3/C+3G|2</t>
        </is>
      </c>
      <c r="L5280" s="12" t="inlineStr">
        <is>
          <t>3/C+3G</t>
        </is>
      </c>
      <c r="M5280" s="12" t="inlineStr">
        <is>
          <t>2</t>
        </is>
      </c>
      <c r="N5280" s="12" t="n">
        <v>1</v>
      </c>
      <c r="O5280" s="12" t="n">
        <v>1</v>
      </c>
      <c r="P5280" s="12" t="n">
        <v>480</v>
      </c>
      <c r="Q5280" s="12" t="n">
        <v>30</v>
      </c>
      <c r="R5280" s="12" t="n">
        <v>42</v>
      </c>
      <c r="S5280" s="12" t="inlineStr">
        <is>
          <t>Duct bank</t>
        </is>
      </c>
      <c r="T5280" s="15" t="n">
        <v>596</v>
      </c>
      <c r="U5280" s="15" t="n">
        <v>192</v>
      </c>
      <c r="V5280" s="15">
        <f>ROUNDUP((T5280+U5280+2*'Read Me'!$B$13)*(1+'Read Me'!$B$12),-1)</f>
        <v/>
      </c>
      <c r="W5280" s="15">
        <f>V5280*N5280*O5280</f>
        <v/>
      </c>
      <c r="X5280" s="12">
        <f>IF(LEFT(I5280,2)="MV",2*N5280*IF(L5280="1/C",O5280,1),0)</f>
        <v/>
      </c>
      <c r="Y5280" s="12">
        <f>IF(OR(LEFT(K5280,4)="LVAX",LEFT(K5280,6)="MV15AX",LEFT(K5280,4)="CTAX",LEFT(K5280,2)="W|"),2*N5280*O5280,0)</f>
        <v/>
      </c>
      <c r="Z5280" s="12" t="inlineStr">
        <is>
          <t>VD 2.6 %</t>
        </is>
      </c>
      <c r="AA5280" s="12">
        <f>N5280*O5280</f>
        <v/>
      </c>
    </row>
    <row r="5281">
      <c r="A5281" s="12" t="inlineStr">
        <is>
          <t>I-P-0117</t>
        </is>
      </c>
      <c r="B5281" s="12" t="inlineStr">
        <is>
          <t>I</t>
        </is>
      </c>
      <c r="C5281" s="12" t="inlineStr">
        <is>
          <t>Modular / portable power</t>
        </is>
      </c>
      <c r="D5281" s="12" t="inlineStr">
        <is>
          <t>Motor 2 of 5, 30 kW (VFD output)</t>
        </is>
      </c>
      <c r="E5281" s="12" t="inlineStr"/>
      <c r="F5281" s="12" t="inlineStr">
        <is>
          <t>PCM: power control module</t>
        </is>
      </c>
      <c r="G5281" s="12" t="inlineStr"/>
      <c r="H5281" s="12" t="inlineStr">
        <is>
          <t>RICE 2 radiators (5)</t>
        </is>
      </c>
      <c r="I5281" s="12" t="inlineStr">
        <is>
          <t>LV 600 V</t>
        </is>
      </c>
      <c r="J5281" s="12" t="inlineStr">
        <is>
          <t>VFD cable 600 V 3/C Cu XHHW-2, 3 symmetrical grounds, overall Cu tape shield, TC-ER</t>
        </is>
      </c>
      <c r="K5281" s="12" t="inlineStr">
        <is>
          <t>VFD|3/C+3G|2</t>
        </is>
      </c>
      <c r="L5281" s="12" t="inlineStr">
        <is>
          <t>3/C+3G</t>
        </is>
      </c>
      <c r="M5281" s="12" t="inlineStr">
        <is>
          <t>2</t>
        </is>
      </c>
      <c r="N5281" s="12" t="n">
        <v>1</v>
      </c>
      <c r="O5281" s="12" t="n">
        <v>1</v>
      </c>
      <c r="P5281" s="12" t="n">
        <v>480</v>
      </c>
      <c r="Q5281" s="12" t="n">
        <v>30</v>
      </c>
      <c r="R5281" s="12" t="n">
        <v>42</v>
      </c>
      <c r="S5281" s="12" t="inlineStr">
        <is>
          <t>Duct bank</t>
        </is>
      </c>
      <c r="T5281" s="15" t="n">
        <v>596</v>
      </c>
      <c r="U5281" s="15" t="n">
        <v>192</v>
      </c>
      <c r="V5281" s="15">
        <f>ROUNDUP((T5281+U5281+2*'Read Me'!$B$13)*(1+'Read Me'!$B$12),-1)</f>
        <v/>
      </c>
      <c r="W5281" s="15">
        <f>V5281*N5281*O5281</f>
        <v/>
      </c>
      <c r="X5281" s="12">
        <f>IF(LEFT(I5281,2)="MV",2*N5281*IF(L5281="1/C",O5281,1),0)</f>
        <v/>
      </c>
      <c r="Y5281" s="12">
        <f>IF(OR(LEFT(K5281,4)="LVAX",LEFT(K5281,6)="MV15AX",LEFT(K5281,4)="CTAX",LEFT(K5281,2)="W|"),2*N5281*O5281,0)</f>
        <v/>
      </c>
      <c r="Z5281" s="12" t="inlineStr">
        <is>
          <t>VD 2.6 %</t>
        </is>
      </c>
      <c r="AA5281" s="12">
        <f>N5281*O5281</f>
        <v/>
      </c>
    </row>
    <row r="5282">
      <c r="A5282" s="12" t="inlineStr">
        <is>
          <t>I-P-0118</t>
        </is>
      </c>
      <c r="B5282" s="12" t="inlineStr">
        <is>
          <t>I</t>
        </is>
      </c>
      <c r="C5282" s="12" t="inlineStr">
        <is>
          <t>Modular / portable power</t>
        </is>
      </c>
      <c r="D5282" s="12" t="inlineStr">
        <is>
          <t>Motor 3 of 5, 30 kW (VFD output)</t>
        </is>
      </c>
      <c r="E5282" s="12" t="inlineStr"/>
      <c r="F5282" s="12" t="inlineStr">
        <is>
          <t>PCM: power control module</t>
        </is>
      </c>
      <c r="G5282" s="12" t="inlineStr"/>
      <c r="H5282" s="12" t="inlineStr">
        <is>
          <t>RICE 2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596</v>
      </c>
      <c r="U5282" s="15" t="n">
        <v>192</v>
      </c>
      <c r="V5282" s="15">
        <f>ROUNDUP((T5282+U5282+2*'Read Me'!$B$13)*(1+'Read Me'!$B$12),-1)</f>
        <v/>
      </c>
      <c r="W5282" s="15">
        <f>V5282*N5282*O5282</f>
        <v/>
      </c>
      <c r="X5282" s="12">
        <f>IF(LEFT(I5282,2)="MV",2*N5282*IF(L5282="1/C",O5282,1),0)</f>
        <v/>
      </c>
      <c r="Y5282" s="12">
        <f>IF(OR(LEFT(K5282,4)="LVAX",LEFT(K5282,6)="MV15AX",LEFT(K5282,4)="CTAX",LEFT(K5282,2)="W|"),2*N5282*O5282,0)</f>
        <v/>
      </c>
      <c r="Z5282" s="12" t="inlineStr">
        <is>
          <t>VD 2.6 %</t>
        </is>
      </c>
      <c r="AA5282" s="12">
        <f>N5282*O5282</f>
        <v/>
      </c>
    </row>
    <row r="5283">
      <c r="A5283" s="12" t="inlineStr">
        <is>
          <t>I-P-0119</t>
        </is>
      </c>
      <c r="B5283" s="12" t="inlineStr">
        <is>
          <t>I</t>
        </is>
      </c>
      <c r="C5283" s="12" t="inlineStr">
        <is>
          <t>Modular / portable power</t>
        </is>
      </c>
      <c r="D5283" s="12" t="inlineStr">
        <is>
          <t>Motor 4 of 5, 30 kW (VFD output)</t>
        </is>
      </c>
      <c r="E5283" s="12" t="inlineStr"/>
      <c r="F5283" s="12" t="inlineStr">
        <is>
          <t>PCM: power control module</t>
        </is>
      </c>
      <c r="G5283" s="12" t="inlineStr"/>
      <c r="H5283" s="12" t="inlineStr">
        <is>
          <t>RICE 2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596</v>
      </c>
      <c r="U5283" s="15" t="n">
        <v>192</v>
      </c>
      <c r="V5283" s="15">
        <f>ROUNDUP((T5283+U5283+2*'Read Me'!$B$13)*(1+'Read Me'!$B$12),-1)</f>
        <v/>
      </c>
      <c r="W5283" s="15">
        <f>V5283*N5283*O5283</f>
        <v/>
      </c>
      <c r="X5283" s="12">
        <f>IF(LEFT(I5283,2)="MV",2*N5283*IF(L5283="1/C",O5283,1),0)</f>
        <v/>
      </c>
      <c r="Y5283" s="12">
        <f>IF(OR(LEFT(K5283,4)="LVAX",LEFT(K5283,6)="MV15AX",LEFT(K5283,4)="CTAX",LEFT(K5283,2)="W|"),2*N5283*O5283,0)</f>
        <v/>
      </c>
      <c r="Z5283" s="12" t="inlineStr">
        <is>
          <t>VD 2.6 %</t>
        </is>
      </c>
      <c r="AA5283" s="12">
        <f>N5283*O5283</f>
        <v/>
      </c>
    </row>
    <row r="5284">
      <c r="A5284" s="12" t="inlineStr">
        <is>
          <t>I-P-0120</t>
        </is>
      </c>
      <c r="B5284" s="12" t="inlineStr">
        <is>
          <t>I</t>
        </is>
      </c>
      <c r="C5284" s="12" t="inlineStr">
        <is>
          <t>Modular / portable power</t>
        </is>
      </c>
      <c r="D5284" s="12" t="inlineStr">
        <is>
          <t>Motor 5 of 5, 30 kW (VFD output)</t>
        </is>
      </c>
      <c r="E5284" s="12" t="inlineStr"/>
      <c r="F5284" s="12" t="inlineStr">
        <is>
          <t>PCM: power control module</t>
        </is>
      </c>
      <c r="G5284" s="12" t="inlineStr"/>
      <c r="H5284" s="12" t="inlineStr">
        <is>
          <t>RICE 2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596</v>
      </c>
      <c r="U5284" s="15" t="n">
        <v>192</v>
      </c>
      <c r="V5284" s="15">
        <f>ROUNDUP((T5284+U5284+2*'Read Me'!$B$13)*(1+'Read Me'!$B$12),-1)</f>
        <v/>
      </c>
      <c r="W5284" s="15">
        <f>V5284*N5284*O5284</f>
        <v/>
      </c>
      <c r="X5284" s="12">
        <f>IF(LEFT(I5284,2)="MV",2*N5284*IF(L5284="1/C",O5284,1),0)</f>
        <v/>
      </c>
      <c r="Y5284" s="12">
        <f>IF(OR(LEFT(K5284,4)="LVAX",LEFT(K5284,6)="MV15AX",LEFT(K5284,4)="CTAX",LEFT(K5284,2)="W|"),2*N5284*O5284,0)</f>
        <v/>
      </c>
      <c r="Z5284" s="12" t="inlineStr">
        <is>
          <t>VD 2.6 %</t>
        </is>
      </c>
      <c r="AA5284" s="12">
        <f>N5284*O5284</f>
        <v/>
      </c>
    </row>
    <row r="5285">
      <c r="A5285" s="12" t="inlineStr">
        <is>
          <t>I-P-0121</t>
        </is>
      </c>
      <c r="B5285" s="12" t="inlineStr">
        <is>
          <t>I</t>
        </is>
      </c>
      <c r="C5285" s="12" t="inlineStr">
        <is>
          <t>Modular / portable power</t>
        </is>
      </c>
      <c r="D5285" s="12" t="inlineStr">
        <is>
          <t>Motor 1 of 1, 15 kW</t>
        </is>
      </c>
      <c r="E5285" s="12" t="inlineStr"/>
      <c r="F5285" s="12" t="inlineStr">
        <is>
          <t>PCM: power control module</t>
        </is>
      </c>
      <c r="G5285" s="12" t="inlineStr"/>
      <c r="H5285" s="12" t="inlineStr">
        <is>
          <t>RICE 3 SCR + oxidation catalyst and stack</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15</v>
      </c>
      <c r="R5285" s="12" t="n">
        <v>21.2</v>
      </c>
      <c r="S5285" s="12" t="inlineStr">
        <is>
          <t>Duct bank</t>
        </is>
      </c>
      <c r="T5285" s="15" t="n">
        <v>436</v>
      </c>
      <c r="U5285" s="15" t="n">
        <v>104</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I-P-0122</t>
        </is>
      </c>
      <c r="B5286" s="12" t="inlineStr">
        <is>
          <t>I</t>
        </is>
      </c>
      <c r="C5286" s="12" t="inlineStr">
        <is>
          <t>Modular / portable power</t>
        </is>
      </c>
      <c r="D5286" s="12" t="inlineStr">
        <is>
          <t>Area / platform lighting circuit 1 (6 fixtures)</t>
        </is>
      </c>
      <c r="E5286" s="12" t="inlineStr"/>
      <c r="F5286" s="12" t="inlineStr">
        <is>
          <t>PCM: power control module</t>
        </is>
      </c>
      <c r="G5286" s="12" t="inlineStr"/>
      <c r="H5286" s="12" t="inlineStr">
        <is>
          <t>RICE 3 SCR + oxidation catalyst and stack</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3</v>
      </c>
      <c r="R5286" s="12" t="n">
        <v>5</v>
      </c>
      <c r="S5286" s="12" t="inlineStr">
        <is>
          <t>Duct bank</t>
        </is>
      </c>
      <c r="T5286" s="15" t="n">
        <v>736</v>
      </c>
      <c r="U5286" s="15" t="n">
        <v>104</v>
      </c>
      <c r="V5286" s="15">
        <f>ROUNDUP((T5286+U5286+2*'Read Me'!$B$13)*(1+'Read Me'!$B$12),-1)</f>
        <v/>
      </c>
      <c r="W5286" s="15">
        <f>V5286*N5286*O5286</f>
        <v/>
      </c>
      <c r="X5286" s="12">
        <f>IF(LEFT(I5286,2)="MV",2*N5286*IF(L5286="1/C",O5286,1),0)</f>
        <v/>
      </c>
      <c r="Y5286" s="12">
        <f>IF(OR(LEFT(K5286,4)="LVAX",LEFT(K5286,6)="MV15AX",LEFT(K5286,4)="CTAX",LEFT(K5286,2)="W|"),2*N5286*O5286,0)</f>
        <v/>
      </c>
      <c r="Z5286" s="12" t="inlineStr">
        <is>
          <t>fixture-to-fixture run included</t>
        </is>
      </c>
      <c r="AA5286" s="12">
        <f>N5286*O5286</f>
        <v/>
      </c>
    </row>
    <row r="5287">
      <c r="A5287" s="12" t="inlineStr">
        <is>
          <t>I-P-0123</t>
        </is>
      </c>
      <c r="B5287" s="12" t="inlineStr">
        <is>
          <t>I</t>
        </is>
      </c>
      <c r="C5287" s="12" t="inlineStr">
        <is>
          <t>Modular / portable power</t>
        </is>
      </c>
      <c r="D5287" s="12" t="inlineStr">
        <is>
          <t>Motor 1 of 5, 30 kW (VFD output)</t>
        </is>
      </c>
      <c r="E5287" s="12" t="inlineStr"/>
      <c r="F5287" s="12" t="inlineStr">
        <is>
          <t>PCM: power control module</t>
        </is>
      </c>
      <c r="G5287" s="12" t="inlineStr"/>
      <c r="H5287" s="12" t="inlineStr">
        <is>
          <t>RICE 3 radiators (5)</t>
        </is>
      </c>
      <c r="I5287" s="12" t="inlineStr">
        <is>
          <t>LV 600 V</t>
        </is>
      </c>
      <c r="J5287" s="12" t="inlineStr">
        <is>
          <t>VFD cable 600 V 3/C Cu XHHW-2, 3 symmetrical grounds, overall Cu tape shield, TC-ER</t>
        </is>
      </c>
      <c r="K5287" s="12" t="inlineStr">
        <is>
          <t>VFD|3/C+3G|2</t>
        </is>
      </c>
      <c r="L5287" s="12" t="inlineStr">
        <is>
          <t>3/C+3G</t>
        </is>
      </c>
      <c r="M5287" s="12" t="inlineStr">
        <is>
          <t>2</t>
        </is>
      </c>
      <c r="N5287" s="12" t="n">
        <v>1</v>
      </c>
      <c r="O5287" s="12" t="n">
        <v>1</v>
      </c>
      <c r="P5287" s="12" t="n">
        <v>480</v>
      </c>
      <c r="Q5287" s="12" t="n">
        <v>30</v>
      </c>
      <c r="R5287" s="12" t="n">
        <v>42</v>
      </c>
      <c r="S5287" s="12" t="inlineStr">
        <is>
          <t>Duct bank</t>
        </is>
      </c>
      <c r="T5287" s="15" t="n">
        <v>424</v>
      </c>
      <c r="U5287" s="15" t="n">
        <v>240</v>
      </c>
      <c r="V5287" s="15">
        <f>ROUNDUP((T5287+U5287+2*'Read Me'!$B$13)*(1+'Read Me'!$B$12),-1)</f>
        <v/>
      </c>
      <c r="W5287" s="15">
        <f>V5287*N5287*O5287</f>
        <v/>
      </c>
      <c r="X5287" s="12">
        <f>IF(LEFT(I5287,2)="MV",2*N5287*IF(L5287="1/C",O5287,1),0)</f>
        <v/>
      </c>
      <c r="Y5287" s="12">
        <f>IF(OR(LEFT(K5287,4)="LVAX",LEFT(K5287,6)="MV15AX",LEFT(K5287,4)="CTAX",LEFT(K5287,2)="W|"),2*N5287*O5287,0)</f>
        <v/>
      </c>
      <c r="Z5287" s="12" t="inlineStr">
        <is>
          <t>VD 2.2 %</t>
        </is>
      </c>
      <c r="AA5287" s="12">
        <f>N5287*O5287</f>
        <v/>
      </c>
    </row>
    <row r="5288">
      <c r="A5288" s="12" t="inlineStr">
        <is>
          <t>I-P-0124</t>
        </is>
      </c>
      <c r="B5288" s="12" t="inlineStr">
        <is>
          <t>I</t>
        </is>
      </c>
      <c r="C5288" s="12" t="inlineStr">
        <is>
          <t>Modular / portable power</t>
        </is>
      </c>
      <c r="D5288" s="12" t="inlineStr">
        <is>
          <t>Motor 2 of 5, 30 kW (VFD output)</t>
        </is>
      </c>
      <c r="E5288" s="12" t="inlineStr"/>
      <c r="F5288" s="12" t="inlineStr">
        <is>
          <t>PCM: power control module</t>
        </is>
      </c>
      <c r="G5288" s="12" t="inlineStr"/>
      <c r="H5288" s="12" t="inlineStr">
        <is>
          <t>RICE 3 radiators (5)</t>
        </is>
      </c>
      <c r="I5288" s="12" t="inlineStr">
        <is>
          <t>LV 600 V</t>
        </is>
      </c>
      <c r="J5288" s="12" t="inlineStr">
        <is>
          <t>VFD cable 600 V 3/C Cu XHHW-2, 3 symmetrical grounds, overall Cu tape shield, TC-ER</t>
        </is>
      </c>
      <c r="K5288" s="12" t="inlineStr">
        <is>
          <t>VFD|3/C+3G|2</t>
        </is>
      </c>
      <c r="L5288" s="12" t="inlineStr">
        <is>
          <t>3/C+3G</t>
        </is>
      </c>
      <c r="M5288" s="12" t="inlineStr">
        <is>
          <t>2</t>
        </is>
      </c>
      <c r="N5288" s="12" t="n">
        <v>1</v>
      </c>
      <c r="O5288" s="12" t="n">
        <v>1</v>
      </c>
      <c r="P5288" s="12" t="n">
        <v>480</v>
      </c>
      <c r="Q5288" s="12" t="n">
        <v>30</v>
      </c>
      <c r="R5288" s="12" t="n">
        <v>42</v>
      </c>
      <c r="S5288" s="12" t="inlineStr">
        <is>
          <t>Duct bank</t>
        </is>
      </c>
      <c r="T5288" s="15" t="n">
        <v>424</v>
      </c>
      <c r="U5288" s="15" t="n">
        <v>240</v>
      </c>
      <c r="V5288" s="15">
        <f>ROUNDUP((T5288+U5288+2*'Read Me'!$B$13)*(1+'Read Me'!$B$12),-1)</f>
        <v/>
      </c>
      <c r="W5288" s="15">
        <f>V5288*N5288*O5288</f>
        <v/>
      </c>
      <c r="X5288" s="12">
        <f>IF(LEFT(I5288,2)="MV",2*N5288*IF(L5288="1/C",O5288,1),0)</f>
        <v/>
      </c>
      <c r="Y5288" s="12">
        <f>IF(OR(LEFT(K5288,4)="LVAX",LEFT(K5288,6)="MV15AX",LEFT(K5288,4)="CTAX",LEFT(K5288,2)="W|"),2*N5288*O5288,0)</f>
        <v/>
      </c>
      <c r="Z5288" s="12" t="inlineStr">
        <is>
          <t>VD 2.2 %</t>
        </is>
      </c>
      <c r="AA5288" s="12">
        <f>N5288*O5288</f>
        <v/>
      </c>
    </row>
    <row r="5289">
      <c r="A5289" s="12" t="inlineStr">
        <is>
          <t>I-P-0125</t>
        </is>
      </c>
      <c r="B5289" s="12" t="inlineStr">
        <is>
          <t>I</t>
        </is>
      </c>
      <c r="C5289" s="12" t="inlineStr">
        <is>
          <t>Modular / portable power</t>
        </is>
      </c>
      <c r="D5289" s="12" t="inlineStr">
        <is>
          <t>Motor 3 of 5, 30 kW (VFD output)</t>
        </is>
      </c>
      <c r="E5289" s="12" t="inlineStr"/>
      <c r="F5289" s="12" t="inlineStr">
        <is>
          <t>PCM: power control module</t>
        </is>
      </c>
      <c r="G5289" s="12" t="inlineStr"/>
      <c r="H5289" s="12" t="inlineStr">
        <is>
          <t>RICE 3 radiators (5)</t>
        </is>
      </c>
      <c r="I5289" s="12" t="inlineStr">
        <is>
          <t>LV 600 V</t>
        </is>
      </c>
      <c r="J5289" s="12" t="inlineStr">
        <is>
          <t>VFD cable 600 V 3/C Cu XHHW-2, 3 symmetrical grounds, overall Cu tape shield, TC-ER</t>
        </is>
      </c>
      <c r="K5289" s="12" t="inlineStr">
        <is>
          <t>VFD|3/C+3G|2</t>
        </is>
      </c>
      <c r="L5289" s="12" t="inlineStr">
        <is>
          <t>3/C+3G</t>
        </is>
      </c>
      <c r="M5289" s="12" t="inlineStr">
        <is>
          <t>2</t>
        </is>
      </c>
      <c r="N5289" s="12" t="n">
        <v>1</v>
      </c>
      <c r="O5289" s="12" t="n">
        <v>1</v>
      </c>
      <c r="P5289" s="12" t="n">
        <v>480</v>
      </c>
      <c r="Q5289" s="12" t="n">
        <v>30</v>
      </c>
      <c r="R5289" s="12" t="n">
        <v>42</v>
      </c>
      <c r="S5289" s="12" t="inlineStr">
        <is>
          <t>Duct bank</t>
        </is>
      </c>
      <c r="T5289" s="15" t="n">
        <v>424</v>
      </c>
      <c r="U5289" s="15" t="n">
        <v>240</v>
      </c>
      <c r="V5289" s="15">
        <f>ROUNDUP((T5289+U5289+2*'Read Me'!$B$13)*(1+'Read Me'!$B$12),-1)</f>
        <v/>
      </c>
      <c r="W5289" s="15">
        <f>V5289*N5289*O5289</f>
        <v/>
      </c>
      <c r="X5289" s="12">
        <f>IF(LEFT(I5289,2)="MV",2*N5289*IF(L5289="1/C",O5289,1),0)</f>
        <v/>
      </c>
      <c r="Y5289" s="12">
        <f>IF(OR(LEFT(K5289,4)="LVAX",LEFT(K5289,6)="MV15AX",LEFT(K5289,4)="CTAX",LEFT(K5289,2)="W|"),2*N5289*O5289,0)</f>
        <v/>
      </c>
      <c r="Z5289" s="12" t="inlineStr">
        <is>
          <t>VD 2.2 %</t>
        </is>
      </c>
      <c r="AA5289" s="12">
        <f>N5289*O5289</f>
        <v/>
      </c>
    </row>
    <row r="5290">
      <c r="A5290" s="12" t="inlineStr">
        <is>
          <t>I-P-0126</t>
        </is>
      </c>
      <c r="B5290" s="12" t="inlineStr">
        <is>
          <t>I</t>
        </is>
      </c>
      <c r="C5290" s="12" t="inlineStr">
        <is>
          <t>Modular / portable power</t>
        </is>
      </c>
      <c r="D5290" s="12" t="inlineStr">
        <is>
          <t>Motor 4 of 5, 30 kW (VFD output)</t>
        </is>
      </c>
      <c r="E5290" s="12" t="inlineStr"/>
      <c r="F5290" s="12" t="inlineStr">
        <is>
          <t>PCM: power control module</t>
        </is>
      </c>
      <c r="G5290" s="12" t="inlineStr"/>
      <c r="H5290" s="12" t="inlineStr">
        <is>
          <t>RICE 3 radiators (5)</t>
        </is>
      </c>
      <c r="I5290" s="12" t="inlineStr">
        <is>
          <t>LV 600 V</t>
        </is>
      </c>
      <c r="J5290" s="12" t="inlineStr">
        <is>
          <t>VFD cable 600 V 3/C Cu XHHW-2, 3 symmetrical grounds, overall Cu tape shield, TC-ER</t>
        </is>
      </c>
      <c r="K5290" s="12" t="inlineStr">
        <is>
          <t>VFD|3/C+3G|2</t>
        </is>
      </c>
      <c r="L5290" s="12" t="inlineStr">
        <is>
          <t>3/C+3G</t>
        </is>
      </c>
      <c r="M5290" s="12" t="inlineStr">
        <is>
          <t>2</t>
        </is>
      </c>
      <c r="N5290" s="12" t="n">
        <v>1</v>
      </c>
      <c r="O5290" s="12" t="n">
        <v>1</v>
      </c>
      <c r="P5290" s="12" t="n">
        <v>480</v>
      </c>
      <c r="Q5290" s="12" t="n">
        <v>30</v>
      </c>
      <c r="R5290" s="12" t="n">
        <v>42</v>
      </c>
      <c r="S5290" s="12" t="inlineStr">
        <is>
          <t>Duct bank</t>
        </is>
      </c>
      <c r="T5290" s="15" t="n">
        <v>424</v>
      </c>
      <c r="U5290" s="15" t="n">
        <v>240</v>
      </c>
      <c r="V5290" s="15">
        <f>ROUNDUP((T5290+U5290+2*'Read Me'!$B$13)*(1+'Read Me'!$B$12),-1)</f>
        <v/>
      </c>
      <c r="W5290" s="15">
        <f>V5290*N5290*O5290</f>
        <v/>
      </c>
      <c r="X5290" s="12">
        <f>IF(LEFT(I5290,2)="MV",2*N5290*IF(L5290="1/C",O5290,1),0)</f>
        <v/>
      </c>
      <c r="Y5290" s="12">
        <f>IF(OR(LEFT(K5290,4)="LVAX",LEFT(K5290,6)="MV15AX",LEFT(K5290,4)="CTAX",LEFT(K5290,2)="W|"),2*N5290*O5290,0)</f>
        <v/>
      </c>
      <c r="Z5290" s="12" t="inlineStr">
        <is>
          <t>VD 2.2 %</t>
        </is>
      </c>
      <c r="AA5290" s="12">
        <f>N5290*O5290</f>
        <v/>
      </c>
    </row>
    <row r="5291">
      <c r="A5291" s="12" t="inlineStr">
        <is>
          <t>I-P-0127</t>
        </is>
      </c>
      <c r="B5291" s="12" t="inlineStr">
        <is>
          <t>I</t>
        </is>
      </c>
      <c r="C5291" s="12" t="inlineStr">
        <is>
          <t>Modular / portable power</t>
        </is>
      </c>
      <c r="D5291" s="12" t="inlineStr">
        <is>
          <t>Motor 5 of 5, 30 kW (VFD output)</t>
        </is>
      </c>
      <c r="E5291" s="12" t="inlineStr"/>
      <c r="F5291" s="12" t="inlineStr">
        <is>
          <t>PCM: power control module</t>
        </is>
      </c>
      <c r="G5291" s="12" t="inlineStr"/>
      <c r="H5291" s="12" t="inlineStr">
        <is>
          <t>RICE 3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424</v>
      </c>
      <c r="U5291" s="15" t="n">
        <v>240</v>
      </c>
      <c r="V5291" s="15">
        <f>ROUNDUP((T5291+U5291+2*'Read Me'!$B$13)*(1+'Read Me'!$B$12),-1)</f>
        <v/>
      </c>
      <c r="W5291" s="15">
        <f>V5291*N5291*O5291</f>
        <v/>
      </c>
      <c r="X5291" s="12">
        <f>IF(LEFT(I5291,2)="MV",2*N5291*IF(L5291="1/C",O5291,1),0)</f>
        <v/>
      </c>
      <c r="Y5291" s="12">
        <f>IF(OR(LEFT(K5291,4)="LVAX",LEFT(K5291,6)="MV15AX",LEFT(K5291,4)="CTAX",LEFT(K5291,2)="W|"),2*N5291*O5291,0)</f>
        <v/>
      </c>
      <c r="Z5291" s="12" t="inlineStr">
        <is>
          <t>VD 2.2 %</t>
        </is>
      </c>
      <c r="AA5291" s="12">
        <f>N5291*O5291</f>
        <v/>
      </c>
    </row>
    <row r="5292">
      <c r="A5292" s="12" t="inlineStr">
        <is>
          <t>I-P-0128</t>
        </is>
      </c>
      <c r="B5292" s="12" t="inlineStr">
        <is>
          <t>I</t>
        </is>
      </c>
      <c r="C5292" s="12" t="inlineStr">
        <is>
          <t>Modular / portable power</t>
        </is>
      </c>
      <c r="D5292" s="12" t="inlineStr">
        <is>
          <t>Motor 1 of 1, 15 kW</t>
        </is>
      </c>
      <c r="E5292" s="12" t="inlineStr"/>
      <c r="F5292" s="12" t="inlineStr">
        <is>
          <t>PCM: power control module</t>
        </is>
      </c>
      <c r="G5292" s="12" t="inlineStr"/>
      <c r="H5292" s="12" t="inlineStr">
        <is>
          <t>RICE 4 SCR + oxidation catalyst and stack</t>
        </is>
      </c>
      <c r="I5292" s="12" t="inlineStr">
        <is>
          <t>LV 600 V</t>
        </is>
      </c>
      <c r="J5292" s="12" t="inlineStr">
        <is>
          <t>Type TC-ER 600 V 3/C Cu XHHW-2 + ground, PVC jacket</t>
        </is>
      </c>
      <c r="K5292" s="12" t="inlineStr">
        <is>
          <t>LV|3/C+G|6</t>
        </is>
      </c>
      <c r="L5292" s="12" t="inlineStr">
        <is>
          <t>3/C+G</t>
        </is>
      </c>
      <c r="M5292" s="12" t="inlineStr">
        <is>
          <t>6</t>
        </is>
      </c>
      <c r="N5292" s="12" t="n">
        <v>1</v>
      </c>
      <c r="O5292" s="12" t="n">
        <v>1</v>
      </c>
      <c r="P5292" s="12" t="n">
        <v>480</v>
      </c>
      <c r="Q5292" s="12" t="n">
        <v>15</v>
      </c>
      <c r="R5292" s="12" t="n">
        <v>21.2</v>
      </c>
      <c r="S5292" s="12" t="inlineStr">
        <is>
          <t>Duct bank</t>
        </is>
      </c>
      <c r="T5292" s="15" t="n">
        <v>436</v>
      </c>
      <c r="U5292" s="15" t="n">
        <v>76</v>
      </c>
      <c r="V5292" s="15">
        <f>ROUNDUP((T5292+U5292+2*'Read Me'!$B$13)*(1+'Read Me'!$B$12),-1)</f>
        <v/>
      </c>
      <c r="W5292" s="15">
        <f>V5292*N5292*O5292</f>
        <v/>
      </c>
      <c r="X5292" s="12">
        <f>IF(LEFT(I5292,2)="MV",2*N5292*IF(L5292="1/C",O5292,1),0)</f>
        <v/>
      </c>
      <c r="Y5292" s="12">
        <f>IF(OR(LEFT(K5292,4)="LVAX",LEFT(K5292,6)="MV15AX",LEFT(K5292,4)="CTAX",LEFT(K5292,2)="W|"),2*N5292*O5292,0)</f>
        <v/>
      </c>
      <c r="Z5292" s="12" t="inlineStr">
        <is>
          <t>VD 2.1 %</t>
        </is>
      </c>
      <c r="AA5292" s="12">
        <f>N5292*O5292</f>
        <v/>
      </c>
    </row>
    <row r="5293">
      <c r="A5293" s="12" t="inlineStr">
        <is>
          <t>I-P-0129</t>
        </is>
      </c>
      <c r="B5293" s="12" t="inlineStr">
        <is>
          <t>I</t>
        </is>
      </c>
      <c r="C5293" s="12" t="inlineStr">
        <is>
          <t>Modular / portable power</t>
        </is>
      </c>
      <c r="D5293" s="12" t="inlineStr">
        <is>
          <t>Area / platform lighting circuit 1 (6 fixtures)</t>
        </is>
      </c>
      <c r="E5293" s="12" t="inlineStr"/>
      <c r="F5293" s="12" t="inlineStr">
        <is>
          <t>PCM: power control module</t>
        </is>
      </c>
      <c r="G5293" s="12" t="inlineStr"/>
      <c r="H5293" s="12" t="inlineStr">
        <is>
          <t>RICE 4 SCR + oxidation catalyst and stack</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3</v>
      </c>
      <c r="R5293" s="12" t="n">
        <v>5</v>
      </c>
      <c r="S5293" s="12" t="inlineStr">
        <is>
          <t>Duct bank</t>
        </is>
      </c>
      <c r="T5293" s="15" t="n">
        <v>736</v>
      </c>
      <c r="U5293" s="15" t="n">
        <v>76</v>
      </c>
      <c r="V5293" s="15">
        <f>ROUNDUP((T5293+U5293+2*'Read Me'!$B$13)*(1+'Read Me'!$B$12),-1)</f>
        <v/>
      </c>
      <c r="W5293" s="15">
        <f>V5293*N5293*O5293</f>
        <v/>
      </c>
      <c r="X5293" s="12">
        <f>IF(LEFT(I5293,2)="MV",2*N5293*IF(L5293="1/C",O5293,1),0)</f>
        <v/>
      </c>
      <c r="Y5293" s="12">
        <f>IF(OR(LEFT(K5293,4)="LVAX",LEFT(K5293,6)="MV15AX",LEFT(K5293,4)="CTAX",LEFT(K5293,2)="W|"),2*N5293*O5293,0)</f>
        <v/>
      </c>
      <c r="Z5293" s="12" t="inlineStr">
        <is>
          <t>fixture-to-fixture run included</t>
        </is>
      </c>
      <c r="AA5293" s="12">
        <f>N5293*O5293</f>
        <v/>
      </c>
    </row>
    <row r="5294">
      <c r="A5294" s="12" t="inlineStr">
        <is>
          <t>I-P-0130</t>
        </is>
      </c>
      <c r="B5294" s="12" t="inlineStr">
        <is>
          <t>I</t>
        </is>
      </c>
      <c r="C5294" s="12" t="inlineStr">
        <is>
          <t>Modular / portable power</t>
        </is>
      </c>
      <c r="D5294" s="12" t="inlineStr">
        <is>
          <t>Motor 1 of 5, 30 kW (VFD output)</t>
        </is>
      </c>
      <c r="E5294" s="12" t="inlineStr"/>
      <c r="F5294" s="12" t="inlineStr">
        <is>
          <t>PCM: power control module</t>
        </is>
      </c>
      <c r="G5294" s="12" t="inlineStr"/>
      <c r="H5294" s="12" t="inlineStr">
        <is>
          <t>RICE 4 radiators (5)</t>
        </is>
      </c>
      <c r="I5294" s="12" t="inlineStr">
        <is>
          <t>LV 600 V</t>
        </is>
      </c>
      <c r="J5294" s="12" t="inlineStr">
        <is>
          <t>VFD cable 600 V 3/C Cu XHHW-2, 3 symmetrical grounds, overall Cu tape shield, TC-ER</t>
        </is>
      </c>
      <c r="K5294" s="12" t="inlineStr">
        <is>
          <t>VFD|3/C+3G|6</t>
        </is>
      </c>
      <c r="L5294" s="12" t="inlineStr">
        <is>
          <t>3/C+3G</t>
        </is>
      </c>
      <c r="M5294" s="12" t="inlineStr">
        <is>
          <t>6</t>
        </is>
      </c>
      <c r="N5294" s="12" t="n">
        <v>1</v>
      </c>
      <c r="O5294" s="12" t="n">
        <v>1</v>
      </c>
      <c r="P5294" s="12" t="n">
        <v>480</v>
      </c>
      <c r="Q5294" s="12" t="n">
        <v>30</v>
      </c>
      <c r="R5294" s="12" t="n">
        <v>42</v>
      </c>
      <c r="S5294" s="12" t="inlineStr">
        <is>
          <t>Tray</t>
        </is>
      </c>
      <c r="T5294" s="15" t="n">
        <v>80</v>
      </c>
      <c r="U5294" s="15" t="n">
        <v>206</v>
      </c>
      <c r="V5294" s="15">
        <f>ROUNDUP((T5294+U5294+2*'Read Me'!$B$13)*(1+'Read Me'!$B$12),-1)</f>
        <v/>
      </c>
      <c r="W5294" s="15">
        <f>V5294*N5294*O5294</f>
        <v/>
      </c>
      <c r="X5294" s="12">
        <f>IF(LEFT(I5294,2)="MV",2*N5294*IF(L5294="1/C",O5294,1),0)</f>
        <v/>
      </c>
      <c r="Y5294" s="12">
        <f>IF(OR(LEFT(K5294,4)="LVAX",LEFT(K5294,6)="MV15AX",LEFT(K5294,4)="CTAX",LEFT(K5294,2)="W|"),2*N5294*O5294,0)</f>
        <v/>
      </c>
      <c r="Z5294" s="12" t="inlineStr">
        <is>
          <t>VD 2.4 %</t>
        </is>
      </c>
      <c r="AA5294" s="12">
        <f>N5294*O5294</f>
        <v/>
      </c>
    </row>
    <row r="5295">
      <c r="A5295" s="12" t="inlineStr">
        <is>
          <t>I-P-0131</t>
        </is>
      </c>
      <c r="B5295" s="12" t="inlineStr">
        <is>
          <t>I</t>
        </is>
      </c>
      <c r="C5295" s="12" t="inlineStr">
        <is>
          <t>Modular / portable power</t>
        </is>
      </c>
      <c r="D5295" s="12" t="inlineStr">
        <is>
          <t>Motor 2 of 5, 30 kW (VFD output)</t>
        </is>
      </c>
      <c r="E5295" s="12" t="inlineStr"/>
      <c r="F5295" s="12" t="inlineStr">
        <is>
          <t>PCM: power control module</t>
        </is>
      </c>
      <c r="G5295" s="12" t="inlineStr"/>
      <c r="H5295" s="12" t="inlineStr">
        <is>
          <t>RICE 4 radiators (5)</t>
        </is>
      </c>
      <c r="I5295" s="12" t="inlineStr">
        <is>
          <t>LV 600 V</t>
        </is>
      </c>
      <c r="J5295" s="12" t="inlineStr">
        <is>
          <t>VFD cable 600 V 3/C Cu XHHW-2, 3 symmetrical grounds, overall Cu tape shield, TC-ER</t>
        </is>
      </c>
      <c r="K5295" s="12" t="inlineStr">
        <is>
          <t>VFD|3/C+3G|6</t>
        </is>
      </c>
      <c r="L5295" s="12" t="inlineStr">
        <is>
          <t>3/C+3G</t>
        </is>
      </c>
      <c r="M5295" s="12" t="inlineStr">
        <is>
          <t>6</t>
        </is>
      </c>
      <c r="N5295" s="12" t="n">
        <v>1</v>
      </c>
      <c r="O5295" s="12" t="n">
        <v>1</v>
      </c>
      <c r="P5295" s="12" t="n">
        <v>480</v>
      </c>
      <c r="Q5295" s="12" t="n">
        <v>30</v>
      </c>
      <c r="R5295" s="12" t="n">
        <v>42</v>
      </c>
      <c r="S5295" s="12" t="inlineStr">
        <is>
          <t>Tray</t>
        </is>
      </c>
      <c r="T5295" s="15" t="n">
        <v>80</v>
      </c>
      <c r="U5295" s="15" t="n">
        <v>206</v>
      </c>
      <c r="V5295" s="15">
        <f>ROUNDUP((T5295+U5295+2*'Read Me'!$B$13)*(1+'Read Me'!$B$12),-1)</f>
        <v/>
      </c>
      <c r="W5295" s="15">
        <f>V5295*N5295*O5295</f>
        <v/>
      </c>
      <c r="X5295" s="12">
        <f>IF(LEFT(I5295,2)="MV",2*N5295*IF(L5295="1/C",O5295,1),0)</f>
        <v/>
      </c>
      <c r="Y5295" s="12">
        <f>IF(OR(LEFT(K5295,4)="LVAX",LEFT(K5295,6)="MV15AX",LEFT(K5295,4)="CTAX",LEFT(K5295,2)="W|"),2*N5295*O5295,0)</f>
        <v/>
      </c>
      <c r="Z5295" s="12" t="inlineStr">
        <is>
          <t>VD 2.4 %</t>
        </is>
      </c>
      <c r="AA5295" s="12">
        <f>N5295*O5295</f>
        <v/>
      </c>
    </row>
    <row r="5296">
      <c r="A5296" s="12" t="inlineStr">
        <is>
          <t>I-P-0132</t>
        </is>
      </c>
      <c r="B5296" s="12" t="inlineStr">
        <is>
          <t>I</t>
        </is>
      </c>
      <c r="C5296" s="12" t="inlineStr">
        <is>
          <t>Modular / portable power</t>
        </is>
      </c>
      <c r="D5296" s="12" t="inlineStr">
        <is>
          <t>Motor 3 of 5, 30 kW (VFD output)</t>
        </is>
      </c>
      <c r="E5296" s="12" t="inlineStr"/>
      <c r="F5296" s="12" t="inlineStr">
        <is>
          <t>PCM: power control module</t>
        </is>
      </c>
      <c r="G5296" s="12" t="inlineStr"/>
      <c r="H5296" s="12" t="inlineStr">
        <is>
          <t>RICE 4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206</v>
      </c>
      <c r="V5296" s="15">
        <f>ROUNDUP((T5296+U5296+2*'Read Me'!$B$13)*(1+'Read Me'!$B$12),-1)</f>
        <v/>
      </c>
      <c r="W5296" s="15">
        <f>V5296*N5296*O5296</f>
        <v/>
      </c>
      <c r="X5296" s="12">
        <f>IF(LEFT(I5296,2)="MV",2*N5296*IF(L5296="1/C",O5296,1),0)</f>
        <v/>
      </c>
      <c r="Y5296" s="12">
        <f>IF(OR(LEFT(K5296,4)="LVAX",LEFT(K5296,6)="MV15AX",LEFT(K5296,4)="CTAX",LEFT(K5296,2)="W|"),2*N5296*O5296,0)</f>
        <v/>
      </c>
      <c r="Z5296" s="12" t="inlineStr">
        <is>
          <t>VD 2.4 %</t>
        </is>
      </c>
      <c r="AA5296" s="12">
        <f>N5296*O5296</f>
        <v/>
      </c>
    </row>
    <row r="5297">
      <c r="A5297" s="12" t="inlineStr">
        <is>
          <t>I-P-0133</t>
        </is>
      </c>
      <c r="B5297" s="12" t="inlineStr">
        <is>
          <t>I</t>
        </is>
      </c>
      <c r="C5297" s="12" t="inlineStr">
        <is>
          <t>Modular / portable power</t>
        </is>
      </c>
      <c r="D5297" s="12" t="inlineStr">
        <is>
          <t>Motor 4 of 5, 30 kW (VFD output)</t>
        </is>
      </c>
      <c r="E5297" s="12" t="inlineStr"/>
      <c r="F5297" s="12" t="inlineStr">
        <is>
          <t>PCM: power control module</t>
        </is>
      </c>
      <c r="G5297" s="12" t="inlineStr"/>
      <c r="H5297" s="12" t="inlineStr">
        <is>
          <t>RICE 4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206</v>
      </c>
      <c r="V5297" s="15">
        <f>ROUNDUP((T5297+U5297+2*'Read Me'!$B$13)*(1+'Read Me'!$B$12),-1)</f>
        <v/>
      </c>
      <c r="W5297" s="15">
        <f>V5297*N5297*O5297</f>
        <v/>
      </c>
      <c r="X5297" s="12">
        <f>IF(LEFT(I5297,2)="MV",2*N5297*IF(L5297="1/C",O5297,1),0)</f>
        <v/>
      </c>
      <c r="Y5297" s="12">
        <f>IF(OR(LEFT(K5297,4)="LVAX",LEFT(K5297,6)="MV15AX",LEFT(K5297,4)="CTAX",LEFT(K5297,2)="W|"),2*N5297*O5297,0)</f>
        <v/>
      </c>
      <c r="Z5297" s="12" t="inlineStr">
        <is>
          <t>VD 2.4 %</t>
        </is>
      </c>
      <c r="AA5297" s="12">
        <f>N5297*O5297</f>
        <v/>
      </c>
    </row>
    <row r="5298">
      <c r="A5298" s="12" t="inlineStr">
        <is>
          <t>I-P-0134</t>
        </is>
      </c>
      <c r="B5298" s="12" t="inlineStr">
        <is>
          <t>I</t>
        </is>
      </c>
      <c r="C5298" s="12" t="inlineStr">
        <is>
          <t>Modular / portable power</t>
        </is>
      </c>
      <c r="D5298" s="12" t="inlineStr">
        <is>
          <t>Motor 5 of 5, 30 kW (VFD output)</t>
        </is>
      </c>
      <c r="E5298" s="12" t="inlineStr"/>
      <c r="F5298" s="12" t="inlineStr">
        <is>
          <t>PCM: power control module</t>
        </is>
      </c>
      <c r="G5298" s="12" t="inlineStr"/>
      <c r="H5298" s="12" t="inlineStr">
        <is>
          <t>RICE 4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206</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I-P-0135</t>
        </is>
      </c>
      <c r="B5299" s="12" t="inlineStr">
        <is>
          <t>I</t>
        </is>
      </c>
      <c r="C5299" s="12" t="inlineStr">
        <is>
          <t>Modular / portable power</t>
        </is>
      </c>
      <c r="D5299" s="12" t="inlineStr">
        <is>
          <t>Motor 1 of 1, 15 kW</t>
        </is>
      </c>
      <c r="E5299" s="12" t="inlineStr"/>
      <c r="F5299" s="12" t="inlineStr">
        <is>
          <t>PCM: power control module</t>
        </is>
      </c>
      <c r="G5299" s="12" t="inlineStr"/>
      <c r="H5299" s="12" t="inlineStr">
        <is>
          <t>RICE 5 SCR + oxidation catalyst and stack</t>
        </is>
      </c>
      <c r="I5299" s="12" t="inlineStr">
        <is>
          <t>LV 600 V</t>
        </is>
      </c>
      <c r="J5299" s="12" t="inlineStr">
        <is>
          <t>Type TC-ER 600 V 3/C Cu XHHW-2 + ground, PVC jacket</t>
        </is>
      </c>
      <c r="K5299" s="12" t="inlineStr">
        <is>
          <t>LV|3/C+G|8</t>
        </is>
      </c>
      <c r="L5299" s="12" t="inlineStr">
        <is>
          <t>3/C+G</t>
        </is>
      </c>
      <c r="M5299" s="12" t="inlineStr">
        <is>
          <t>8</t>
        </is>
      </c>
      <c r="N5299" s="12" t="n">
        <v>1</v>
      </c>
      <c r="O5299" s="12" t="n">
        <v>1</v>
      </c>
      <c r="P5299" s="12" t="n">
        <v>480</v>
      </c>
      <c r="Q5299" s="12" t="n">
        <v>15</v>
      </c>
      <c r="R5299" s="12" t="n">
        <v>21.2</v>
      </c>
      <c r="S5299" s="12" t="inlineStr">
        <is>
          <t>Duct bank</t>
        </is>
      </c>
      <c r="T5299" s="15" t="n">
        <v>158</v>
      </c>
      <c r="U5299" s="15" t="n">
        <v>164</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I-P-0136</t>
        </is>
      </c>
      <c r="B5300" s="12" t="inlineStr">
        <is>
          <t>I</t>
        </is>
      </c>
      <c r="C5300" s="12" t="inlineStr">
        <is>
          <t>Modular / portable power</t>
        </is>
      </c>
      <c r="D5300" s="12" t="inlineStr">
        <is>
          <t>Area / platform lighting circuit 1 (6 fixtures)</t>
        </is>
      </c>
      <c r="E5300" s="12" t="inlineStr"/>
      <c r="F5300" s="12" t="inlineStr">
        <is>
          <t>PCM: power control module</t>
        </is>
      </c>
      <c r="G5300" s="12" t="inlineStr"/>
      <c r="H5300" s="12" t="inlineStr">
        <is>
          <t>RICE 5 SCR + oxidation catalyst and stack</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3</v>
      </c>
      <c r="R5300" s="12" t="n">
        <v>5</v>
      </c>
      <c r="S5300" s="12" t="inlineStr">
        <is>
          <t>Duct bank</t>
        </is>
      </c>
      <c r="T5300" s="15" t="n">
        <v>458</v>
      </c>
      <c r="U5300" s="15" t="n">
        <v>164</v>
      </c>
      <c r="V5300" s="15">
        <f>ROUNDUP((T5300+U5300+2*'Read Me'!$B$13)*(1+'Read Me'!$B$12),-1)</f>
        <v/>
      </c>
      <c r="W5300" s="15">
        <f>V5300*N5300*O5300</f>
        <v/>
      </c>
      <c r="X5300" s="12">
        <f>IF(LEFT(I5300,2)="MV",2*N5300*IF(L5300="1/C",O5300,1),0)</f>
        <v/>
      </c>
      <c r="Y5300" s="12">
        <f>IF(OR(LEFT(K5300,4)="LVAX",LEFT(K5300,6)="MV15AX",LEFT(K5300,4)="CTAX",LEFT(K5300,2)="W|"),2*N5300*O5300,0)</f>
        <v/>
      </c>
      <c r="Z5300" s="12" t="inlineStr">
        <is>
          <t>fixture-to-fixture run included</t>
        </is>
      </c>
      <c r="AA5300" s="12">
        <f>N5300*O5300</f>
        <v/>
      </c>
    </row>
    <row r="5301">
      <c r="A5301" s="12" t="inlineStr">
        <is>
          <t>I-P-0137</t>
        </is>
      </c>
      <c r="B5301" s="12" t="inlineStr">
        <is>
          <t>I</t>
        </is>
      </c>
      <c r="C5301" s="12" t="inlineStr">
        <is>
          <t>Modular / portable power</t>
        </is>
      </c>
      <c r="D5301" s="12" t="inlineStr">
        <is>
          <t>Motor 1 of 5, 30 kW (VFD output)</t>
        </is>
      </c>
      <c r="E5301" s="12" t="inlineStr"/>
      <c r="F5301" s="12" t="inlineStr">
        <is>
          <t>PCM: power control module</t>
        </is>
      </c>
      <c r="G5301" s="12" t="inlineStr"/>
      <c r="H5301" s="12" t="inlineStr">
        <is>
          <t>RICE 5 radiators (5)</t>
        </is>
      </c>
      <c r="I5301" s="12" t="inlineStr">
        <is>
          <t>LV 600 V</t>
        </is>
      </c>
      <c r="J5301" s="12" t="inlineStr">
        <is>
          <t>VFD cable 600 V 3/C Cu XHHW-2, 3 symmetrical grounds, overall Cu tape shield, TC-ER</t>
        </is>
      </c>
      <c r="K5301" s="12" t="inlineStr">
        <is>
          <t>VFD|3/C+3G|6</t>
        </is>
      </c>
      <c r="L5301" s="12" t="inlineStr">
        <is>
          <t>3/C+3G</t>
        </is>
      </c>
      <c r="M5301" s="12" t="inlineStr">
        <is>
          <t>6</t>
        </is>
      </c>
      <c r="N5301" s="12" t="n">
        <v>1</v>
      </c>
      <c r="O5301" s="12" t="n">
        <v>1</v>
      </c>
      <c r="P5301" s="12" t="n">
        <v>480</v>
      </c>
      <c r="Q5301" s="12" t="n">
        <v>30</v>
      </c>
      <c r="R5301" s="12" t="n">
        <v>42</v>
      </c>
      <c r="S5301" s="12" t="inlineStr">
        <is>
          <t>Tray</t>
        </is>
      </c>
      <c r="T5301" s="15" t="n">
        <v>80</v>
      </c>
      <c r="U5301" s="15" t="n">
        <v>178</v>
      </c>
      <c r="V5301" s="15">
        <f>ROUNDUP((T5301+U5301+2*'Read Me'!$B$13)*(1+'Read Me'!$B$12),-1)</f>
        <v/>
      </c>
      <c r="W5301" s="15">
        <f>V5301*N5301*O5301</f>
        <v/>
      </c>
      <c r="X5301" s="12">
        <f>IF(LEFT(I5301,2)="MV",2*N5301*IF(L5301="1/C",O5301,1),0)</f>
        <v/>
      </c>
      <c r="Y5301" s="12">
        <f>IF(OR(LEFT(K5301,4)="LVAX",LEFT(K5301,6)="MV15AX",LEFT(K5301,4)="CTAX",LEFT(K5301,2)="W|"),2*N5301*O5301,0)</f>
        <v/>
      </c>
      <c r="Z5301" s="12" t="inlineStr">
        <is>
          <t>VD 2.1 %</t>
        </is>
      </c>
      <c r="AA5301" s="12">
        <f>N5301*O5301</f>
        <v/>
      </c>
    </row>
    <row r="5302">
      <c r="A5302" s="12" t="inlineStr">
        <is>
          <t>I-P-0138</t>
        </is>
      </c>
      <c r="B5302" s="12" t="inlineStr">
        <is>
          <t>I</t>
        </is>
      </c>
      <c r="C5302" s="12" t="inlineStr">
        <is>
          <t>Modular / portable power</t>
        </is>
      </c>
      <c r="D5302" s="12" t="inlineStr">
        <is>
          <t>Motor 2 of 5, 30 kW (VFD output)</t>
        </is>
      </c>
      <c r="E5302" s="12" t="inlineStr"/>
      <c r="F5302" s="12" t="inlineStr">
        <is>
          <t>PCM: power control module</t>
        </is>
      </c>
      <c r="G5302" s="12" t="inlineStr"/>
      <c r="H5302" s="12" t="inlineStr">
        <is>
          <t>RICE 5 radiators (5)</t>
        </is>
      </c>
      <c r="I5302" s="12" t="inlineStr">
        <is>
          <t>LV 600 V</t>
        </is>
      </c>
      <c r="J5302" s="12" t="inlineStr">
        <is>
          <t>VFD cable 600 V 3/C Cu XHHW-2, 3 symmetrical grounds, overall Cu tape shield, TC-ER</t>
        </is>
      </c>
      <c r="K5302" s="12" t="inlineStr">
        <is>
          <t>VFD|3/C+3G|6</t>
        </is>
      </c>
      <c r="L5302" s="12" t="inlineStr">
        <is>
          <t>3/C+3G</t>
        </is>
      </c>
      <c r="M5302" s="12" t="inlineStr">
        <is>
          <t>6</t>
        </is>
      </c>
      <c r="N5302" s="12" t="n">
        <v>1</v>
      </c>
      <c r="O5302" s="12" t="n">
        <v>1</v>
      </c>
      <c r="P5302" s="12" t="n">
        <v>480</v>
      </c>
      <c r="Q5302" s="12" t="n">
        <v>30</v>
      </c>
      <c r="R5302" s="12" t="n">
        <v>42</v>
      </c>
      <c r="S5302" s="12" t="inlineStr">
        <is>
          <t>Tray</t>
        </is>
      </c>
      <c r="T5302" s="15" t="n">
        <v>80</v>
      </c>
      <c r="U5302" s="15" t="n">
        <v>178</v>
      </c>
      <c r="V5302" s="15">
        <f>ROUNDUP((T5302+U5302+2*'Read Me'!$B$13)*(1+'Read Me'!$B$12),-1)</f>
        <v/>
      </c>
      <c r="W5302" s="15">
        <f>V5302*N5302*O5302</f>
        <v/>
      </c>
      <c r="X5302" s="12">
        <f>IF(LEFT(I5302,2)="MV",2*N5302*IF(L5302="1/C",O5302,1),0)</f>
        <v/>
      </c>
      <c r="Y5302" s="12">
        <f>IF(OR(LEFT(K5302,4)="LVAX",LEFT(K5302,6)="MV15AX",LEFT(K5302,4)="CTAX",LEFT(K5302,2)="W|"),2*N5302*O5302,0)</f>
        <v/>
      </c>
      <c r="Z5302" s="12" t="inlineStr">
        <is>
          <t>VD 2.1 %</t>
        </is>
      </c>
      <c r="AA5302" s="12">
        <f>N5302*O5302</f>
        <v/>
      </c>
    </row>
    <row r="5303">
      <c r="A5303" s="12" t="inlineStr">
        <is>
          <t>I-P-0139</t>
        </is>
      </c>
      <c r="B5303" s="12" t="inlineStr">
        <is>
          <t>I</t>
        </is>
      </c>
      <c r="C5303" s="12" t="inlineStr">
        <is>
          <t>Modular / portable power</t>
        </is>
      </c>
      <c r="D5303" s="12" t="inlineStr">
        <is>
          <t>Motor 3 of 5, 30 kW (VFD output)</t>
        </is>
      </c>
      <c r="E5303" s="12" t="inlineStr"/>
      <c r="F5303" s="12" t="inlineStr">
        <is>
          <t>PCM: power control module</t>
        </is>
      </c>
      <c r="G5303" s="12" t="inlineStr"/>
      <c r="H5303" s="12" t="inlineStr">
        <is>
          <t>RICE 5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178</v>
      </c>
      <c r="V5303" s="15">
        <f>ROUNDUP((T5303+U5303+2*'Read Me'!$B$13)*(1+'Read Me'!$B$12),-1)</f>
        <v/>
      </c>
      <c r="W5303" s="15">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I-P-0140</t>
        </is>
      </c>
      <c r="B5304" s="12" t="inlineStr">
        <is>
          <t>I</t>
        </is>
      </c>
      <c r="C5304" s="12" t="inlineStr">
        <is>
          <t>Modular / portable power</t>
        </is>
      </c>
      <c r="D5304" s="12" t="inlineStr">
        <is>
          <t>Motor 4 of 5, 30 kW (VFD output)</t>
        </is>
      </c>
      <c r="E5304" s="12" t="inlineStr"/>
      <c r="F5304" s="12" t="inlineStr">
        <is>
          <t>PCM: power control module</t>
        </is>
      </c>
      <c r="G5304" s="12" t="inlineStr"/>
      <c r="H5304" s="12" t="inlineStr">
        <is>
          <t>RICE 5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178</v>
      </c>
      <c r="V5304" s="15">
        <f>ROUNDUP((T5304+U5304+2*'Read Me'!$B$13)*(1+'Read Me'!$B$12),-1)</f>
        <v/>
      </c>
      <c r="W5304" s="15">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I-P-0141</t>
        </is>
      </c>
      <c r="B5305" s="12" t="inlineStr">
        <is>
          <t>I</t>
        </is>
      </c>
      <c r="C5305" s="12" t="inlineStr">
        <is>
          <t>Modular / portable power</t>
        </is>
      </c>
      <c r="D5305" s="12" t="inlineStr">
        <is>
          <t>Motor 5 of 5, 30 kW (VFD output)</t>
        </is>
      </c>
      <c r="E5305" s="12" t="inlineStr"/>
      <c r="F5305" s="12" t="inlineStr">
        <is>
          <t>PCM: power control module</t>
        </is>
      </c>
      <c r="G5305" s="12" t="inlineStr"/>
      <c r="H5305" s="12" t="inlineStr">
        <is>
          <t>RICE 5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178</v>
      </c>
      <c r="V5305" s="15">
        <f>ROUNDUP((T5305+U5305+2*'Read Me'!$B$13)*(1+'Read Me'!$B$12),-1)</f>
        <v/>
      </c>
      <c r="W5305" s="15">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I-P-0142</t>
        </is>
      </c>
      <c r="B5306" s="12" t="inlineStr">
        <is>
          <t>I</t>
        </is>
      </c>
      <c r="C5306" s="12" t="inlineStr">
        <is>
          <t>Modular / portable power</t>
        </is>
      </c>
      <c r="D5306" s="12" t="inlineStr">
        <is>
          <t>Motor 1 of 1, 15 kW</t>
        </is>
      </c>
      <c r="E5306" s="12" t="inlineStr"/>
      <c r="F5306" s="12" t="inlineStr">
        <is>
          <t>PCM: power control module</t>
        </is>
      </c>
      <c r="G5306" s="12" t="inlineStr"/>
      <c r="H5306" s="12" t="inlineStr">
        <is>
          <t>RICE 6 SCR + oxidation catalyst and stack</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15</v>
      </c>
      <c r="R5306" s="12" t="n">
        <v>21.2</v>
      </c>
      <c r="S5306" s="12" t="inlineStr">
        <is>
          <t>Duct bank</t>
        </is>
      </c>
      <c r="T5306" s="15" t="n">
        <v>113</v>
      </c>
      <c r="U5306" s="15" t="n">
        <v>153</v>
      </c>
      <c r="V5306" s="15">
        <f>ROUNDUP((T5306+U5306+2*'Read Me'!$B$13)*(1+'Read Me'!$B$12),-1)</f>
        <v/>
      </c>
      <c r="W5306" s="15">
        <f>V5306*N5306*O5306</f>
        <v/>
      </c>
      <c r="X5306" s="12">
        <f>IF(LEFT(I5306,2)="MV",2*N5306*IF(L5306="1/C",O5306,1),0)</f>
        <v/>
      </c>
      <c r="Y5306" s="12">
        <f>IF(OR(LEFT(K5306,4)="LVAX",LEFT(K5306,6)="MV15AX",LEFT(K5306,4)="CTAX",LEFT(K5306,2)="W|"),2*N5306*O5306,0)</f>
        <v/>
      </c>
      <c r="Z5306" s="12" t="inlineStr">
        <is>
          <t>VD 2.7 %</t>
        </is>
      </c>
      <c r="AA5306" s="12">
        <f>N5306*O5306</f>
        <v/>
      </c>
    </row>
    <row r="5307">
      <c r="A5307" s="12" t="inlineStr">
        <is>
          <t>I-P-0143</t>
        </is>
      </c>
      <c r="B5307" s="12" t="inlineStr">
        <is>
          <t>I</t>
        </is>
      </c>
      <c r="C5307" s="12" t="inlineStr">
        <is>
          <t>Modular / portable power</t>
        </is>
      </c>
      <c r="D5307" s="12" t="inlineStr">
        <is>
          <t>Area / platform lighting circuit 1 (6 fixtures)</t>
        </is>
      </c>
      <c r="E5307" s="12" t="inlineStr"/>
      <c r="F5307" s="12" t="inlineStr">
        <is>
          <t>PCM: power control module</t>
        </is>
      </c>
      <c r="G5307" s="12" t="inlineStr"/>
      <c r="H5307" s="12" t="inlineStr">
        <is>
          <t>RICE 6 SCR + oxidation catalyst and stack</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3</v>
      </c>
      <c r="R5307" s="12" t="n">
        <v>5</v>
      </c>
      <c r="S5307" s="12" t="inlineStr">
        <is>
          <t>Duct bank</t>
        </is>
      </c>
      <c r="T5307" s="15" t="n">
        <v>413</v>
      </c>
      <c r="U5307" s="15" t="n">
        <v>153</v>
      </c>
      <c r="V5307" s="15">
        <f>ROUNDUP((T5307+U5307+2*'Read Me'!$B$13)*(1+'Read Me'!$B$12),-1)</f>
        <v/>
      </c>
      <c r="W5307" s="15">
        <f>V5307*N5307*O5307</f>
        <v/>
      </c>
      <c r="X5307" s="12">
        <f>IF(LEFT(I5307,2)="MV",2*N5307*IF(L5307="1/C",O5307,1),0)</f>
        <v/>
      </c>
      <c r="Y5307" s="12">
        <f>IF(OR(LEFT(K5307,4)="LVAX",LEFT(K5307,6)="MV15AX",LEFT(K5307,4)="CTAX",LEFT(K5307,2)="W|"),2*N5307*O5307,0)</f>
        <v/>
      </c>
      <c r="Z5307" s="12" t="inlineStr">
        <is>
          <t>fixture-to-fixture run included</t>
        </is>
      </c>
      <c r="AA5307" s="12">
        <f>N5307*O5307</f>
        <v/>
      </c>
    </row>
    <row r="5308">
      <c r="A5308" s="12" t="inlineStr">
        <is>
          <t>I-P-0144</t>
        </is>
      </c>
      <c r="B5308" s="12" t="inlineStr">
        <is>
          <t>I</t>
        </is>
      </c>
      <c r="C5308" s="12" t="inlineStr">
        <is>
          <t>Modular / portable power</t>
        </is>
      </c>
      <c r="D5308" s="12" t="inlineStr">
        <is>
          <t>Motor 1 of 5, 30 kW (VFD output)</t>
        </is>
      </c>
      <c r="E5308" s="12" t="inlineStr"/>
      <c r="F5308" s="12" t="inlineStr">
        <is>
          <t>PCM: power control module</t>
        </is>
      </c>
      <c r="G5308" s="12" t="inlineStr"/>
      <c r="H5308" s="12" t="inlineStr">
        <is>
          <t>RICE 6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150</v>
      </c>
      <c r="V5308" s="15">
        <f>ROUNDUP((T5308+U5308+2*'Read Me'!$B$13)*(1+'Read Me'!$B$12),-1)</f>
        <v/>
      </c>
      <c r="W5308" s="15">
        <f>V5308*N5308*O5308</f>
        <v/>
      </c>
      <c r="X5308" s="12">
        <f>IF(LEFT(I5308,2)="MV",2*N5308*IF(L5308="1/C",O5308,1),0)</f>
        <v/>
      </c>
      <c r="Y5308" s="12">
        <f>IF(OR(LEFT(K5308,4)="LVAX",LEFT(K5308,6)="MV15AX",LEFT(K5308,4)="CTAX",LEFT(K5308,2)="W|"),2*N5308*O5308,0)</f>
        <v/>
      </c>
      <c r="Z5308" s="12" t="inlineStr">
        <is>
          <t>VD 1.9 %</t>
        </is>
      </c>
      <c r="AA5308" s="12">
        <f>N5308*O5308</f>
        <v/>
      </c>
    </row>
    <row r="5309">
      <c r="A5309" s="12" t="inlineStr">
        <is>
          <t>I-P-0145</t>
        </is>
      </c>
      <c r="B5309" s="12" t="inlineStr">
        <is>
          <t>I</t>
        </is>
      </c>
      <c r="C5309" s="12" t="inlineStr">
        <is>
          <t>Modular / portable power</t>
        </is>
      </c>
      <c r="D5309" s="12" t="inlineStr">
        <is>
          <t>Motor 2 of 5, 30 kW (VFD output)</t>
        </is>
      </c>
      <c r="E5309" s="12" t="inlineStr"/>
      <c r="F5309" s="12" t="inlineStr">
        <is>
          <t>PCM: power control module</t>
        </is>
      </c>
      <c r="G5309" s="12" t="inlineStr"/>
      <c r="H5309" s="12" t="inlineStr">
        <is>
          <t>RICE 6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150</v>
      </c>
      <c r="V5309" s="15">
        <f>ROUNDUP((T5309+U5309+2*'Read Me'!$B$13)*(1+'Read Me'!$B$12),-1)</f>
        <v/>
      </c>
      <c r="W5309" s="15">
        <f>V5309*N5309*O5309</f>
        <v/>
      </c>
      <c r="X5309" s="12">
        <f>IF(LEFT(I5309,2)="MV",2*N5309*IF(L5309="1/C",O5309,1),0)</f>
        <v/>
      </c>
      <c r="Y5309" s="12">
        <f>IF(OR(LEFT(K5309,4)="LVAX",LEFT(K5309,6)="MV15AX",LEFT(K5309,4)="CTAX",LEFT(K5309,2)="W|"),2*N5309*O5309,0)</f>
        <v/>
      </c>
      <c r="Z5309" s="12" t="inlineStr">
        <is>
          <t>VD 1.9 %</t>
        </is>
      </c>
      <c r="AA5309" s="12">
        <f>N5309*O5309</f>
        <v/>
      </c>
    </row>
    <row r="5310">
      <c r="A5310" s="12" t="inlineStr">
        <is>
          <t>I-P-0146</t>
        </is>
      </c>
      <c r="B5310" s="12" t="inlineStr">
        <is>
          <t>I</t>
        </is>
      </c>
      <c r="C5310" s="12" t="inlineStr">
        <is>
          <t>Modular / portable power</t>
        </is>
      </c>
      <c r="D5310" s="12" t="inlineStr">
        <is>
          <t>Motor 3 of 5, 30 kW (VFD output)</t>
        </is>
      </c>
      <c r="E5310" s="12" t="inlineStr"/>
      <c r="F5310" s="12" t="inlineStr">
        <is>
          <t>PCM: power control module</t>
        </is>
      </c>
      <c r="G5310" s="12" t="inlineStr"/>
      <c r="H5310" s="12" t="inlineStr">
        <is>
          <t>RICE 6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150</v>
      </c>
      <c r="V5310" s="15">
        <f>ROUNDUP((T5310+U5310+2*'Read Me'!$B$13)*(1+'Read Me'!$B$12),-1)</f>
        <v/>
      </c>
      <c r="W5310" s="15">
        <f>V5310*N5310*O5310</f>
        <v/>
      </c>
      <c r="X5310" s="12">
        <f>IF(LEFT(I5310,2)="MV",2*N5310*IF(L5310="1/C",O5310,1),0)</f>
        <v/>
      </c>
      <c r="Y5310" s="12">
        <f>IF(OR(LEFT(K5310,4)="LVAX",LEFT(K5310,6)="MV15AX",LEFT(K5310,4)="CTAX",LEFT(K5310,2)="W|"),2*N5310*O5310,0)</f>
        <v/>
      </c>
      <c r="Z5310" s="12" t="inlineStr">
        <is>
          <t>VD 1.9 %</t>
        </is>
      </c>
      <c r="AA5310" s="12">
        <f>N5310*O5310</f>
        <v/>
      </c>
    </row>
    <row r="5311">
      <c r="A5311" s="12" t="inlineStr">
        <is>
          <t>I-P-0147</t>
        </is>
      </c>
      <c r="B5311" s="12" t="inlineStr">
        <is>
          <t>I</t>
        </is>
      </c>
      <c r="C5311" s="12" t="inlineStr">
        <is>
          <t>Modular / portable power</t>
        </is>
      </c>
      <c r="D5311" s="12" t="inlineStr">
        <is>
          <t>Motor 4 of 5, 30 kW (VFD output)</t>
        </is>
      </c>
      <c r="E5311" s="12" t="inlineStr"/>
      <c r="F5311" s="12" t="inlineStr">
        <is>
          <t>PCM: power control module</t>
        </is>
      </c>
      <c r="G5311" s="12" t="inlineStr"/>
      <c r="H5311" s="12" t="inlineStr">
        <is>
          <t>RICE 6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150</v>
      </c>
      <c r="V5311" s="15">
        <f>ROUNDUP((T5311+U5311+2*'Read Me'!$B$13)*(1+'Read Me'!$B$12),-1)</f>
        <v/>
      </c>
      <c r="W5311" s="15">
        <f>V5311*N5311*O5311</f>
        <v/>
      </c>
      <c r="X5311" s="12">
        <f>IF(LEFT(I5311,2)="MV",2*N5311*IF(L5311="1/C",O5311,1),0)</f>
        <v/>
      </c>
      <c r="Y5311" s="12">
        <f>IF(OR(LEFT(K5311,4)="LVAX",LEFT(K5311,6)="MV15AX",LEFT(K5311,4)="CTAX",LEFT(K5311,2)="W|"),2*N5311*O5311,0)</f>
        <v/>
      </c>
      <c r="Z5311" s="12" t="inlineStr">
        <is>
          <t>VD 1.9 %</t>
        </is>
      </c>
      <c r="AA5311" s="12">
        <f>N5311*O5311</f>
        <v/>
      </c>
    </row>
    <row r="5312">
      <c r="A5312" s="12" t="inlineStr">
        <is>
          <t>I-P-0148</t>
        </is>
      </c>
      <c r="B5312" s="12" t="inlineStr">
        <is>
          <t>I</t>
        </is>
      </c>
      <c r="C5312" s="12" t="inlineStr">
        <is>
          <t>Modular / portable power</t>
        </is>
      </c>
      <c r="D5312" s="12" t="inlineStr">
        <is>
          <t>Motor 5 of 5, 30 kW (VFD output)</t>
        </is>
      </c>
      <c r="E5312" s="12" t="inlineStr"/>
      <c r="F5312" s="12" t="inlineStr">
        <is>
          <t>PCM: power control module</t>
        </is>
      </c>
      <c r="G5312" s="12" t="inlineStr"/>
      <c r="H5312" s="12" t="inlineStr">
        <is>
          <t>RICE 6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150</v>
      </c>
      <c r="V5312" s="15">
        <f>ROUNDUP((T5312+U5312+2*'Read Me'!$B$13)*(1+'Read Me'!$B$12),-1)</f>
        <v/>
      </c>
      <c r="W5312" s="15">
        <f>V5312*N5312*O5312</f>
        <v/>
      </c>
      <c r="X5312" s="12">
        <f>IF(LEFT(I5312,2)="MV",2*N5312*IF(L5312="1/C",O5312,1),0)</f>
        <v/>
      </c>
      <c r="Y5312" s="12">
        <f>IF(OR(LEFT(K5312,4)="LVAX",LEFT(K5312,6)="MV15AX",LEFT(K5312,4)="CTAX",LEFT(K5312,2)="W|"),2*N5312*O5312,0)</f>
        <v/>
      </c>
      <c r="Z5312" s="12" t="inlineStr">
        <is>
          <t>VD 1.9 %</t>
        </is>
      </c>
      <c r="AA5312" s="12">
        <f>N5312*O5312</f>
        <v/>
      </c>
    </row>
    <row r="5313">
      <c r="A5313" s="12" t="inlineStr">
        <is>
          <t>I-P-0149</t>
        </is>
      </c>
      <c r="B5313" s="12" t="inlineStr">
        <is>
          <t>I</t>
        </is>
      </c>
      <c r="C5313" s="12" t="inlineStr">
        <is>
          <t>Modular / portable power</t>
        </is>
      </c>
      <c r="D5313" s="12" t="inlineStr">
        <is>
          <t>Motor 1 of 1, 15 kW</t>
        </is>
      </c>
      <c r="E5313" s="12" t="inlineStr"/>
      <c r="F5313" s="12" t="inlineStr">
        <is>
          <t>PCM: power control module</t>
        </is>
      </c>
      <c r="G5313" s="12" t="inlineStr"/>
      <c r="H5313" s="12" t="inlineStr">
        <is>
          <t>RICE 7 SCR + oxidation catalyst and stack</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15</v>
      </c>
      <c r="R5313" s="12" t="n">
        <v>21.2</v>
      </c>
      <c r="S5313" s="12" t="inlineStr">
        <is>
          <t>Duct bank</t>
        </is>
      </c>
      <c r="T5313" s="15" t="n">
        <v>113</v>
      </c>
      <c r="U5313" s="15" t="n">
        <v>125</v>
      </c>
      <c r="V5313" s="15">
        <f>ROUNDUP((T5313+U5313+2*'Read Me'!$B$13)*(1+'Read Me'!$B$12),-1)</f>
        <v/>
      </c>
      <c r="W5313" s="15">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I-P-0150</t>
        </is>
      </c>
      <c r="B5314" s="12" t="inlineStr">
        <is>
          <t>I</t>
        </is>
      </c>
      <c r="C5314" s="12" t="inlineStr">
        <is>
          <t>Modular / portable power</t>
        </is>
      </c>
      <c r="D5314" s="12" t="inlineStr">
        <is>
          <t>Area / platform lighting circuit 1 (6 fixtures)</t>
        </is>
      </c>
      <c r="E5314" s="12" t="inlineStr"/>
      <c r="F5314" s="12" t="inlineStr">
        <is>
          <t>PCM: power control module</t>
        </is>
      </c>
      <c r="G5314" s="12" t="inlineStr"/>
      <c r="H5314" s="12" t="inlineStr">
        <is>
          <t>RICE 7 SCR + oxidation catalyst and stack</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3</v>
      </c>
      <c r="R5314" s="12" t="n">
        <v>5</v>
      </c>
      <c r="S5314" s="12" t="inlineStr">
        <is>
          <t>Duct bank</t>
        </is>
      </c>
      <c r="T5314" s="15" t="n">
        <v>413</v>
      </c>
      <c r="U5314" s="15" t="n">
        <v>125</v>
      </c>
      <c r="V5314" s="15">
        <f>ROUNDUP((T5314+U5314+2*'Read Me'!$B$13)*(1+'Read Me'!$B$12),-1)</f>
        <v/>
      </c>
      <c r="W5314" s="15">
        <f>V5314*N5314*O5314</f>
        <v/>
      </c>
      <c r="X5314" s="12">
        <f>IF(LEFT(I5314,2)="MV",2*N5314*IF(L5314="1/C",O5314,1),0)</f>
        <v/>
      </c>
      <c r="Y5314" s="12">
        <f>IF(OR(LEFT(K5314,4)="LVAX",LEFT(K5314,6)="MV15AX",LEFT(K5314,4)="CTAX",LEFT(K5314,2)="W|"),2*N5314*O5314,0)</f>
        <v/>
      </c>
      <c r="Z5314" s="12" t="inlineStr">
        <is>
          <t>fixture-to-fixture run included</t>
        </is>
      </c>
      <c r="AA5314" s="12">
        <f>N5314*O5314</f>
        <v/>
      </c>
    </row>
    <row r="5315">
      <c r="A5315" s="12" t="inlineStr">
        <is>
          <t>I-P-0151</t>
        </is>
      </c>
      <c r="B5315" s="12" t="inlineStr">
        <is>
          <t>I</t>
        </is>
      </c>
      <c r="C5315" s="12" t="inlineStr">
        <is>
          <t>Modular / portable power</t>
        </is>
      </c>
      <c r="D5315" s="12" t="inlineStr">
        <is>
          <t>Motor 1 of 5, 30 kW (VFD output)</t>
        </is>
      </c>
      <c r="E5315" s="12" t="inlineStr"/>
      <c r="F5315" s="12" t="inlineStr">
        <is>
          <t>PCM: power control module</t>
        </is>
      </c>
      <c r="G5315" s="12" t="inlineStr"/>
      <c r="H5315" s="12" t="inlineStr">
        <is>
          <t>RICE 7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122</v>
      </c>
      <c r="V5315" s="15">
        <f>ROUNDUP((T5315+U5315+2*'Read Me'!$B$13)*(1+'Read Me'!$B$12),-1)</f>
        <v/>
      </c>
      <c r="W5315" s="15">
        <f>V5315*N5315*O5315</f>
        <v/>
      </c>
      <c r="X5315" s="12">
        <f>IF(LEFT(I5315,2)="MV",2*N5315*IF(L5315="1/C",O5315,1),0)</f>
        <v/>
      </c>
      <c r="Y5315" s="12">
        <f>IF(OR(LEFT(K5315,4)="LVAX",LEFT(K5315,6)="MV15AX",LEFT(K5315,4)="CTAX",LEFT(K5315,2)="W|"),2*N5315*O5315,0)</f>
        <v/>
      </c>
      <c r="Z5315" s="12" t="inlineStr">
        <is>
          <t>VD 1.7 %</t>
        </is>
      </c>
      <c r="AA5315" s="12">
        <f>N5315*O5315</f>
        <v/>
      </c>
    </row>
    <row r="5316">
      <c r="A5316" s="12" t="inlineStr">
        <is>
          <t>I-P-0152</t>
        </is>
      </c>
      <c r="B5316" s="12" t="inlineStr">
        <is>
          <t>I</t>
        </is>
      </c>
      <c r="C5316" s="12" t="inlineStr">
        <is>
          <t>Modular / portable power</t>
        </is>
      </c>
      <c r="D5316" s="12" t="inlineStr">
        <is>
          <t>Motor 2 of 5, 30 kW (VFD output)</t>
        </is>
      </c>
      <c r="E5316" s="12" t="inlineStr"/>
      <c r="F5316" s="12" t="inlineStr">
        <is>
          <t>PCM: power control module</t>
        </is>
      </c>
      <c r="G5316" s="12" t="inlineStr"/>
      <c r="H5316" s="12" t="inlineStr">
        <is>
          <t>RICE 7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122</v>
      </c>
      <c r="V5316" s="15">
        <f>ROUNDUP((T5316+U5316+2*'Read Me'!$B$13)*(1+'Read Me'!$B$12),-1)</f>
        <v/>
      </c>
      <c r="W5316" s="15">
        <f>V5316*N5316*O5316</f>
        <v/>
      </c>
      <c r="X5316" s="12">
        <f>IF(LEFT(I5316,2)="MV",2*N5316*IF(L5316="1/C",O5316,1),0)</f>
        <v/>
      </c>
      <c r="Y5316" s="12">
        <f>IF(OR(LEFT(K5316,4)="LVAX",LEFT(K5316,6)="MV15AX",LEFT(K5316,4)="CTAX",LEFT(K5316,2)="W|"),2*N5316*O5316,0)</f>
        <v/>
      </c>
      <c r="Z5316" s="12" t="inlineStr">
        <is>
          <t>VD 1.7 %</t>
        </is>
      </c>
      <c r="AA5316" s="12">
        <f>N5316*O5316</f>
        <v/>
      </c>
    </row>
    <row r="5317">
      <c r="A5317" s="12" t="inlineStr">
        <is>
          <t>I-P-0153</t>
        </is>
      </c>
      <c r="B5317" s="12" t="inlineStr">
        <is>
          <t>I</t>
        </is>
      </c>
      <c r="C5317" s="12" t="inlineStr">
        <is>
          <t>Modular / portable power</t>
        </is>
      </c>
      <c r="D5317" s="12" t="inlineStr">
        <is>
          <t>Motor 3 of 5, 30 kW (VFD output)</t>
        </is>
      </c>
      <c r="E5317" s="12" t="inlineStr"/>
      <c r="F5317" s="12" t="inlineStr">
        <is>
          <t>PCM: power control module</t>
        </is>
      </c>
      <c r="G5317" s="12" t="inlineStr"/>
      <c r="H5317" s="12" t="inlineStr">
        <is>
          <t>RICE 7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122</v>
      </c>
      <c r="V5317" s="15">
        <f>ROUNDUP((T5317+U5317+2*'Read Me'!$B$13)*(1+'Read Me'!$B$12),-1)</f>
        <v/>
      </c>
      <c r="W5317" s="15">
        <f>V5317*N5317*O5317</f>
        <v/>
      </c>
      <c r="X5317" s="12">
        <f>IF(LEFT(I5317,2)="MV",2*N5317*IF(L5317="1/C",O5317,1),0)</f>
        <v/>
      </c>
      <c r="Y5317" s="12">
        <f>IF(OR(LEFT(K5317,4)="LVAX",LEFT(K5317,6)="MV15AX",LEFT(K5317,4)="CTAX",LEFT(K5317,2)="W|"),2*N5317*O5317,0)</f>
        <v/>
      </c>
      <c r="Z5317" s="12" t="inlineStr">
        <is>
          <t>VD 1.7 %</t>
        </is>
      </c>
      <c r="AA5317" s="12">
        <f>N5317*O5317</f>
        <v/>
      </c>
    </row>
    <row r="5318">
      <c r="A5318" s="12" t="inlineStr">
        <is>
          <t>I-P-0154</t>
        </is>
      </c>
      <c r="B5318" s="12" t="inlineStr">
        <is>
          <t>I</t>
        </is>
      </c>
      <c r="C5318" s="12" t="inlineStr">
        <is>
          <t>Modular / portable power</t>
        </is>
      </c>
      <c r="D5318" s="12" t="inlineStr">
        <is>
          <t>Motor 4 of 5, 30 kW (VFD output)</t>
        </is>
      </c>
      <c r="E5318" s="12" t="inlineStr"/>
      <c r="F5318" s="12" t="inlineStr">
        <is>
          <t>PCM: power control module</t>
        </is>
      </c>
      <c r="G5318" s="12" t="inlineStr"/>
      <c r="H5318" s="12" t="inlineStr">
        <is>
          <t>RICE 7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122</v>
      </c>
      <c r="V5318" s="15">
        <f>ROUNDUP((T5318+U5318+2*'Read Me'!$B$13)*(1+'Read Me'!$B$12),-1)</f>
        <v/>
      </c>
      <c r="W5318" s="15">
        <f>V5318*N5318*O5318</f>
        <v/>
      </c>
      <c r="X5318" s="12">
        <f>IF(LEFT(I5318,2)="MV",2*N5318*IF(L5318="1/C",O5318,1),0)</f>
        <v/>
      </c>
      <c r="Y5318" s="12">
        <f>IF(OR(LEFT(K5318,4)="LVAX",LEFT(K5318,6)="MV15AX",LEFT(K5318,4)="CTAX",LEFT(K5318,2)="W|"),2*N5318*O5318,0)</f>
        <v/>
      </c>
      <c r="Z5318" s="12" t="inlineStr">
        <is>
          <t>VD 1.7 %</t>
        </is>
      </c>
      <c r="AA5318" s="12">
        <f>N5318*O5318</f>
        <v/>
      </c>
    </row>
    <row r="5319">
      <c r="A5319" s="12" t="inlineStr">
        <is>
          <t>I-P-0155</t>
        </is>
      </c>
      <c r="B5319" s="12" t="inlineStr">
        <is>
          <t>I</t>
        </is>
      </c>
      <c r="C5319" s="12" t="inlineStr">
        <is>
          <t>Modular / portable power</t>
        </is>
      </c>
      <c r="D5319" s="12" t="inlineStr">
        <is>
          <t>Motor 5 of 5, 30 kW (VFD output)</t>
        </is>
      </c>
      <c r="E5319" s="12" t="inlineStr"/>
      <c r="F5319" s="12" t="inlineStr">
        <is>
          <t>PCM: power control module</t>
        </is>
      </c>
      <c r="G5319" s="12" t="inlineStr"/>
      <c r="H5319" s="12" t="inlineStr">
        <is>
          <t>RICE 7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122</v>
      </c>
      <c r="V5319" s="15">
        <f>ROUNDUP((T5319+U5319+2*'Read Me'!$B$13)*(1+'Read Me'!$B$12),-1)</f>
        <v/>
      </c>
      <c r="W5319" s="15">
        <f>V5319*N5319*O5319</f>
        <v/>
      </c>
      <c r="X5319" s="12">
        <f>IF(LEFT(I5319,2)="MV",2*N5319*IF(L5319="1/C",O5319,1),0)</f>
        <v/>
      </c>
      <c r="Y5319" s="12">
        <f>IF(OR(LEFT(K5319,4)="LVAX",LEFT(K5319,6)="MV15AX",LEFT(K5319,4)="CTAX",LEFT(K5319,2)="W|"),2*N5319*O5319,0)</f>
        <v/>
      </c>
      <c r="Z5319" s="12" t="inlineStr">
        <is>
          <t>VD 1.7 %</t>
        </is>
      </c>
      <c r="AA5319" s="12">
        <f>N5319*O5319</f>
        <v/>
      </c>
    </row>
    <row r="5320">
      <c r="A5320" s="12" t="inlineStr">
        <is>
          <t>I-P-0156</t>
        </is>
      </c>
      <c r="B5320" s="12" t="inlineStr">
        <is>
          <t>I</t>
        </is>
      </c>
      <c r="C5320" s="12" t="inlineStr">
        <is>
          <t>Modular / portable power</t>
        </is>
      </c>
      <c r="D5320" s="12" t="inlineStr">
        <is>
          <t>Motor 1 of 1, 15 kW</t>
        </is>
      </c>
      <c r="E5320" s="12" t="inlineStr"/>
      <c r="F5320" s="12" t="inlineStr">
        <is>
          <t>PCM: power control module</t>
        </is>
      </c>
      <c r="G5320" s="12" t="inlineStr"/>
      <c r="H5320" s="12" t="inlineStr">
        <is>
          <t>RICE 8 SCR + oxidation catalyst and stack</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15</v>
      </c>
      <c r="R5320" s="12" t="n">
        <v>21.2</v>
      </c>
      <c r="S5320" s="12" t="inlineStr">
        <is>
          <t>Duct bank</t>
        </is>
      </c>
      <c r="T5320" s="15" t="n">
        <v>113</v>
      </c>
      <c r="U5320" s="15" t="n">
        <v>97</v>
      </c>
      <c r="V5320" s="15">
        <f>ROUNDUP((T5320+U5320+2*'Read Me'!$B$13)*(1+'Read Me'!$B$12),-1)</f>
        <v/>
      </c>
      <c r="W5320" s="15">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I-P-0157</t>
        </is>
      </c>
      <c r="B5321" s="12" t="inlineStr">
        <is>
          <t>I</t>
        </is>
      </c>
      <c r="C5321" s="12" t="inlineStr">
        <is>
          <t>Modular / portable power</t>
        </is>
      </c>
      <c r="D5321" s="12" t="inlineStr">
        <is>
          <t>Area / platform lighting circuit 1 (6 fixtures)</t>
        </is>
      </c>
      <c r="E5321" s="12" t="inlineStr"/>
      <c r="F5321" s="12" t="inlineStr">
        <is>
          <t>PCM: power control module</t>
        </is>
      </c>
      <c r="G5321" s="12" t="inlineStr"/>
      <c r="H5321" s="12" t="inlineStr">
        <is>
          <t>RICE 8 SCR + oxidation catalyst and stack</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3</v>
      </c>
      <c r="R5321" s="12" t="n">
        <v>5</v>
      </c>
      <c r="S5321" s="12" t="inlineStr">
        <is>
          <t>Duct bank</t>
        </is>
      </c>
      <c r="T5321" s="15" t="n">
        <v>413</v>
      </c>
      <c r="U5321" s="15" t="n">
        <v>97</v>
      </c>
      <c r="V5321" s="15">
        <f>ROUNDUP((T5321+U5321+2*'Read Me'!$B$13)*(1+'Read Me'!$B$12),-1)</f>
        <v/>
      </c>
      <c r="W5321" s="15">
        <f>V5321*N5321*O5321</f>
        <v/>
      </c>
      <c r="X5321" s="12">
        <f>IF(LEFT(I5321,2)="MV",2*N5321*IF(L5321="1/C",O5321,1),0)</f>
        <v/>
      </c>
      <c r="Y5321" s="12">
        <f>IF(OR(LEFT(K5321,4)="LVAX",LEFT(K5321,6)="MV15AX",LEFT(K5321,4)="CTAX",LEFT(K5321,2)="W|"),2*N5321*O5321,0)</f>
        <v/>
      </c>
      <c r="Z5321" s="12" t="inlineStr">
        <is>
          <t>fixture-to-fixture run included</t>
        </is>
      </c>
      <c r="AA5321" s="12">
        <f>N5321*O5321</f>
        <v/>
      </c>
    </row>
    <row r="5322">
      <c r="A5322" s="12" t="inlineStr">
        <is>
          <t>I-P-0158</t>
        </is>
      </c>
      <c r="B5322" s="12" t="inlineStr">
        <is>
          <t>I</t>
        </is>
      </c>
      <c r="C5322" s="12" t="inlineStr">
        <is>
          <t>Modular / portable power</t>
        </is>
      </c>
      <c r="D5322" s="12" t="inlineStr">
        <is>
          <t>Motor 1 of 5, 30 kW (VFD output)</t>
        </is>
      </c>
      <c r="E5322" s="12" t="inlineStr"/>
      <c r="F5322" s="12" t="inlineStr">
        <is>
          <t>PCM: power control module</t>
        </is>
      </c>
      <c r="G5322" s="12" t="inlineStr"/>
      <c r="H5322" s="12" t="inlineStr">
        <is>
          <t>RICE 8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94</v>
      </c>
      <c r="V5322" s="15">
        <f>ROUNDUP((T5322+U5322+2*'Read Me'!$B$13)*(1+'Read Me'!$B$12),-1)</f>
        <v/>
      </c>
      <c r="W5322" s="15">
        <f>V5322*N5322*O5322</f>
        <v/>
      </c>
      <c r="X5322" s="12">
        <f>IF(LEFT(I5322,2)="MV",2*N5322*IF(L5322="1/C",O5322,1),0)</f>
        <v/>
      </c>
      <c r="Y5322" s="12">
        <f>IF(OR(LEFT(K5322,4)="LVAX",LEFT(K5322,6)="MV15AX",LEFT(K5322,4)="CTAX",LEFT(K5322,2)="W|"),2*N5322*O5322,0)</f>
        <v/>
      </c>
      <c r="Z5322" s="12" t="inlineStr">
        <is>
          <t>VD 1.4 %</t>
        </is>
      </c>
      <c r="AA5322" s="12">
        <f>N5322*O5322</f>
        <v/>
      </c>
    </row>
    <row r="5323">
      <c r="A5323" s="12" t="inlineStr">
        <is>
          <t>I-P-0159</t>
        </is>
      </c>
      <c r="B5323" s="12" t="inlineStr">
        <is>
          <t>I</t>
        </is>
      </c>
      <c r="C5323" s="12" t="inlineStr">
        <is>
          <t>Modular / portable power</t>
        </is>
      </c>
      <c r="D5323" s="12" t="inlineStr">
        <is>
          <t>Motor 2 of 5, 30 kW (VFD output)</t>
        </is>
      </c>
      <c r="E5323" s="12" t="inlineStr"/>
      <c r="F5323" s="12" t="inlineStr">
        <is>
          <t>PCM: power control module</t>
        </is>
      </c>
      <c r="G5323" s="12" t="inlineStr"/>
      <c r="H5323" s="12" t="inlineStr">
        <is>
          <t>RICE 8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94</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I-P-0160</t>
        </is>
      </c>
      <c r="B5324" s="12" t="inlineStr">
        <is>
          <t>I</t>
        </is>
      </c>
      <c r="C5324" s="12" t="inlineStr">
        <is>
          <t>Modular / portable power</t>
        </is>
      </c>
      <c r="D5324" s="12" t="inlineStr">
        <is>
          <t>Motor 3 of 5, 30 kW (VFD output)</t>
        </is>
      </c>
      <c r="E5324" s="12" t="inlineStr"/>
      <c r="F5324" s="12" t="inlineStr">
        <is>
          <t>PCM: power control module</t>
        </is>
      </c>
      <c r="G5324" s="12" t="inlineStr"/>
      <c r="H5324" s="12" t="inlineStr">
        <is>
          <t>RICE 8 radiators (5)</t>
        </is>
      </c>
      <c r="I5324" s="12" t="inlineStr">
        <is>
          <t>LV 600 V</t>
        </is>
      </c>
      <c r="J5324" s="12" t="inlineStr">
        <is>
          <t>VFD cable 600 V 3/C Cu XHHW-2, 3 symmetrical grounds, overall Cu tape shield, TC-ER</t>
        </is>
      </c>
      <c r="K5324" s="12" t="inlineStr">
        <is>
          <t>VFD|3/C+3G|6</t>
        </is>
      </c>
      <c r="L5324" s="12" t="inlineStr">
        <is>
          <t>3/C+3G</t>
        </is>
      </c>
      <c r="M5324" s="12" t="inlineStr">
        <is>
          <t>6</t>
        </is>
      </c>
      <c r="N5324" s="12" t="n">
        <v>1</v>
      </c>
      <c r="O5324" s="12" t="n">
        <v>1</v>
      </c>
      <c r="P5324" s="12" t="n">
        <v>480</v>
      </c>
      <c r="Q5324" s="12" t="n">
        <v>30</v>
      </c>
      <c r="R5324" s="12" t="n">
        <v>42</v>
      </c>
      <c r="S5324" s="12" t="inlineStr">
        <is>
          <t>Tray</t>
        </is>
      </c>
      <c r="T5324" s="15" t="n">
        <v>80</v>
      </c>
      <c r="U5324" s="15" t="n">
        <v>94</v>
      </c>
      <c r="V5324" s="15">
        <f>ROUNDUP((T5324+U5324+2*'Read Me'!$B$13)*(1+'Read Me'!$B$12),-1)</f>
        <v/>
      </c>
      <c r="W5324" s="15">
        <f>V5324*N5324*O5324</f>
        <v/>
      </c>
      <c r="X5324" s="12">
        <f>IF(LEFT(I5324,2)="MV",2*N5324*IF(L5324="1/C",O5324,1),0)</f>
        <v/>
      </c>
      <c r="Y5324" s="12">
        <f>IF(OR(LEFT(K5324,4)="LVAX",LEFT(K5324,6)="MV15AX",LEFT(K5324,4)="CTAX",LEFT(K5324,2)="W|"),2*N5324*O5324,0)</f>
        <v/>
      </c>
      <c r="Z5324" s="12" t="inlineStr">
        <is>
          <t>VD 1.4 %</t>
        </is>
      </c>
      <c r="AA5324" s="12">
        <f>N5324*O5324</f>
        <v/>
      </c>
    </row>
    <row r="5325">
      <c r="A5325" s="12" t="inlineStr">
        <is>
          <t>I-P-0161</t>
        </is>
      </c>
      <c r="B5325" s="12" t="inlineStr">
        <is>
          <t>I</t>
        </is>
      </c>
      <c r="C5325" s="12" t="inlineStr">
        <is>
          <t>Modular / portable power</t>
        </is>
      </c>
      <c r="D5325" s="12" t="inlineStr">
        <is>
          <t>Motor 4 of 5, 30 kW (VFD output)</t>
        </is>
      </c>
      <c r="E5325" s="12" t="inlineStr"/>
      <c r="F5325" s="12" t="inlineStr">
        <is>
          <t>PCM: power control module</t>
        </is>
      </c>
      <c r="G5325" s="12" t="inlineStr"/>
      <c r="H5325" s="12" t="inlineStr">
        <is>
          <t>RICE 8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94</v>
      </c>
      <c r="V5325" s="15">
        <f>ROUNDUP((T5325+U5325+2*'Read Me'!$B$13)*(1+'Read Me'!$B$12),-1)</f>
        <v/>
      </c>
      <c r="W5325" s="15">
        <f>V5325*N5325*O5325</f>
        <v/>
      </c>
      <c r="X5325" s="12">
        <f>IF(LEFT(I5325,2)="MV",2*N5325*IF(L5325="1/C",O5325,1),0)</f>
        <v/>
      </c>
      <c r="Y5325" s="12">
        <f>IF(OR(LEFT(K5325,4)="LVAX",LEFT(K5325,6)="MV15AX",LEFT(K5325,4)="CTAX",LEFT(K5325,2)="W|"),2*N5325*O5325,0)</f>
        <v/>
      </c>
      <c r="Z5325" s="12" t="inlineStr">
        <is>
          <t>VD 1.4 %</t>
        </is>
      </c>
      <c r="AA5325" s="12">
        <f>N5325*O5325</f>
        <v/>
      </c>
    </row>
    <row r="5326">
      <c r="A5326" s="12" t="inlineStr">
        <is>
          <t>I-P-0162</t>
        </is>
      </c>
      <c r="B5326" s="12" t="inlineStr">
        <is>
          <t>I</t>
        </is>
      </c>
      <c r="C5326" s="12" t="inlineStr">
        <is>
          <t>Modular / portable power</t>
        </is>
      </c>
      <c r="D5326" s="12" t="inlineStr">
        <is>
          <t>Motor 5 of 5, 30 kW (VFD output)</t>
        </is>
      </c>
      <c r="E5326" s="12" t="inlineStr"/>
      <c r="F5326" s="12" t="inlineStr">
        <is>
          <t>PCM: power control module</t>
        </is>
      </c>
      <c r="G5326" s="12" t="inlineStr"/>
      <c r="H5326" s="12" t="inlineStr">
        <is>
          <t>RICE 8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94</v>
      </c>
      <c r="V5326" s="15">
        <f>ROUNDUP((T5326+U5326+2*'Read Me'!$B$13)*(1+'Read Me'!$B$12),-1)</f>
        <v/>
      </c>
      <c r="W5326" s="15">
        <f>V5326*N5326*O5326</f>
        <v/>
      </c>
      <c r="X5326" s="12">
        <f>IF(LEFT(I5326,2)="MV",2*N5326*IF(L5326="1/C",O5326,1),0)</f>
        <v/>
      </c>
      <c r="Y5326" s="12">
        <f>IF(OR(LEFT(K5326,4)="LVAX",LEFT(K5326,6)="MV15AX",LEFT(K5326,4)="CTAX",LEFT(K5326,2)="W|"),2*N5326*O5326,0)</f>
        <v/>
      </c>
      <c r="Z5326" s="12" t="inlineStr">
        <is>
          <t>VD 1.4 %</t>
        </is>
      </c>
      <c r="AA5326" s="12">
        <f>N5326*O5326</f>
        <v/>
      </c>
    </row>
    <row r="5327">
      <c r="A5327" s="12" t="inlineStr">
        <is>
          <t>I-P-0163</t>
        </is>
      </c>
      <c r="B5327" s="12" t="inlineStr">
        <is>
          <t>I</t>
        </is>
      </c>
      <c r="C5327" s="12" t="inlineStr">
        <is>
          <t>Modular / portable power</t>
        </is>
      </c>
      <c r="D5327" s="12" t="inlineStr">
        <is>
          <t>LV panel / distribution feeder</t>
        </is>
      </c>
      <c r="E5327" s="12" t="inlineStr"/>
      <c r="F5327" s="12" t="inlineStr">
        <is>
          <t>PCM: power control module</t>
        </is>
      </c>
      <c r="G5327" s="12" t="inlineStr"/>
      <c r="H5327" s="12" t="inlineStr">
        <is>
          <t>RICE CEMS</t>
        </is>
      </c>
      <c r="I5327" s="12" t="inlineStr">
        <is>
          <t>LV 600 V</t>
        </is>
      </c>
      <c r="J5327" s="12" t="inlineStr">
        <is>
          <t>Type TC-ER 600 V 3/C Cu XHHW-2 + ground, PVC jacket</t>
        </is>
      </c>
      <c r="K5327" s="12" t="inlineStr">
        <is>
          <t>LV|3/C+G|6</t>
        </is>
      </c>
      <c r="L5327" s="12" t="inlineStr">
        <is>
          <t>3/C+G</t>
        </is>
      </c>
      <c r="M5327" s="12" t="inlineStr">
        <is>
          <t>6</t>
        </is>
      </c>
      <c r="N5327" s="12" t="n">
        <v>1</v>
      </c>
      <c r="O5327" s="12" t="n">
        <v>1</v>
      </c>
      <c r="P5327" s="12" t="n">
        <v>480</v>
      </c>
      <c r="Q5327" s="12" t="n">
        <v>30</v>
      </c>
      <c r="R5327" s="12" t="n">
        <v>42.5</v>
      </c>
      <c r="S5327" s="12" t="inlineStr">
        <is>
          <t>Duct bank</t>
        </is>
      </c>
      <c r="T5327" s="15" t="n">
        <v>158</v>
      </c>
      <c r="U5327" s="15" t="n">
        <v>32</v>
      </c>
      <c r="V5327" s="15">
        <f>ROUNDUP((T5327+U5327+2*'Read Me'!$B$13)*(1+'Read Me'!$B$12),-1)</f>
        <v/>
      </c>
      <c r="W5327" s="15">
        <f>V5327*N5327*O5327</f>
        <v/>
      </c>
      <c r="X5327" s="12">
        <f>IF(LEFT(I5327,2)="MV",2*N5327*IF(L5327="1/C",O5327,1),0)</f>
        <v/>
      </c>
      <c r="Y5327" s="12">
        <f>IF(OR(LEFT(K5327,4)="LVAX",LEFT(K5327,6)="MV15AX",LEFT(K5327,4)="CTAX",LEFT(K5327,2)="W|"),2*N5327*O5327,0)</f>
        <v/>
      </c>
      <c r="Z5327" s="12" t="inlineStr">
        <is>
          <t>VD 1.6 %</t>
        </is>
      </c>
      <c r="AA5327" s="12">
        <f>N5327*O5327</f>
        <v/>
      </c>
    </row>
    <row r="5328">
      <c r="A5328" s="12" t="inlineStr">
        <is>
          <t>I-P-0164</t>
        </is>
      </c>
      <c r="B5328" s="12" t="inlineStr">
        <is>
          <t>I</t>
        </is>
      </c>
      <c r="C5328" s="12" t="inlineStr">
        <is>
          <t>Modular / portable power</t>
        </is>
      </c>
      <c r="D5328" s="12" t="inlineStr">
        <is>
          <t>LV power feeder</t>
        </is>
      </c>
      <c r="E5328" s="12" t="inlineStr"/>
      <c r="F5328" s="12" t="inlineStr">
        <is>
          <t>PCM: power control module</t>
        </is>
      </c>
      <c r="G5328" s="12" t="inlineStr">
        <is>
          <t>RICE</t>
        </is>
      </c>
      <c r="H5328" s="12" t="inlineStr">
        <is>
          <t>RICE engine hall (8 engines)</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15</v>
      </c>
      <c r="R5328" s="12" t="n">
        <v>21.2</v>
      </c>
      <c r="S5328" s="12" t="inlineStr">
        <is>
          <t>Duct bank</t>
        </is>
      </c>
      <c r="T5328" s="15" t="n">
        <v>57</v>
      </c>
      <c r="U5328" s="15" t="n">
        <v>83</v>
      </c>
      <c r="V5328" s="15">
        <f>ROUNDUP((T5328+U5328+2*'Read Me'!$B$13)*(1+'Read Me'!$B$12),-1)</f>
        <v/>
      </c>
      <c r="W5328" s="15">
        <f>V5328*N5328*O5328</f>
        <v/>
      </c>
      <c r="X5328" s="12">
        <f>IF(LEFT(I5328,2)="MV",2*N5328*IF(L5328="1/C",O5328,1),0)</f>
        <v/>
      </c>
      <c r="Y5328" s="12">
        <f>IF(OR(LEFT(K5328,4)="LVAX",LEFT(K5328,6)="MV15AX",LEFT(K5328,4)="CTAX",LEFT(K5328,2)="W|"),2*N5328*O5328,0)</f>
        <v/>
      </c>
      <c r="Z5328" s="12" t="inlineStr">
        <is>
          <t>VD 1.4 %</t>
        </is>
      </c>
      <c r="AA5328" s="12">
        <f>N5328*O5328</f>
        <v/>
      </c>
    </row>
    <row r="5329">
      <c r="A5329" s="12" t="inlineStr">
        <is>
          <t>I-P-0165</t>
        </is>
      </c>
      <c r="B5329" s="12" t="inlineStr">
        <is>
          <t>I</t>
        </is>
      </c>
      <c r="C5329" s="12" t="inlineStr">
        <is>
          <t>Modular / portable power</t>
        </is>
      </c>
      <c r="D5329" s="12" t="inlineStr">
        <is>
          <t>Motor 1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I-P-0166</t>
        </is>
      </c>
      <c r="B5330" s="12" t="inlineStr">
        <is>
          <t>I</t>
        </is>
      </c>
      <c r="C5330" s="12" t="inlineStr">
        <is>
          <t>Modular / portable power</t>
        </is>
      </c>
      <c r="D5330" s="12" t="inlineStr">
        <is>
          <t>Motor 2 of 6, 22 kW</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LV|3/C+G|4</t>
        </is>
      </c>
      <c r="L5330" s="12" t="inlineStr">
        <is>
          <t>3/C+G</t>
        </is>
      </c>
      <c r="M5330" s="12" t="inlineStr">
        <is>
          <t>4</t>
        </is>
      </c>
      <c r="N5330" s="12" t="n">
        <v>1</v>
      </c>
      <c r="O5330" s="12" t="n">
        <v>1</v>
      </c>
      <c r="P5330" s="12" t="n">
        <v>480</v>
      </c>
      <c r="Q5330" s="12" t="n">
        <v>22</v>
      </c>
      <c r="R5330" s="12" t="n">
        <v>31.1</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2.5 %</t>
        </is>
      </c>
      <c r="AA5330" s="12">
        <f>N5330*O5330</f>
        <v/>
      </c>
    </row>
    <row r="5331">
      <c r="A5331" s="12" t="inlineStr">
        <is>
          <t>I-P-0167</t>
        </is>
      </c>
      <c r="B5331" s="12" t="inlineStr">
        <is>
          <t>I</t>
        </is>
      </c>
      <c r="C5331" s="12" t="inlineStr">
        <is>
          <t>Modular / portable power</t>
        </is>
      </c>
      <c r="D5331" s="12" t="inlineStr">
        <is>
          <t>Motor 3 of 6, 22 kW</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LV|3/C+G|4</t>
        </is>
      </c>
      <c r="L5331" s="12" t="inlineStr">
        <is>
          <t>3/C+G</t>
        </is>
      </c>
      <c r="M5331" s="12" t="inlineStr">
        <is>
          <t>4</t>
        </is>
      </c>
      <c r="N5331" s="12" t="n">
        <v>1</v>
      </c>
      <c r="O5331" s="12" t="n">
        <v>1</v>
      </c>
      <c r="P5331" s="12" t="n">
        <v>480</v>
      </c>
      <c r="Q5331" s="12" t="n">
        <v>22</v>
      </c>
      <c r="R5331" s="12" t="n">
        <v>31.1</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2.5 %</t>
        </is>
      </c>
      <c r="AA5331" s="12">
        <f>N5331*O5331</f>
        <v/>
      </c>
    </row>
    <row r="5332">
      <c r="A5332" s="12" t="inlineStr">
        <is>
          <t>I-P-0168</t>
        </is>
      </c>
      <c r="B5332" s="12" t="inlineStr">
        <is>
          <t>I</t>
        </is>
      </c>
      <c r="C5332" s="12" t="inlineStr">
        <is>
          <t>Modular / portable power</t>
        </is>
      </c>
      <c r="D5332" s="12" t="inlineStr">
        <is>
          <t>Motor 4 of 6, 22 kW</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LV|3/C+G|4</t>
        </is>
      </c>
      <c r="L5332" s="12" t="inlineStr">
        <is>
          <t>3/C+G</t>
        </is>
      </c>
      <c r="M5332" s="12" t="inlineStr">
        <is>
          <t>4</t>
        </is>
      </c>
      <c r="N5332" s="12" t="n">
        <v>1</v>
      </c>
      <c r="O5332" s="12" t="n">
        <v>1</v>
      </c>
      <c r="P5332" s="12" t="n">
        <v>480</v>
      </c>
      <c r="Q5332" s="12" t="n">
        <v>22</v>
      </c>
      <c r="R5332" s="12" t="n">
        <v>31.1</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2.5 %</t>
        </is>
      </c>
      <c r="AA5332" s="12">
        <f>N5332*O5332</f>
        <v/>
      </c>
    </row>
    <row r="5333">
      <c r="A5333" s="12" t="inlineStr">
        <is>
          <t>I-P-0169</t>
        </is>
      </c>
      <c r="B5333" s="12" t="inlineStr">
        <is>
          <t>I</t>
        </is>
      </c>
      <c r="C5333" s="12" t="inlineStr">
        <is>
          <t>Modular / portable power</t>
        </is>
      </c>
      <c r="D5333" s="12" t="inlineStr">
        <is>
          <t>Motor 5 of 6, 22 kW</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2.5 %</t>
        </is>
      </c>
      <c r="AA5333" s="12">
        <f>N5333*O5333</f>
        <v/>
      </c>
    </row>
    <row r="5334">
      <c r="A5334" s="12" t="inlineStr">
        <is>
          <t>I-P-0170</t>
        </is>
      </c>
      <c r="B5334" s="12" t="inlineStr">
        <is>
          <t>I</t>
        </is>
      </c>
      <c r="C5334" s="12" t="inlineStr">
        <is>
          <t>Modular / portable power</t>
        </is>
      </c>
      <c r="D5334" s="12" t="inlineStr">
        <is>
          <t>Motor 6 of 6, 22 kW</t>
        </is>
      </c>
      <c r="E5334" s="12" t="inlineStr"/>
      <c r="F5334" s="12" t="inlineStr">
        <is>
          <t>PCM: power control module</t>
        </is>
      </c>
      <c r="G5334" s="12" t="inlineStr">
        <is>
          <t>RICE-1</t>
        </is>
      </c>
      <c r="H5334" s="12" t="inlineStr">
        <is>
          <t>RICE engine-generator 1</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137</v>
      </c>
      <c r="V5334" s="15">
        <f>ROUNDUP((T5334+U5334+2*'Read Me'!$B$13)*(1+'Read Me'!$B$12),-1)</f>
        <v/>
      </c>
      <c r="W5334" s="15">
        <f>V5334*N5334*O5334</f>
        <v/>
      </c>
      <c r="X5334" s="12">
        <f>IF(LEFT(I5334,2)="MV",2*N5334*IF(L5334="1/C",O5334,1),0)</f>
        <v/>
      </c>
      <c r="Y5334" s="12">
        <f>IF(OR(LEFT(K5334,4)="LVAX",LEFT(K5334,6)="MV15AX",LEFT(K5334,4)="CTAX",LEFT(K5334,2)="W|"),2*N5334*O5334,0)</f>
        <v/>
      </c>
      <c r="Z5334" s="12" t="inlineStr">
        <is>
          <t>VD 2.5 %</t>
        </is>
      </c>
      <c r="AA5334" s="12">
        <f>N5334*O5334</f>
        <v/>
      </c>
    </row>
    <row r="5335">
      <c r="A5335" s="12" t="inlineStr">
        <is>
          <t>I-P-0171</t>
        </is>
      </c>
      <c r="B5335" s="12" t="inlineStr">
        <is>
          <t>I</t>
        </is>
      </c>
      <c r="C5335" s="12" t="inlineStr">
        <is>
          <t>Modular / portable power</t>
        </is>
      </c>
      <c r="D5335" s="12" t="inlineStr">
        <is>
          <t>480 V welding receptacle 1</t>
        </is>
      </c>
      <c r="E5335" s="12" t="inlineStr"/>
      <c r="F5335" s="12" t="inlineStr">
        <is>
          <t>PCM: power control module</t>
        </is>
      </c>
      <c r="G5335" s="12" t="inlineStr">
        <is>
          <t>RICE-1</t>
        </is>
      </c>
      <c r="H5335" s="12" t="inlineStr">
        <is>
          <t>RICE engine-generator 1</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60</v>
      </c>
      <c r="R5335" s="12" t="n">
        <v>76</v>
      </c>
      <c r="S5335" s="12" t="inlineStr">
        <is>
          <t>Duct bank</t>
        </is>
      </c>
      <c r="T5335" s="15" t="n">
        <v>516</v>
      </c>
      <c r="U5335" s="15" t="n">
        <v>137</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I-P-0172</t>
        </is>
      </c>
      <c r="B5336" s="12" t="inlineStr">
        <is>
          <t>I</t>
        </is>
      </c>
      <c r="C5336" s="12" t="inlineStr">
        <is>
          <t>Modular / portable power</t>
        </is>
      </c>
      <c r="D5336" s="12" t="inlineStr">
        <is>
          <t>480 V welding receptacle 2</t>
        </is>
      </c>
      <c r="E5336" s="12" t="inlineStr"/>
      <c r="F5336" s="12" t="inlineStr">
        <is>
          <t>PCM: power control module</t>
        </is>
      </c>
      <c r="G5336" s="12" t="inlineStr">
        <is>
          <t>RICE-1</t>
        </is>
      </c>
      <c r="H5336" s="12" t="inlineStr">
        <is>
          <t>RICE engine-generator 1</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60</v>
      </c>
      <c r="R5336" s="12" t="n">
        <v>76</v>
      </c>
      <c r="S5336" s="12" t="inlineStr">
        <is>
          <t>Duct bank</t>
        </is>
      </c>
      <c r="T5336" s="15" t="n">
        <v>516</v>
      </c>
      <c r="U5336" s="15" t="n">
        <v>137</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I-P-0173</t>
        </is>
      </c>
      <c r="B5337" s="12" t="inlineStr">
        <is>
          <t>I</t>
        </is>
      </c>
      <c r="C5337" s="12" t="inlineStr">
        <is>
          <t>Modular / portable power</t>
        </is>
      </c>
      <c r="D5337" s="12" t="inlineStr">
        <is>
          <t>480 V welding receptacle 3</t>
        </is>
      </c>
      <c r="E5337" s="12" t="inlineStr"/>
      <c r="F5337" s="12" t="inlineStr">
        <is>
          <t>PCM: power control module</t>
        </is>
      </c>
      <c r="G5337" s="12" t="inlineStr">
        <is>
          <t>RICE-1</t>
        </is>
      </c>
      <c r="H5337" s="12" t="inlineStr">
        <is>
          <t>RICE engine-generator 1</t>
        </is>
      </c>
      <c r="I5337" s="12" t="inlineStr">
        <is>
          <t>LV 600 V</t>
        </is>
      </c>
      <c r="J5337" s="12" t="inlineStr">
        <is>
          <t>Type TC-ER 600 V 3/C Cu XHHW-2 + ground, PVC jacket</t>
        </is>
      </c>
      <c r="K5337" s="12" t="inlineStr">
        <is>
          <t>LV|3/C+G|1/0</t>
        </is>
      </c>
      <c r="L5337" s="12" t="inlineStr">
        <is>
          <t>3/C+G</t>
        </is>
      </c>
      <c r="M5337" s="12" t="inlineStr">
        <is>
          <t>1/0</t>
        </is>
      </c>
      <c r="N5337" s="12" t="n">
        <v>1</v>
      </c>
      <c r="O5337" s="12" t="n">
        <v>1</v>
      </c>
      <c r="P5337" s="12" t="n">
        <v>480</v>
      </c>
      <c r="Q5337" s="12" t="n">
        <v>60</v>
      </c>
      <c r="R5337" s="12" t="n">
        <v>76</v>
      </c>
      <c r="S5337" s="12" t="inlineStr">
        <is>
          <t>Duct bank</t>
        </is>
      </c>
      <c r="T5337" s="15" t="n">
        <v>516</v>
      </c>
      <c r="U5337" s="15" t="n">
        <v>137</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I-P-0174</t>
        </is>
      </c>
      <c r="B5338" s="12" t="inlineStr">
        <is>
          <t>I</t>
        </is>
      </c>
      <c r="C5338" s="12" t="inlineStr">
        <is>
          <t>Modular / portable power</t>
        </is>
      </c>
      <c r="D5338" s="12" t="inlineStr">
        <is>
          <t>480 V welding receptacle 4</t>
        </is>
      </c>
      <c r="E5338" s="12" t="inlineStr"/>
      <c r="F5338" s="12" t="inlineStr">
        <is>
          <t>PCM: power control module</t>
        </is>
      </c>
      <c r="G5338" s="12" t="inlineStr">
        <is>
          <t>RICE-1</t>
        </is>
      </c>
      <c r="H5338" s="12" t="inlineStr">
        <is>
          <t>RICE engine-generator 1</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60</v>
      </c>
      <c r="R5338" s="12" t="n">
        <v>76</v>
      </c>
      <c r="S5338" s="12" t="inlineStr">
        <is>
          <t>Duct bank</t>
        </is>
      </c>
      <c r="T5338" s="15" t="n">
        <v>516</v>
      </c>
      <c r="U5338" s="15" t="n">
        <v>137</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I-P-0175</t>
        </is>
      </c>
      <c r="B5339" s="12" t="inlineStr">
        <is>
          <t>I</t>
        </is>
      </c>
      <c r="C5339" s="12" t="inlineStr">
        <is>
          <t>Modular / portable power</t>
        </is>
      </c>
      <c r="D5339" s="12" t="inlineStr">
        <is>
          <t>Motor 1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I-P-0176</t>
        </is>
      </c>
      <c r="B5340" s="12" t="inlineStr">
        <is>
          <t>I</t>
        </is>
      </c>
      <c r="C5340" s="12" t="inlineStr">
        <is>
          <t>Modular / portable power</t>
        </is>
      </c>
      <c r="D5340" s="12" t="inlineStr">
        <is>
          <t>Motor 2 of 6, 22 kW</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22</v>
      </c>
      <c r="R5340" s="12" t="n">
        <v>31.1</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2.4 %</t>
        </is>
      </c>
      <c r="AA5340" s="12">
        <f>N5340*O5340</f>
        <v/>
      </c>
    </row>
    <row r="5341">
      <c r="A5341" s="12" t="inlineStr">
        <is>
          <t>I-P-0177</t>
        </is>
      </c>
      <c r="B5341" s="12" t="inlineStr">
        <is>
          <t>I</t>
        </is>
      </c>
      <c r="C5341" s="12" t="inlineStr">
        <is>
          <t>Modular / portable power</t>
        </is>
      </c>
      <c r="D5341" s="12" t="inlineStr">
        <is>
          <t>Motor 3 of 6, 22 kW</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LV|3/C+G|4</t>
        </is>
      </c>
      <c r="L5341" s="12" t="inlineStr">
        <is>
          <t>3/C+G</t>
        </is>
      </c>
      <c r="M5341" s="12" t="inlineStr">
        <is>
          <t>4</t>
        </is>
      </c>
      <c r="N5341" s="12" t="n">
        <v>1</v>
      </c>
      <c r="O5341" s="12" t="n">
        <v>1</v>
      </c>
      <c r="P5341" s="12" t="n">
        <v>480</v>
      </c>
      <c r="Q5341" s="12" t="n">
        <v>22</v>
      </c>
      <c r="R5341" s="12" t="n">
        <v>31.1</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2.4 %</t>
        </is>
      </c>
      <c r="AA5341" s="12">
        <f>N5341*O5341</f>
        <v/>
      </c>
    </row>
    <row r="5342">
      <c r="A5342" s="12" t="inlineStr">
        <is>
          <t>I-P-0178</t>
        </is>
      </c>
      <c r="B5342" s="12" t="inlineStr">
        <is>
          <t>I</t>
        </is>
      </c>
      <c r="C5342" s="12" t="inlineStr">
        <is>
          <t>Modular / portable power</t>
        </is>
      </c>
      <c r="D5342" s="12" t="inlineStr">
        <is>
          <t>Motor 4 of 6, 22 kW</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LV|3/C+G|4</t>
        </is>
      </c>
      <c r="L5342" s="12" t="inlineStr">
        <is>
          <t>3/C+G</t>
        </is>
      </c>
      <c r="M5342" s="12" t="inlineStr">
        <is>
          <t>4</t>
        </is>
      </c>
      <c r="N5342" s="12" t="n">
        <v>1</v>
      </c>
      <c r="O5342" s="12" t="n">
        <v>1</v>
      </c>
      <c r="P5342" s="12" t="n">
        <v>480</v>
      </c>
      <c r="Q5342" s="12" t="n">
        <v>22</v>
      </c>
      <c r="R5342" s="12" t="n">
        <v>31.1</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2.4 %</t>
        </is>
      </c>
      <c r="AA5342" s="12">
        <f>N5342*O5342</f>
        <v/>
      </c>
    </row>
    <row r="5343">
      <c r="A5343" s="12" t="inlineStr">
        <is>
          <t>I-P-0179</t>
        </is>
      </c>
      <c r="B5343" s="12" t="inlineStr">
        <is>
          <t>I</t>
        </is>
      </c>
      <c r="C5343" s="12" t="inlineStr">
        <is>
          <t>Modular / portable power</t>
        </is>
      </c>
      <c r="D5343" s="12" t="inlineStr">
        <is>
          <t>Motor 5 of 6, 22 kW</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2.4 %</t>
        </is>
      </c>
      <c r="AA5343" s="12">
        <f>N5343*O5343</f>
        <v/>
      </c>
    </row>
    <row r="5344">
      <c r="A5344" s="12" t="inlineStr">
        <is>
          <t>I-P-0180</t>
        </is>
      </c>
      <c r="B5344" s="12" t="inlineStr">
        <is>
          <t>I</t>
        </is>
      </c>
      <c r="C5344" s="12" t="inlineStr">
        <is>
          <t>Modular / portable power</t>
        </is>
      </c>
      <c r="D5344" s="12" t="inlineStr">
        <is>
          <t>Motor 6 of 6, 22 kW</t>
        </is>
      </c>
      <c r="E5344" s="12" t="inlineStr"/>
      <c r="F5344" s="12" t="inlineStr">
        <is>
          <t>PCM: power control module</t>
        </is>
      </c>
      <c r="G5344" s="12" t="inlineStr">
        <is>
          <t>RICE-2</t>
        </is>
      </c>
      <c r="H5344" s="12" t="inlineStr">
        <is>
          <t>RICE engine-generator 2</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109</v>
      </c>
      <c r="V5344" s="15">
        <f>ROUNDUP((T5344+U5344+2*'Read Me'!$B$13)*(1+'Read Me'!$B$12),-1)</f>
        <v/>
      </c>
      <c r="W5344" s="15">
        <f>V5344*N5344*O5344</f>
        <v/>
      </c>
      <c r="X5344" s="12">
        <f>IF(LEFT(I5344,2)="MV",2*N5344*IF(L5344="1/C",O5344,1),0)</f>
        <v/>
      </c>
      <c r="Y5344" s="12">
        <f>IF(OR(LEFT(K5344,4)="LVAX",LEFT(K5344,6)="MV15AX",LEFT(K5344,4)="CTAX",LEFT(K5344,2)="W|"),2*N5344*O5344,0)</f>
        <v/>
      </c>
      <c r="Z5344" s="12" t="inlineStr">
        <is>
          <t>VD 2.4 %</t>
        </is>
      </c>
      <c r="AA5344" s="12">
        <f>N5344*O5344</f>
        <v/>
      </c>
    </row>
    <row r="5345">
      <c r="A5345" s="12" t="inlineStr">
        <is>
          <t>I-P-0181</t>
        </is>
      </c>
      <c r="B5345" s="12" t="inlineStr">
        <is>
          <t>I</t>
        </is>
      </c>
      <c r="C5345" s="12" t="inlineStr">
        <is>
          <t>Modular / portable power</t>
        </is>
      </c>
      <c r="D5345" s="12" t="inlineStr">
        <is>
          <t>480 V welding receptacle 1</t>
        </is>
      </c>
      <c r="E5345" s="12" t="inlineStr"/>
      <c r="F5345" s="12" t="inlineStr">
        <is>
          <t>PCM: power control module</t>
        </is>
      </c>
      <c r="G5345" s="12" t="inlineStr">
        <is>
          <t>RICE-2</t>
        </is>
      </c>
      <c r="H5345" s="12" t="inlineStr">
        <is>
          <t>RICE engine-generator 2</t>
        </is>
      </c>
      <c r="I5345" s="12" t="inlineStr">
        <is>
          <t>LV 600 V</t>
        </is>
      </c>
      <c r="J5345" s="12" t="inlineStr">
        <is>
          <t>Type TC-ER 600 V 3/C Cu XHHW-2 + ground, PVC jacket</t>
        </is>
      </c>
      <c r="K5345" s="12" t="inlineStr">
        <is>
          <t>LV|3/C+G|1</t>
        </is>
      </c>
      <c r="L5345" s="12" t="inlineStr">
        <is>
          <t>3/C+G</t>
        </is>
      </c>
      <c r="M5345" s="12" t="inlineStr">
        <is>
          <t>1</t>
        </is>
      </c>
      <c r="N5345" s="12" t="n">
        <v>1</v>
      </c>
      <c r="O5345" s="12" t="n">
        <v>1</v>
      </c>
      <c r="P5345" s="12" t="n">
        <v>480</v>
      </c>
      <c r="Q5345" s="12" t="n">
        <v>60</v>
      </c>
      <c r="R5345" s="12" t="n">
        <v>76</v>
      </c>
      <c r="S5345" s="12" t="inlineStr">
        <is>
          <t>Duct bank</t>
        </is>
      </c>
      <c r="T5345" s="15" t="n">
        <v>516</v>
      </c>
      <c r="U5345" s="15" t="n">
        <v>109</v>
      </c>
      <c r="V5345" s="15">
        <f>ROUNDUP((T5345+U5345+2*'Read Me'!$B$13)*(1+'Read Me'!$B$12),-1)</f>
        <v/>
      </c>
      <c r="W5345" s="15">
        <f>V5345*N5345*O5345</f>
        <v/>
      </c>
      <c r="X5345" s="12">
        <f>IF(LEFT(I5345,2)="MV",2*N5345*IF(L5345="1/C",O5345,1),0)</f>
        <v/>
      </c>
      <c r="Y5345" s="12">
        <f>IF(OR(LEFT(K5345,4)="LVAX",LEFT(K5345,6)="MV15AX",LEFT(K5345,4)="CTAX",LEFT(K5345,2)="W|"),2*N5345*O5345,0)</f>
        <v/>
      </c>
      <c r="Z5345" s="12" t="inlineStr">
        <is>
          <t>VD 2.9 %</t>
        </is>
      </c>
      <c r="AA5345" s="12">
        <f>N5345*O5345</f>
        <v/>
      </c>
    </row>
    <row r="5346">
      <c r="A5346" s="12" t="inlineStr">
        <is>
          <t>I-P-0182</t>
        </is>
      </c>
      <c r="B5346" s="12" t="inlineStr">
        <is>
          <t>I</t>
        </is>
      </c>
      <c r="C5346" s="12" t="inlineStr">
        <is>
          <t>Modular / portable power</t>
        </is>
      </c>
      <c r="D5346" s="12" t="inlineStr">
        <is>
          <t>480 V welding receptacle 2</t>
        </is>
      </c>
      <c r="E5346" s="12" t="inlineStr"/>
      <c r="F5346" s="12" t="inlineStr">
        <is>
          <t>PCM: power control module</t>
        </is>
      </c>
      <c r="G5346" s="12" t="inlineStr">
        <is>
          <t>RICE-2</t>
        </is>
      </c>
      <c r="H5346" s="12" t="inlineStr">
        <is>
          <t>RICE engine-generator 2</t>
        </is>
      </c>
      <c r="I5346" s="12" t="inlineStr">
        <is>
          <t>LV 600 V</t>
        </is>
      </c>
      <c r="J5346" s="12" t="inlineStr">
        <is>
          <t>Type TC-ER 600 V 3/C Cu XHHW-2 + ground, PVC jacket</t>
        </is>
      </c>
      <c r="K5346" s="12" t="inlineStr">
        <is>
          <t>LV|3/C+G|1</t>
        </is>
      </c>
      <c r="L5346" s="12" t="inlineStr">
        <is>
          <t>3/C+G</t>
        </is>
      </c>
      <c r="M5346" s="12" t="inlineStr">
        <is>
          <t>1</t>
        </is>
      </c>
      <c r="N5346" s="12" t="n">
        <v>1</v>
      </c>
      <c r="O5346" s="12" t="n">
        <v>1</v>
      </c>
      <c r="P5346" s="12" t="n">
        <v>480</v>
      </c>
      <c r="Q5346" s="12" t="n">
        <v>60</v>
      </c>
      <c r="R5346" s="12" t="n">
        <v>76</v>
      </c>
      <c r="S5346" s="12" t="inlineStr">
        <is>
          <t>Duct bank</t>
        </is>
      </c>
      <c r="T5346" s="15" t="n">
        <v>516</v>
      </c>
      <c r="U5346" s="15" t="n">
        <v>109</v>
      </c>
      <c r="V5346" s="15">
        <f>ROUNDUP((T5346+U5346+2*'Read Me'!$B$13)*(1+'Read Me'!$B$12),-1)</f>
        <v/>
      </c>
      <c r="W5346" s="15">
        <f>V5346*N5346*O5346</f>
        <v/>
      </c>
      <c r="X5346" s="12">
        <f>IF(LEFT(I5346,2)="MV",2*N5346*IF(L5346="1/C",O5346,1),0)</f>
        <v/>
      </c>
      <c r="Y5346" s="12">
        <f>IF(OR(LEFT(K5346,4)="LVAX",LEFT(K5346,6)="MV15AX",LEFT(K5346,4)="CTAX",LEFT(K5346,2)="W|"),2*N5346*O5346,0)</f>
        <v/>
      </c>
      <c r="Z5346" s="12" t="inlineStr">
        <is>
          <t>VD 2.9 %</t>
        </is>
      </c>
      <c r="AA5346" s="12">
        <f>N5346*O5346</f>
        <v/>
      </c>
    </row>
    <row r="5347">
      <c r="A5347" s="12" t="inlineStr">
        <is>
          <t>I-P-0183</t>
        </is>
      </c>
      <c r="B5347" s="12" t="inlineStr">
        <is>
          <t>I</t>
        </is>
      </c>
      <c r="C5347" s="12" t="inlineStr">
        <is>
          <t>Modular / portable power</t>
        </is>
      </c>
      <c r="D5347" s="12" t="inlineStr">
        <is>
          <t>480 V welding receptacle 3</t>
        </is>
      </c>
      <c r="E5347" s="12" t="inlineStr"/>
      <c r="F5347" s="12" t="inlineStr">
        <is>
          <t>PCM: power control module</t>
        </is>
      </c>
      <c r="G5347" s="12" t="inlineStr">
        <is>
          <t>RICE-2</t>
        </is>
      </c>
      <c r="H5347" s="12" t="inlineStr">
        <is>
          <t>RICE engine-generator 2</t>
        </is>
      </c>
      <c r="I5347" s="12" t="inlineStr">
        <is>
          <t>LV 600 V</t>
        </is>
      </c>
      <c r="J5347" s="12" t="inlineStr">
        <is>
          <t>Type TC-ER 600 V 3/C Cu XHHW-2 + ground, PVC jacket</t>
        </is>
      </c>
      <c r="K5347" s="12" t="inlineStr">
        <is>
          <t>LV|3/C+G|1</t>
        </is>
      </c>
      <c r="L5347" s="12" t="inlineStr">
        <is>
          <t>3/C+G</t>
        </is>
      </c>
      <c r="M5347" s="12" t="inlineStr">
        <is>
          <t>1</t>
        </is>
      </c>
      <c r="N5347" s="12" t="n">
        <v>1</v>
      </c>
      <c r="O5347" s="12" t="n">
        <v>1</v>
      </c>
      <c r="P5347" s="12" t="n">
        <v>480</v>
      </c>
      <c r="Q5347" s="12" t="n">
        <v>60</v>
      </c>
      <c r="R5347" s="12" t="n">
        <v>76</v>
      </c>
      <c r="S5347" s="12" t="inlineStr">
        <is>
          <t>Duct bank</t>
        </is>
      </c>
      <c r="T5347" s="15" t="n">
        <v>516</v>
      </c>
      <c r="U5347" s="15" t="n">
        <v>109</v>
      </c>
      <c r="V5347" s="15">
        <f>ROUNDUP((T5347+U5347+2*'Read Me'!$B$13)*(1+'Read Me'!$B$12),-1)</f>
        <v/>
      </c>
      <c r="W5347" s="15">
        <f>V5347*N5347*O5347</f>
        <v/>
      </c>
      <c r="X5347" s="12">
        <f>IF(LEFT(I5347,2)="MV",2*N5347*IF(L5347="1/C",O5347,1),0)</f>
        <v/>
      </c>
      <c r="Y5347" s="12">
        <f>IF(OR(LEFT(K5347,4)="LVAX",LEFT(K5347,6)="MV15AX",LEFT(K5347,4)="CTAX",LEFT(K5347,2)="W|"),2*N5347*O5347,0)</f>
        <v/>
      </c>
      <c r="Z5347" s="12" t="inlineStr">
        <is>
          <t>VD 2.9 %</t>
        </is>
      </c>
      <c r="AA5347" s="12">
        <f>N5347*O5347</f>
        <v/>
      </c>
    </row>
    <row r="5348">
      <c r="A5348" s="12" t="inlineStr">
        <is>
          <t>I-P-0184</t>
        </is>
      </c>
      <c r="B5348" s="12" t="inlineStr">
        <is>
          <t>I</t>
        </is>
      </c>
      <c r="C5348" s="12" t="inlineStr">
        <is>
          <t>Modular / portable power</t>
        </is>
      </c>
      <c r="D5348" s="12" t="inlineStr">
        <is>
          <t>480 V welding receptacle 4</t>
        </is>
      </c>
      <c r="E5348" s="12" t="inlineStr"/>
      <c r="F5348" s="12" t="inlineStr">
        <is>
          <t>PCM: power control module</t>
        </is>
      </c>
      <c r="G5348" s="12" t="inlineStr">
        <is>
          <t>RICE-2</t>
        </is>
      </c>
      <c r="H5348" s="12" t="inlineStr">
        <is>
          <t>RICE engine-generator 2</t>
        </is>
      </c>
      <c r="I5348" s="12" t="inlineStr">
        <is>
          <t>LV 600 V</t>
        </is>
      </c>
      <c r="J5348" s="12" t="inlineStr">
        <is>
          <t>Type TC-ER 600 V 3/C Cu XHHW-2 + ground, PVC jacket</t>
        </is>
      </c>
      <c r="K5348" s="12" t="inlineStr">
        <is>
          <t>LV|3/C+G|1</t>
        </is>
      </c>
      <c r="L5348" s="12" t="inlineStr">
        <is>
          <t>3/C+G</t>
        </is>
      </c>
      <c r="M5348" s="12" t="inlineStr">
        <is>
          <t>1</t>
        </is>
      </c>
      <c r="N5348" s="12" t="n">
        <v>1</v>
      </c>
      <c r="O5348" s="12" t="n">
        <v>1</v>
      </c>
      <c r="P5348" s="12" t="n">
        <v>480</v>
      </c>
      <c r="Q5348" s="12" t="n">
        <v>60</v>
      </c>
      <c r="R5348" s="12" t="n">
        <v>76</v>
      </c>
      <c r="S5348" s="12" t="inlineStr">
        <is>
          <t>Duct bank</t>
        </is>
      </c>
      <c r="T5348" s="15" t="n">
        <v>516</v>
      </c>
      <c r="U5348" s="15" t="n">
        <v>109</v>
      </c>
      <c r="V5348" s="15">
        <f>ROUNDUP((T5348+U5348+2*'Read Me'!$B$13)*(1+'Read Me'!$B$12),-1)</f>
        <v/>
      </c>
      <c r="W5348" s="15">
        <f>V5348*N5348*O5348</f>
        <v/>
      </c>
      <c r="X5348" s="12">
        <f>IF(LEFT(I5348,2)="MV",2*N5348*IF(L5348="1/C",O5348,1),0)</f>
        <v/>
      </c>
      <c r="Y5348" s="12">
        <f>IF(OR(LEFT(K5348,4)="LVAX",LEFT(K5348,6)="MV15AX",LEFT(K5348,4)="CTAX",LEFT(K5348,2)="W|"),2*N5348*O5348,0)</f>
        <v/>
      </c>
      <c r="Z5348" s="12" t="inlineStr">
        <is>
          <t>VD 2.9 %</t>
        </is>
      </c>
      <c r="AA5348" s="12">
        <f>N5348*O5348</f>
        <v/>
      </c>
    </row>
    <row r="5349">
      <c r="A5349" s="12" t="inlineStr">
        <is>
          <t>I-P-0185</t>
        </is>
      </c>
      <c r="B5349" s="12" t="inlineStr">
        <is>
          <t>I</t>
        </is>
      </c>
      <c r="C5349" s="12" t="inlineStr">
        <is>
          <t>Modular / portable power</t>
        </is>
      </c>
      <c r="D5349" s="12" t="inlineStr">
        <is>
          <t>Motor 1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I-P-0186</t>
        </is>
      </c>
      <c r="B5350" s="12" t="inlineStr">
        <is>
          <t>I</t>
        </is>
      </c>
      <c r="C5350" s="12" t="inlineStr">
        <is>
          <t>Modular / portable power</t>
        </is>
      </c>
      <c r="D5350" s="12" t="inlineStr">
        <is>
          <t>Motor 2 of 6, 22 kW</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LV|3/C+G|4</t>
        </is>
      </c>
      <c r="L5350" s="12" t="inlineStr">
        <is>
          <t>3/C+G</t>
        </is>
      </c>
      <c r="M5350" s="12" t="inlineStr">
        <is>
          <t>4</t>
        </is>
      </c>
      <c r="N5350" s="12" t="n">
        <v>1</v>
      </c>
      <c r="O5350" s="12" t="n">
        <v>1</v>
      </c>
      <c r="P5350" s="12" t="n">
        <v>480</v>
      </c>
      <c r="Q5350" s="12" t="n">
        <v>22</v>
      </c>
      <c r="R5350" s="12" t="n">
        <v>31.1</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2.3 %</t>
        </is>
      </c>
      <c r="AA5350" s="12">
        <f>N5350*O5350</f>
        <v/>
      </c>
    </row>
    <row r="5351">
      <c r="A5351" s="12" t="inlineStr">
        <is>
          <t>I-P-0187</t>
        </is>
      </c>
      <c r="B5351" s="12" t="inlineStr">
        <is>
          <t>I</t>
        </is>
      </c>
      <c r="C5351" s="12" t="inlineStr">
        <is>
          <t>Modular / portable power</t>
        </is>
      </c>
      <c r="D5351" s="12" t="inlineStr">
        <is>
          <t>Motor 3 of 6, 22 kW</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LV|3/C+G|4</t>
        </is>
      </c>
      <c r="L5351" s="12" t="inlineStr">
        <is>
          <t>3/C+G</t>
        </is>
      </c>
      <c r="M5351" s="12" t="inlineStr">
        <is>
          <t>4</t>
        </is>
      </c>
      <c r="N5351" s="12" t="n">
        <v>1</v>
      </c>
      <c r="O5351" s="12" t="n">
        <v>1</v>
      </c>
      <c r="P5351" s="12" t="n">
        <v>480</v>
      </c>
      <c r="Q5351" s="12" t="n">
        <v>22</v>
      </c>
      <c r="R5351" s="12" t="n">
        <v>31.1</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2.3 %</t>
        </is>
      </c>
      <c r="AA5351" s="12">
        <f>N5351*O5351</f>
        <v/>
      </c>
    </row>
    <row r="5352">
      <c r="A5352" s="12" t="inlineStr">
        <is>
          <t>I-P-0188</t>
        </is>
      </c>
      <c r="B5352" s="12" t="inlineStr">
        <is>
          <t>I</t>
        </is>
      </c>
      <c r="C5352" s="12" t="inlineStr">
        <is>
          <t>Modular / portable power</t>
        </is>
      </c>
      <c r="D5352" s="12" t="inlineStr">
        <is>
          <t>Motor 4 of 6, 22 kW</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LV|3/C+G|4</t>
        </is>
      </c>
      <c r="L5352" s="12" t="inlineStr">
        <is>
          <t>3/C+G</t>
        </is>
      </c>
      <c r="M5352" s="12" t="inlineStr">
        <is>
          <t>4</t>
        </is>
      </c>
      <c r="N5352" s="12" t="n">
        <v>1</v>
      </c>
      <c r="O5352" s="12" t="n">
        <v>1</v>
      </c>
      <c r="P5352" s="12" t="n">
        <v>480</v>
      </c>
      <c r="Q5352" s="12" t="n">
        <v>22</v>
      </c>
      <c r="R5352" s="12" t="n">
        <v>31.1</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2.3 %</t>
        </is>
      </c>
      <c r="AA5352" s="12">
        <f>N5352*O5352</f>
        <v/>
      </c>
    </row>
    <row r="5353">
      <c r="A5353" s="12" t="inlineStr">
        <is>
          <t>I-P-0189</t>
        </is>
      </c>
      <c r="B5353" s="12" t="inlineStr">
        <is>
          <t>I</t>
        </is>
      </c>
      <c r="C5353" s="12" t="inlineStr">
        <is>
          <t>Modular / portable power</t>
        </is>
      </c>
      <c r="D5353" s="12" t="inlineStr">
        <is>
          <t>Motor 5 of 6, 22 kW</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2.3 %</t>
        </is>
      </c>
      <c r="AA5353" s="12">
        <f>N5353*O5353</f>
        <v/>
      </c>
    </row>
    <row r="5354">
      <c r="A5354" s="12" t="inlineStr">
        <is>
          <t>I-P-0190</t>
        </is>
      </c>
      <c r="B5354" s="12" t="inlineStr">
        <is>
          <t>I</t>
        </is>
      </c>
      <c r="C5354" s="12" t="inlineStr">
        <is>
          <t>Modular / portable power</t>
        </is>
      </c>
      <c r="D5354" s="12" t="inlineStr">
        <is>
          <t>Motor 6 of 6, 22 kW</t>
        </is>
      </c>
      <c r="E5354" s="12" t="inlineStr"/>
      <c r="F5354" s="12" t="inlineStr">
        <is>
          <t>PCM: power control module</t>
        </is>
      </c>
      <c r="G5354" s="12" t="inlineStr">
        <is>
          <t>RICE-3</t>
        </is>
      </c>
      <c r="H5354" s="12" t="inlineStr">
        <is>
          <t>RICE engine-generator 3</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81</v>
      </c>
      <c r="V5354" s="15">
        <f>ROUNDUP((T5354+U5354+2*'Read Me'!$B$13)*(1+'Read Me'!$B$12),-1)</f>
        <v/>
      </c>
      <c r="W5354" s="15">
        <f>V5354*N5354*O5354</f>
        <v/>
      </c>
      <c r="X5354" s="12">
        <f>IF(LEFT(I5354,2)="MV",2*N5354*IF(L5354="1/C",O5354,1),0)</f>
        <v/>
      </c>
      <c r="Y5354" s="12">
        <f>IF(OR(LEFT(K5354,4)="LVAX",LEFT(K5354,6)="MV15AX",LEFT(K5354,4)="CTAX",LEFT(K5354,2)="W|"),2*N5354*O5354,0)</f>
        <v/>
      </c>
      <c r="Z5354" s="12" t="inlineStr">
        <is>
          <t>VD 2.3 %</t>
        </is>
      </c>
      <c r="AA5354" s="12">
        <f>N5354*O5354</f>
        <v/>
      </c>
    </row>
    <row r="5355">
      <c r="A5355" s="12" t="inlineStr">
        <is>
          <t>I-P-0191</t>
        </is>
      </c>
      <c r="B5355" s="12" t="inlineStr">
        <is>
          <t>I</t>
        </is>
      </c>
      <c r="C5355" s="12" t="inlineStr">
        <is>
          <t>Modular / portable power</t>
        </is>
      </c>
      <c r="D5355" s="12" t="inlineStr">
        <is>
          <t>480 V welding receptacle 1</t>
        </is>
      </c>
      <c r="E5355" s="12" t="inlineStr"/>
      <c r="F5355" s="12" t="inlineStr">
        <is>
          <t>PCM: power control module</t>
        </is>
      </c>
      <c r="G5355" s="12" t="inlineStr">
        <is>
          <t>RICE-3</t>
        </is>
      </c>
      <c r="H5355" s="12" t="inlineStr">
        <is>
          <t>RICE engine-generator 3</t>
        </is>
      </c>
      <c r="I5355" s="12" t="inlineStr">
        <is>
          <t>LV 600 V</t>
        </is>
      </c>
      <c r="J5355" s="12" t="inlineStr">
        <is>
          <t>Type TC-ER 600 V 3/C Cu XHHW-2 + ground, PVC jacket</t>
        </is>
      </c>
      <c r="K5355" s="12" t="inlineStr">
        <is>
          <t>LV|3/C+G|1</t>
        </is>
      </c>
      <c r="L5355" s="12" t="inlineStr">
        <is>
          <t>3/C+G</t>
        </is>
      </c>
      <c r="M5355" s="12" t="inlineStr">
        <is>
          <t>1</t>
        </is>
      </c>
      <c r="N5355" s="12" t="n">
        <v>1</v>
      </c>
      <c r="O5355" s="12" t="n">
        <v>1</v>
      </c>
      <c r="P5355" s="12" t="n">
        <v>480</v>
      </c>
      <c r="Q5355" s="12" t="n">
        <v>60</v>
      </c>
      <c r="R5355" s="12" t="n">
        <v>76</v>
      </c>
      <c r="S5355" s="12" t="inlineStr">
        <is>
          <t>Duct bank</t>
        </is>
      </c>
      <c r="T5355" s="15" t="n">
        <v>516</v>
      </c>
      <c r="U5355" s="15" t="n">
        <v>81</v>
      </c>
      <c r="V5355" s="15">
        <f>ROUNDUP((T5355+U5355+2*'Read Me'!$B$13)*(1+'Read Me'!$B$12),-1)</f>
        <v/>
      </c>
      <c r="W5355" s="15">
        <f>V5355*N5355*O5355</f>
        <v/>
      </c>
      <c r="X5355" s="12">
        <f>IF(LEFT(I5355,2)="MV",2*N5355*IF(L5355="1/C",O5355,1),0)</f>
        <v/>
      </c>
      <c r="Y5355" s="12">
        <f>IF(OR(LEFT(K5355,4)="LVAX",LEFT(K5355,6)="MV15AX",LEFT(K5355,4)="CTAX",LEFT(K5355,2)="W|"),2*N5355*O5355,0)</f>
        <v/>
      </c>
      <c r="Z5355" s="12" t="inlineStr">
        <is>
          <t>VD 2.8 %</t>
        </is>
      </c>
      <c r="AA5355" s="12">
        <f>N5355*O5355</f>
        <v/>
      </c>
    </row>
    <row r="5356">
      <c r="A5356" s="12" t="inlineStr">
        <is>
          <t>I-P-0192</t>
        </is>
      </c>
      <c r="B5356" s="12" t="inlineStr">
        <is>
          <t>I</t>
        </is>
      </c>
      <c r="C5356" s="12" t="inlineStr">
        <is>
          <t>Modular / portable power</t>
        </is>
      </c>
      <c r="D5356" s="12" t="inlineStr">
        <is>
          <t>480 V welding receptacle 2</t>
        </is>
      </c>
      <c r="E5356" s="12" t="inlineStr"/>
      <c r="F5356" s="12" t="inlineStr">
        <is>
          <t>PCM: power control module</t>
        </is>
      </c>
      <c r="G5356" s="12" t="inlineStr">
        <is>
          <t>RICE-3</t>
        </is>
      </c>
      <c r="H5356" s="12" t="inlineStr">
        <is>
          <t>RICE engine-generator 3</t>
        </is>
      </c>
      <c r="I5356" s="12" t="inlineStr">
        <is>
          <t>LV 600 V</t>
        </is>
      </c>
      <c r="J5356" s="12" t="inlineStr">
        <is>
          <t>Type TC-ER 600 V 3/C Cu XHHW-2 + ground, PVC jacket</t>
        </is>
      </c>
      <c r="K5356" s="12" t="inlineStr">
        <is>
          <t>LV|3/C+G|1</t>
        </is>
      </c>
      <c r="L5356" s="12" t="inlineStr">
        <is>
          <t>3/C+G</t>
        </is>
      </c>
      <c r="M5356" s="12" t="inlineStr">
        <is>
          <t>1</t>
        </is>
      </c>
      <c r="N5356" s="12" t="n">
        <v>1</v>
      </c>
      <c r="O5356" s="12" t="n">
        <v>1</v>
      </c>
      <c r="P5356" s="12" t="n">
        <v>480</v>
      </c>
      <c r="Q5356" s="12" t="n">
        <v>60</v>
      </c>
      <c r="R5356" s="12" t="n">
        <v>76</v>
      </c>
      <c r="S5356" s="12" t="inlineStr">
        <is>
          <t>Duct bank</t>
        </is>
      </c>
      <c r="T5356" s="15" t="n">
        <v>516</v>
      </c>
      <c r="U5356" s="15" t="n">
        <v>81</v>
      </c>
      <c r="V5356" s="15">
        <f>ROUNDUP((T5356+U5356+2*'Read Me'!$B$13)*(1+'Read Me'!$B$12),-1)</f>
        <v/>
      </c>
      <c r="W5356" s="15">
        <f>V5356*N5356*O5356</f>
        <v/>
      </c>
      <c r="X5356" s="12">
        <f>IF(LEFT(I5356,2)="MV",2*N5356*IF(L5356="1/C",O5356,1),0)</f>
        <v/>
      </c>
      <c r="Y5356" s="12">
        <f>IF(OR(LEFT(K5356,4)="LVAX",LEFT(K5356,6)="MV15AX",LEFT(K5356,4)="CTAX",LEFT(K5356,2)="W|"),2*N5356*O5356,0)</f>
        <v/>
      </c>
      <c r="Z5356" s="12" t="inlineStr">
        <is>
          <t>VD 2.8 %</t>
        </is>
      </c>
      <c r="AA5356" s="12">
        <f>N5356*O5356</f>
        <v/>
      </c>
    </row>
    <row r="5357">
      <c r="A5357" s="12" t="inlineStr">
        <is>
          <t>I-P-0193</t>
        </is>
      </c>
      <c r="B5357" s="12" t="inlineStr">
        <is>
          <t>I</t>
        </is>
      </c>
      <c r="C5357" s="12" t="inlineStr">
        <is>
          <t>Modular / portable power</t>
        </is>
      </c>
      <c r="D5357" s="12" t="inlineStr">
        <is>
          <t>480 V welding receptacle 3</t>
        </is>
      </c>
      <c r="E5357" s="12" t="inlineStr"/>
      <c r="F5357" s="12" t="inlineStr">
        <is>
          <t>PCM: power control module</t>
        </is>
      </c>
      <c r="G5357" s="12" t="inlineStr">
        <is>
          <t>RICE-3</t>
        </is>
      </c>
      <c r="H5357" s="12" t="inlineStr">
        <is>
          <t>RICE engine-generator 3</t>
        </is>
      </c>
      <c r="I5357" s="12" t="inlineStr">
        <is>
          <t>LV 600 V</t>
        </is>
      </c>
      <c r="J5357" s="12" t="inlineStr">
        <is>
          <t>Type TC-ER 600 V 3/C Cu XHHW-2 + ground, PVC jacket</t>
        </is>
      </c>
      <c r="K5357" s="12" t="inlineStr">
        <is>
          <t>LV|3/C+G|1</t>
        </is>
      </c>
      <c r="L5357" s="12" t="inlineStr">
        <is>
          <t>3/C+G</t>
        </is>
      </c>
      <c r="M5357" s="12" t="inlineStr">
        <is>
          <t>1</t>
        </is>
      </c>
      <c r="N5357" s="12" t="n">
        <v>1</v>
      </c>
      <c r="O5357" s="12" t="n">
        <v>1</v>
      </c>
      <c r="P5357" s="12" t="n">
        <v>480</v>
      </c>
      <c r="Q5357" s="12" t="n">
        <v>60</v>
      </c>
      <c r="R5357" s="12" t="n">
        <v>76</v>
      </c>
      <c r="S5357" s="12" t="inlineStr">
        <is>
          <t>Duct bank</t>
        </is>
      </c>
      <c r="T5357" s="15" t="n">
        <v>516</v>
      </c>
      <c r="U5357" s="15" t="n">
        <v>81</v>
      </c>
      <c r="V5357" s="15">
        <f>ROUNDUP((T5357+U5357+2*'Read Me'!$B$13)*(1+'Read Me'!$B$12),-1)</f>
        <v/>
      </c>
      <c r="W5357" s="15">
        <f>V5357*N5357*O5357</f>
        <v/>
      </c>
      <c r="X5357" s="12">
        <f>IF(LEFT(I5357,2)="MV",2*N5357*IF(L5357="1/C",O5357,1),0)</f>
        <v/>
      </c>
      <c r="Y5357" s="12">
        <f>IF(OR(LEFT(K5357,4)="LVAX",LEFT(K5357,6)="MV15AX",LEFT(K5357,4)="CTAX",LEFT(K5357,2)="W|"),2*N5357*O5357,0)</f>
        <v/>
      </c>
      <c r="Z5357" s="12" t="inlineStr">
        <is>
          <t>VD 2.8 %</t>
        </is>
      </c>
      <c r="AA5357" s="12">
        <f>N5357*O5357</f>
        <v/>
      </c>
    </row>
    <row r="5358">
      <c r="A5358" s="12" t="inlineStr">
        <is>
          <t>I-P-0194</t>
        </is>
      </c>
      <c r="B5358" s="12" t="inlineStr">
        <is>
          <t>I</t>
        </is>
      </c>
      <c r="C5358" s="12" t="inlineStr">
        <is>
          <t>Modular / portable power</t>
        </is>
      </c>
      <c r="D5358" s="12" t="inlineStr">
        <is>
          <t>480 V welding receptacle 4</t>
        </is>
      </c>
      <c r="E5358" s="12" t="inlineStr"/>
      <c r="F5358" s="12" t="inlineStr">
        <is>
          <t>PCM: power control module</t>
        </is>
      </c>
      <c r="G5358" s="12" t="inlineStr">
        <is>
          <t>RICE-3</t>
        </is>
      </c>
      <c r="H5358" s="12" t="inlineStr">
        <is>
          <t>RICE engine-generator 3</t>
        </is>
      </c>
      <c r="I5358" s="12" t="inlineStr">
        <is>
          <t>LV 600 V</t>
        </is>
      </c>
      <c r="J5358" s="12" t="inlineStr">
        <is>
          <t>Type TC-ER 600 V 3/C Cu XHHW-2 + ground, PVC jacket</t>
        </is>
      </c>
      <c r="K5358" s="12" t="inlineStr">
        <is>
          <t>LV|3/C+G|1</t>
        </is>
      </c>
      <c r="L5358" s="12" t="inlineStr">
        <is>
          <t>3/C+G</t>
        </is>
      </c>
      <c r="M5358" s="12" t="inlineStr">
        <is>
          <t>1</t>
        </is>
      </c>
      <c r="N5358" s="12" t="n">
        <v>1</v>
      </c>
      <c r="O5358" s="12" t="n">
        <v>1</v>
      </c>
      <c r="P5358" s="12" t="n">
        <v>480</v>
      </c>
      <c r="Q5358" s="12" t="n">
        <v>60</v>
      </c>
      <c r="R5358" s="12" t="n">
        <v>76</v>
      </c>
      <c r="S5358" s="12" t="inlineStr">
        <is>
          <t>Duct bank</t>
        </is>
      </c>
      <c r="T5358" s="15" t="n">
        <v>516</v>
      </c>
      <c r="U5358" s="15" t="n">
        <v>81</v>
      </c>
      <c r="V5358" s="15">
        <f>ROUNDUP((T5358+U5358+2*'Read Me'!$B$13)*(1+'Read Me'!$B$12),-1)</f>
        <v/>
      </c>
      <c r="W5358" s="15">
        <f>V5358*N5358*O5358</f>
        <v/>
      </c>
      <c r="X5358" s="12">
        <f>IF(LEFT(I5358,2)="MV",2*N5358*IF(L5358="1/C",O5358,1),0)</f>
        <v/>
      </c>
      <c r="Y5358" s="12">
        <f>IF(OR(LEFT(K5358,4)="LVAX",LEFT(K5358,6)="MV15AX",LEFT(K5358,4)="CTAX",LEFT(K5358,2)="W|"),2*N5358*O5358,0)</f>
        <v/>
      </c>
      <c r="Z5358" s="12" t="inlineStr">
        <is>
          <t>VD 2.8 %</t>
        </is>
      </c>
      <c r="AA5358" s="12">
        <f>N5358*O5358</f>
        <v/>
      </c>
    </row>
    <row r="5359">
      <c r="A5359" s="12" t="inlineStr">
        <is>
          <t>I-P-0195</t>
        </is>
      </c>
      <c r="B5359" s="12" t="inlineStr">
        <is>
          <t>I</t>
        </is>
      </c>
      <c r="C5359" s="12" t="inlineStr">
        <is>
          <t>Modular / portable power</t>
        </is>
      </c>
      <c r="D5359" s="12" t="inlineStr">
        <is>
          <t>Motor 1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I-P-0196</t>
        </is>
      </c>
      <c r="B5360" s="12" t="inlineStr">
        <is>
          <t>I</t>
        </is>
      </c>
      <c r="C5360" s="12" t="inlineStr">
        <is>
          <t>Modular / portable power</t>
        </is>
      </c>
      <c r="D5360" s="12" t="inlineStr">
        <is>
          <t>Motor 2 of 6, 22 kW</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LV|3/C+G|4</t>
        </is>
      </c>
      <c r="L5360" s="12" t="inlineStr">
        <is>
          <t>3/C+G</t>
        </is>
      </c>
      <c r="M5360" s="12" t="inlineStr">
        <is>
          <t>4</t>
        </is>
      </c>
      <c r="N5360" s="12" t="n">
        <v>1</v>
      </c>
      <c r="O5360" s="12" t="n">
        <v>1</v>
      </c>
      <c r="P5360" s="12" t="n">
        <v>480</v>
      </c>
      <c r="Q5360" s="12" t="n">
        <v>22</v>
      </c>
      <c r="R5360" s="12" t="n">
        <v>31.1</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2.2 %</t>
        </is>
      </c>
      <c r="AA5360" s="12">
        <f>N5360*O5360</f>
        <v/>
      </c>
    </row>
    <row r="5361">
      <c r="A5361" s="12" t="inlineStr">
        <is>
          <t>I-P-0197</t>
        </is>
      </c>
      <c r="B5361" s="12" t="inlineStr">
        <is>
          <t>I</t>
        </is>
      </c>
      <c r="C5361" s="12" t="inlineStr">
        <is>
          <t>Modular / portable power</t>
        </is>
      </c>
      <c r="D5361" s="12" t="inlineStr">
        <is>
          <t>Motor 3 of 6, 22 kW</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LV|3/C+G|4</t>
        </is>
      </c>
      <c r="L5361" s="12" t="inlineStr">
        <is>
          <t>3/C+G</t>
        </is>
      </c>
      <c r="M5361" s="12" t="inlineStr">
        <is>
          <t>4</t>
        </is>
      </c>
      <c r="N5361" s="12" t="n">
        <v>1</v>
      </c>
      <c r="O5361" s="12" t="n">
        <v>1</v>
      </c>
      <c r="P5361" s="12" t="n">
        <v>480</v>
      </c>
      <c r="Q5361" s="12" t="n">
        <v>22</v>
      </c>
      <c r="R5361" s="12" t="n">
        <v>31.1</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2.2 %</t>
        </is>
      </c>
      <c r="AA5361" s="12">
        <f>N5361*O5361</f>
        <v/>
      </c>
    </row>
    <row r="5362">
      <c r="A5362" s="12" t="inlineStr">
        <is>
          <t>I-P-0198</t>
        </is>
      </c>
      <c r="B5362" s="12" t="inlineStr">
        <is>
          <t>I</t>
        </is>
      </c>
      <c r="C5362" s="12" t="inlineStr">
        <is>
          <t>Modular / portable power</t>
        </is>
      </c>
      <c r="D5362" s="12" t="inlineStr">
        <is>
          <t>Motor 4 of 6, 22 kW</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LV|3/C+G|4</t>
        </is>
      </c>
      <c r="L5362" s="12" t="inlineStr">
        <is>
          <t>3/C+G</t>
        </is>
      </c>
      <c r="M5362" s="12" t="inlineStr">
        <is>
          <t>4</t>
        </is>
      </c>
      <c r="N5362" s="12" t="n">
        <v>1</v>
      </c>
      <c r="O5362" s="12" t="n">
        <v>1</v>
      </c>
      <c r="P5362" s="12" t="n">
        <v>480</v>
      </c>
      <c r="Q5362" s="12" t="n">
        <v>22</v>
      </c>
      <c r="R5362" s="12" t="n">
        <v>31.1</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2.2 %</t>
        </is>
      </c>
      <c r="AA5362" s="12">
        <f>N5362*O5362</f>
        <v/>
      </c>
    </row>
    <row r="5363">
      <c r="A5363" s="12" t="inlineStr">
        <is>
          <t>I-P-0199</t>
        </is>
      </c>
      <c r="B5363" s="12" t="inlineStr">
        <is>
          <t>I</t>
        </is>
      </c>
      <c r="C5363" s="12" t="inlineStr">
        <is>
          <t>Modular / portable power</t>
        </is>
      </c>
      <c r="D5363" s="12" t="inlineStr">
        <is>
          <t>Motor 5 of 6, 22 kW</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2.2 %</t>
        </is>
      </c>
      <c r="AA5363" s="12">
        <f>N5363*O5363</f>
        <v/>
      </c>
    </row>
    <row r="5364">
      <c r="A5364" s="12" t="inlineStr">
        <is>
          <t>I-P-0200</t>
        </is>
      </c>
      <c r="B5364" s="12" t="inlineStr">
        <is>
          <t>I</t>
        </is>
      </c>
      <c r="C5364" s="12" t="inlineStr">
        <is>
          <t>Modular / portable power</t>
        </is>
      </c>
      <c r="D5364" s="12" t="inlineStr">
        <is>
          <t>Motor 6 of 6, 22 kW</t>
        </is>
      </c>
      <c r="E5364" s="12" t="inlineStr"/>
      <c r="F5364" s="12" t="inlineStr">
        <is>
          <t>PCM: power control module</t>
        </is>
      </c>
      <c r="G5364" s="12" t="inlineStr">
        <is>
          <t>RICE-4</t>
        </is>
      </c>
      <c r="H5364" s="12" t="inlineStr">
        <is>
          <t>RICE engine-generator 4</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53</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I-P-0201</t>
        </is>
      </c>
      <c r="B5365" s="12" t="inlineStr">
        <is>
          <t>I</t>
        </is>
      </c>
      <c r="C5365" s="12" t="inlineStr">
        <is>
          <t>Modular / portable power</t>
        </is>
      </c>
      <c r="D5365" s="12" t="inlineStr">
        <is>
          <t>480 V welding receptacle 1</t>
        </is>
      </c>
      <c r="E5365" s="12" t="inlineStr"/>
      <c r="F5365" s="12" t="inlineStr">
        <is>
          <t>PCM: power control module</t>
        </is>
      </c>
      <c r="G5365" s="12" t="inlineStr">
        <is>
          <t>RICE-4</t>
        </is>
      </c>
      <c r="H5365" s="12" t="inlineStr">
        <is>
          <t>RICE engine-generator 4</t>
        </is>
      </c>
      <c r="I5365" s="12" t="inlineStr">
        <is>
          <t>LV 600 V</t>
        </is>
      </c>
      <c r="J5365" s="12" t="inlineStr">
        <is>
          <t>Type TC-ER 600 V 3/C Cu XHHW-2 + ground, PVC jacket</t>
        </is>
      </c>
      <c r="K5365" s="12" t="inlineStr">
        <is>
          <t>LV|3/C+G|1</t>
        </is>
      </c>
      <c r="L5365" s="12" t="inlineStr">
        <is>
          <t>3/C+G</t>
        </is>
      </c>
      <c r="M5365" s="12" t="inlineStr">
        <is>
          <t>1</t>
        </is>
      </c>
      <c r="N5365" s="12" t="n">
        <v>1</v>
      </c>
      <c r="O5365" s="12" t="n">
        <v>1</v>
      </c>
      <c r="P5365" s="12" t="n">
        <v>480</v>
      </c>
      <c r="Q5365" s="12" t="n">
        <v>60</v>
      </c>
      <c r="R5365" s="12" t="n">
        <v>76</v>
      </c>
      <c r="S5365" s="12" t="inlineStr">
        <is>
          <t>Duct bank</t>
        </is>
      </c>
      <c r="T5365" s="15" t="n">
        <v>516</v>
      </c>
      <c r="U5365" s="15" t="n">
        <v>53</v>
      </c>
      <c r="V5365" s="15">
        <f>ROUNDUP((T5365+U5365+2*'Read Me'!$B$13)*(1+'Read Me'!$B$12),-1)</f>
        <v/>
      </c>
      <c r="W5365" s="15">
        <f>V5365*N5365*O5365</f>
        <v/>
      </c>
      <c r="X5365" s="12">
        <f>IF(LEFT(I5365,2)="MV",2*N5365*IF(L5365="1/C",O5365,1),0)</f>
        <v/>
      </c>
      <c r="Y5365" s="12">
        <f>IF(OR(LEFT(K5365,4)="LVAX",LEFT(K5365,6)="MV15AX",LEFT(K5365,4)="CTAX",LEFT(K5365,2)="W|"),2*N5365*O5365,0)</f>
        <v/>
      </c>
      <c r="Z5365" s="12" t="inlineStr">
        <is>
          <t>VD 2.6 %</t>
        </is>
      </c>
      <c r="AA5365" s="12">
        <f>N5365*O5365</f>
        <v/>
      </c>
    </row>
    <row r="5366">
      <c r="A5366" s="12" t="inlineStr">
        <is>
          <t>I-P-0202</t>
        </is>
      </c>
      <c r="B5366" s="12" t="inlineStr">
        <is>
          <t>I</t>
        </is>
      </c>
      <c r="C5366" s="12" t="inlineStr">
        <is>
          <t>Modular / portable power</t>
        </is>
      </c>
      <c r="D5366" s="12" t="inlineStr">
        <is>
          <t>480 V welding receptacle 2</t>
        </is>
      </c>
      <c r="E5366" s="12" t="inlineStr"/>
      <c r="F5366" s="12" t="inlineStr">
        <is>
          <t>PCM: power control module</t>
        </is>
      </c>
      <c r="G5366" s="12" t="inlineStr">
        <is>
          <t>RICE-4</t>
        </is>
      </c>
      <c r="H5366" s="12" t="inlineStr">
        <is>
          <t>RICE engine-generator 4</t>
        </is>
      </c>
      <c r="I5366" s="12" t="inlineStr">
        <is>
          <t>LV 600 V</t>
        </is>
      </c>
      <c r="J5366" s="12" t="inlineStr">
        <is>
          <t>Type TC-ER 600 V 3/C Cu XHHW-2 + ground, PVC jacket</t>
        </is>
      </c>
      <c r="K5366" s="12" t="inlineStr">
        <is>
          <t>LV|3/C+G|1</t>
        </is>
      </c>
      <c r="L5366" s="12" t="inlineStr">
        <is>
          <t>3/C+G</t>
        </is>
      </c>
      <c r="M5366" s="12" t="inlineStr">
        <is>
          <t>1</t>
        </is>
      </c>
      <c r="N5366" s="12" t="n">
        <v>1</v>
      </c>
      <c r="O5366" s="12" t="n">
        <v>1</v>
      </c>
      <c r="P5366" s="12" t="n">
        <v>480</v>
      </c>
      <c r="Q5366" s="12" t="n">
        <v>60</v>
      </c>
      <c r="R5366" s="12" t="n">
        <v>76</v>
      </c>
      <c r="S5366" s="12" t="inlineStr">
        <is>
          <t>Duct bank</t>
        </is>
      </c>
      <c r="T5366" s="15" t="n">
        <v>516</v>
      </c>
      <c r="U5366" s="15" t="n">
        <v>53</v>
      </c>
      <c r="V5366" s="15">
        <f>ROUNDUP((T5366+U5366+2*'Read Me'!$B$13)*(1+'Read Me'!$B$12),-1)</f>
        <v/>
      </c>
      <c r="W5366" s="15">
        <f>V5366*N5366*O5366</f>
        <v/>
      </c>
      <c r="X5366" s="12">
        <f>IF(LEFT(I5366,2)="MV",2*N5366*IF(L5366="1/C",O5366,1),0)</f>
        <v/>
      </c>
      <c r="Y5366" s="12">
        <f>IF(OR(LEFT(K5366,4)="LVAX",LEFT(K5366,6)="MV15AX",LEFT(K5366,4)="CTAX",LEFT(K5366,2)="W|"),2*N5366*O5366,0)</f>
        <v/>
      </c>
      <c r="Z5366" s="12" t="inlineStr">
        <is>
          <t>VD 2.6 %</t>
        </is>
      </c>
      <c r="AA5366" s="12">
        <f>N5366*O5366</f>
        <v/>
      </c>
    </row>
    <row r="5367">
      <c r="A5367" s="12" t="inlineStr">
        <is>
          <t>I-P-0203</t>
        </is>
      </c>
      <c r="B5367" s="12" t="inlineStr">
        <is>
          <t>I</t>
        </is>
      </c>
      <c r="C5367" s="12" t="inlineStr">
        <is>
          <t>Modular / portable power</t>
        </is>
      </c>
      <c r="D5367" s="12" t="inlineStr">
        <is>
          <t>480 V welding receptacle 3</t>
        </is>
      </c>
      <c r="E5367" s="12" t="inlineStr"/>
      <c r="F5367" s="12" t="inlineStr">
        <is>
          <t>PCM: power control module</t>
        </is>
      </c>
      <c r="G5367" s="12" t="inlineStr">
        <is>
          <t>RICE-4</t>
        </is>
      </c>
      <c r="H5367" s="12" t="inlineStr">
        <is>
          <t>RICE engine-generator 4</t>
        </is>
      </c>
      <c r="I5367" s="12" t="inlineStr">
        <is>
          <t>LV 600 V</t>
        </is>
      </c>
      <c r="J5367" s="12" t="inlineStr">
        <is>
          <t>Type TC-ER 600 V 3/C Cu XHHW-2 + ground, PVC jacket</t>
        </is>
      </c>
      <c r="K5367" s="12" t="inlineStr">
        <is>
          <t>LV|3/C+G|1</t>
        </is>
      </c>
      <c r="L5367" s="12" t="inlineStr">
        <is>
          <t>3/C+G</t>
        </is>
      </c>
      <c r="M5367" s="12" t="inlineStr">
        <is>
          <t>1</t>
        </is>
      </c>
      <c r="N5367" s="12" t="n">
        <v>1</v>
      </c>
      <c r="O5367" s="12" t="n">
        <v>1</v>
      </c>
      <c r="P5367" s="12" t="n">
        <v>480</v>
      </c>
      <c r="Q5367" s="12" t="n">
        <v>60</v>
      </c>
      <c r="R5367" s="12" t="n">
        <v>76</v>
      </c>
      <c r="S5367" s="12" t="inlineStr">
        <is>
          <t>Duct bank</t>
        </is>
      </c>
      <c r="T5367" s="15" t="n">
        <v>516</v>
      </c>
      <c r="U5367" s="15" t="n">
        <v>53</v>
      </c>
      <c r="V5367" s="15">
        <f>ROUNDUP((T5367+U5367+2*'Read Me'!$B$13)*(1+'Read Me'!$B$12),-1)</f>
        <v/>
      </c>
      <c r="W5367" s="15">
        <f>V5367*N5367*O5367</f>
        <v/>
      </c>
      <c r="X5367" s="12">
        <f>IF(LEFT(I5367,2)="MV",2*N5367*IF(L5367="1/C",O5367,1),0)</f>
        <v/>
      </c>
      <c r="Y5367" s="12">
        <f>IF(OR(LEFT(K5367,4)="LVAX",LEFT(K5367,6)="MV15AX",LEFT(K5367,4)="CTAX",LEFT(K5367,2)="W|"),2*N5367*O5367,0)</f>
        <v/>
      </c>
      <c r="Z5367" s="12" t="inlineStr">
        <is>
          <t>VD 2.6 %</t>
        </is>
      </c>
      <c r="AA5367" s="12">
        <f>N5367*O5367</f>
        <v/>
      </c>
    </row>
    <row r="5368">
      <c r="A5368" s="12" t="inlineStr">
        <is>
          <t>I-P-0204</t>
        </is>
      </c>
      <c r="B5368" s="12" t="inlineStr">
        <is>
          <t>I</t>
        </is>
      </c>
      <c r="C5368" s="12" t="inlineStr">
        <is>
          <t>Modular / portable power</t>
        </is>
      </c>
      <c r="D5368" s="12" t="inlineStr">
        <is>
          <t>480 V welding receptacle 4</t>
        </is>
      </c>
      <c r="E5368" s="12" t="inlineStr"/>
      <c r="F5368" s="12" t="inlineStr">
        <is>
          <t>PCM: power control module</t>
        </is>
      </c>
      <c r="G5368" s="12" t="inlineStr">
        <is>
          <t>RICE-4</t>
        </is>
      </c>
      <c r="H5368" s="12" t="inlineStr">
        <is>
          <t>RICE engine-generator 4</t>
        </is>
      </c>
      <c r="I5368" s="12" t="inlineStr">
        <is>
          <t>LV 600 V</t>
        </is>
      </c>
      <c r="J5368" s="12" t="inlineStr">
        <is>
          <t>Type TC-ER 600 V 3/C Cu XHHW-2 + ground, PVC jacket</t>
        </is>
      </c>
      <c r="K5368" s="12" t="inlineStr">
        <is>
          <t>LV|3/C+G|1</t>
        </is>
      </c>
      <c r="L5368" s="12" t="inlineStr">
        <is>
          <t>3/C+G</t>
        </is>
      </c>
      <c r="M5368" s="12" t="inlineStr">
        <is>
          <t>1</t>
        </is>
      </c>
      <c r="N5368" s="12" t="n">
        <v>1</v>
      </c>
      <c r="O5368" s="12" t="n">
        <v>1</v>
      </c>
      <c r="P5368" s="12" t="n">
        <v>480</v>
      </c>
      <c r="Q5368" s="12" t="n">
        <v>60</v>
      </c>
      <c r="R5368" s="12" t="n">
        <v>76</v>
      </c>
      <c r="S5368" s="12" t="inlineStr">
        <is>
          <t>Duct bank</t>
        </is>
      </c>
      <c r="T5368" s="15" t="n">
        <v>516</v>
      </c>
      <c r="U5368" s="15" t="n">
        <v>53</v>
      </c>
      <c r="V5368" s="15">
        <f>ROUNDUP((T5368+U5368+2*'Read Me'!$B$13)*(1+'Read Me'!$B$12),-1)</f>
        <v/>
      </c>
      <c r="W5368" s="15">
        <f>V5368*N5368*O5368</f>
        <v/>
      </c>
      <c r="X5368" s="12">
        <f>IF(LEFT(I5368,2)="MV",2*N5368*IF(L5368="1/C",O5368,1),0)</f>
        <v/>
      </c>
      <c r="Y5368" s="12">
        <f>IF(OR(LEFT(K5368,4)="LVAX",LEFT(K5368,6)="MV15AX",LEFT(K5368,4)="CTAX",LEFT(K5368,2)="W|"),2*N5368*O5368,0)</f>
        <v/>
      </c>
      <c r="Z5368" s="12" t="inlineStr">
        <is>
          <t>VD 2.6 %</t>
        </is>
      </c>
      <c r="AA5368" s="12">
        <f>N5368*O5368</f>
        <v/>
      </c>
    </row>
    <row r="5369">
      <c r="A5369" s="12" t="inlineStr">
        <is>
          <t>I-P-0205</t>
        </is>
      </c>
      <c r="B5369" s="12" t="inlineStr">
        <is>
          <t>I</t>
        </is>
      </c>
      <c r="C5369" s="12" t="inlineStr">
        <is>
          <t>Modular / portable power</t>
        </is>
      </c>
      <c r="D5369" s="12" t="inlineStr">
        <is>
          <t>Motor 1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I-P-0206</t>
        </is>
      </c>
      <c r="B5370" s="12" t="inlineStr">
        <is>
          <t>I</t>
        </is>
      </c>
      <c r="C5370" s="12" t="inlineStr">
        <is>
          <t>Modular / portable power</t>
        </is>
      </c>
      <c r="D5370" s="12" t="inlineStr">
        <is>
          <t>Motor 2 of 6, 22 kW</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LV|3/C+G|8</t>
        </is>
      </c>
      <c r="L5370" s="12" t="inlineStr">
        <is>
          <t>3/C+G</t>
        </is>
      </c>
      <c r="M5370" s="12" t="inlineStr">
        <is>
          <t>8</t>
        </is>
      </c>
      <c r="N5370" s="12" t="n">
        <v>1</v>
      </c>
      <c r="O5370" s="12" t="n">
        <v>1</v>
      </c>
      <c r="P5370" s="12" t="n">
        <v>480</v>
      </c>
      <c r="Q5370" s="12" t="n">
        <v>22</v>
      </c>
      <c r="R5370" s="12" t="n">
        <v>31.1</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2.2 %</t>
        </is>
      </c>
      <c r="AA5370" s="12">
        <f>N5370*O5370</f>
        <v/>
      </c>
    </row>
    <row r="5371">
      <c r="A5371" s="12" t="inlineStr">
        <is>
          <t>I-P-0207</t>
        </is>
      </c>
      <c r="B5371" s="12" t="inlineStr">
        <is>
          <t>I</t>
        </is>
      </c>
      <c r="C5371" s="12" t="inlineStr">
        <is>
          <t>Modular / portable power</t>
        </is>
      </c>
      <c r="D5371" s="12" t="inlineStr">
        <is>
          <t>Motor 3 of 6, 22 kW</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LV|3/C+G|8</t>
        </is>
      </c>
      <c r="L5371" s="12" t="inlineStr">
        <is>
          <t>3/C+G</t>
        </is>
      </c>
      <c r="M5371" s="12" t="inlineStr">
        <is>
          <t>8</t>
        </is>
      </c>
      <c r="N5371" s="12" t="n">
        <v>1</v>
      </c>
      <c r="O5371" s="12" t="n">
        <v>1</v>
      </c>
      <c r="P5371" s="12" t="n">
        <v>480</v>
      </c>
      <c r="Q5371" s="12" t="n">
        <v>22</v>
      </c>
      <c r="R5371" s="12" t="n">
        <v>31.1</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2.2 %</t>
        </is>
      </c>
      <c r="AA5371" s="12">
        <f>N5371*O5371</f>
        <v/>
      </c>
    </row>
    <row r="5372">
      <c r="A5372" s="12" t="inlineStr">
        <is>
          <t>I-P-0208</t>
        </is>
      </c>
      <c r="B5372" s="12" t="inlineStr">
        <is>
          <t>I</t>
        </is>
      </c>
      <c r="C5372" s="12" t="inlineStr">
        <is>
          <t>Modular / portable power</t>
        </is>
      </c>
      <c r="D5372" s="12" t="inlineStr">
        <is>
          <t>Motor 4 of 6, 22 kW</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LV|3/C+G|8</t>
        </is>
      </c>
      <c r="L5372" s="12" t="inlineStr">
        <is>
          <t>3/C+G</t>
        </is>
      </c>
      <c r="M5372" s="12" t="inlineStr">
        <is>
          <t>8</t>
        </is>
      </c>
      <c r="N5372" s="12" t="n">
        <v>1</v>
      </c>
      <c r="O5372" s="12" t="n">
        <v>1</v>
      </c>
      <c r="P5372" s="12" t="n">
        <v>480</v>
      </c>
      <c r="Q5372" s="12" t="n">
        <v>22</v>
      </c>
      <c r="R5372" s="12" t="n">
        <v>31.1</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2.2 %</t>
        </is>
      </c>
      <c r="AA5372" s="12">
        <f>N5372*O5372</f>
        <v/>
      </c>
    </row>
    <row r="5373">
      <c r="A5373" s="12" t="inlineStr">
        <is>
          <t>I-P-0209</t>
        </is>
      </c>
      <c r="B5373" s="12" t="inlineStr">
        <is>
          <t>I</t>
        </is>
      </c>
      <c r="C5373" s="12" t="inlineStr">
        <is>
          <t>Modular / portable power</t>
        </is>
      </c>
      <c r="D5373" s="12" t="inlineStr">
        <is>
          <t>Motor 5 of 6, 22 kW</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I-P-0210</t>
        </is>
      </c>
      <c r="B5374" s="12" t="inlineStr">
        <is>
          <t>I</t>
        </is>
      </c>
      <c r="C5374" s="12" t="inlineStr">
        <is>
          <t>Modular / portable power</t>
        </is>
      </c>
      <c r="D5374" s="12" t="inlineStr">
        <is>
          <t>Motor 6 of 6, 22 kW</t>
        </is>
      </c>
      <c r="E5374" s="12" t="inlineStr"/>
      <c r="F5374" s="12" t="inlineStr">
        <is>
          <t>PCM: power control module</t>
        </is>
      </c>
      <c r="G5374" s="12" t="inlineStr">
        <is>
          <t>RICE-5</t>
        </is>
      </c>
      <c r="H5374" s="12" t="inlineStr">
        <is>
          <t>RICE engine-generator 5</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181</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I-P-0211</t>
        </is>
      </c>
      <c r="B5375" s="12" t="inlineStr">
        <is>
          <t>I</t>
        </is>
      </c>
      <c r="C5375" s="12" t="inlineStr">
        <is>
          <t>Modular / portable power</t>
        </is>
      </c>
      <c r="D5375" s="12" t="inlineStr">
        <is>
          <t>480 V welding receptacle 1</t>
        </is>
      </c>
      <c r="E5375" s="12" t="inlineStr"/>
      <c r="F5375" s="12" t="inlineStr">
        <is>
          <t>PCM: power control module</t>
        </is>
      </c>
      <c r="G5375" s="12" t="inlineStr">
        <is>
          <t>RICE-5</t>
        </is>
      </c>
      <c r="H5375" s="12" t="inlineStr">
        <is>
          <t>RICE engine-generator 5</t>
        </is>
      </c>
      <c r="I5375" s="12" t="inlineStr">
        <is>
          <t>LV 600 V</t>
        </is>
      </c>
      <c r="J5375" s="12" t="inlineStr">
        <is>
          <t>Type TC-ER 600 V 3/C Cu XHHW-2 + ground, PVC jacket</t>
        </is>
      </c>
      <c r="K5375" s="12" t="inlineStr">
        <is>
          <t>LV|3/C+G|2</t>
        </is>
      </c>
      <c r="L5375" s="12" t="inlineStr">
        <is>
          <t>3/C+G</t>
        </is>
      </c>
      <c r="M5375" s="12" t="inlineStr">
        <is>
          <t>2</t>
        </is>
      </c>
      <c r="N5375" s="12" t="n">
        <v>1</v>
      </c>
      <c r="O5375" s="12" t="n">
        <v>1</v>
      </c>
      <c r="P5375" s="12" t="n">
        <v>480</v>
      </c>
      <c r="Q5375" s="12" t="n">
        <v>60</v>
      </c>
      <c r="R5375" s="12" t="n">
        <v>76</v>
      </c>
      <c r="S5375" s="12" t="inlineStr">
        <is>
          <t>Duct bank</t>
        </is>
      </c>
      <c r="T5375" s="15" t="n">
        <v>57</v>
      </c>
      <c r="U5375" s="15" t="n">
        <v>181</v>
      </c>
      <c r="V5375" s="15">
        <f>ROUNDUP((T5375+U5375+2*'Read Me'!$B$13)*(1+'Read Me'!$B$12),-1)</f>
        <v/>
      </c>
      <c r="W5375" s="15">
        <f>V5375*N5375*O5375</f>
        <v/>
      </c>
      <c r="X5375" s="12">
        <f>IF(LEFT(I5375,2)="MV",2*N5375*IF(L5375="1/C",O5375,1),0)</f>
        <v/>
      </c>
      <c r="Y5375" s="12">
        <f>IF(OR(LEFT(K5375,4)="LVAX",LEFT(K5375,6)="MV15AX",LEFT(K5375,4)="CTAX",LEFT(K5375,2)="W|"),2*N5375*O5375,0)</f>
        <v/>
      </c>
      <c r="Z5375" s="12" t="inlineStr">
        <is>
          <t>VD 1.4 %</t>
        </is>
      </c>
      <c r="AA5375" s="12">
        <f>N5375*O5375</f>
        <v/>
      </c>
    </row>
    <row r="5376">
      <c r="A5376" s="12" t="inlineStr">
        <is>
          <t>I-P-0212</t>
        </is>
      </c>
      <c r="B5376" s="12" t="inlineStr">
        <is>
          <t>I</t>
        </is>
      </c>
      <c r="C5376" s="12" t="inlineStr">
        <is>
          <t>Modular / portable power</t>
        </is>
      </c>
      <c r="D5376" s="12" t="inlineStr">
        <is>
          <t>480 V welding receptacle 2</t>
        </is>
      </c>
      <c r="E5376" s="12" t="inlineStr"/>
      <c r="F5376" s="12" t="inlineStr">
        <is>
          <t>PCM: power control module</t>
        </is>
      </c>
      <c r="G5376" s="12" t="inlineStr">
        <is>
          <t>RICE-5</t>
        </is>
      </c>
      <c r="H5376" s="12" t="inlineStr">
        <is>
          <t>RICE engine-generator 5</t>
        </is>
      </c>
      <c r="I5376" s="12" t="inlineStr">
        <is>
          <t>LV 600 V</t>
        </is>
      </c>
      <c r="J5376" s="12" t="inlineStr">
        <is>
          <t>Type TC-ER 600 V 3/C Cu XHHW-2 + ground, PVC jacket</t>
        </is>
      </c>
      <c r="K5376" s="12" t="inlineStr">
        <is>
          <t>LV|3/C+G|2</t>
        </is>
      </c>
      <c r="L5376" s="12" t="inlineStr">
        <is>
          <t>3/C+G</t>
        </is>
      </c>
      <c r="M5376" s="12" t="inlineStr">
        <is>
          <t>2</t>
        </is>
      </c>
      <c r="N5376" s="12" t="n">
        <v>1</v>
      </c>
      <c r="O5376" s="12" t="n">
        <v>1</v>
      </c>
      <c r="P5376" s="12" t="n">
        <v>480</v>
      </c>
      <c r="Q5376" s="12" t="n">
        <v>60</v>
      </c>
      <c r="R5376" s="12" t="n">
        <v>76</v>
      </c>
      <c r="S5376" s="12" t="inlineStr">
        <is>
          <t>Duct bank</t>
        </is>
      </c>
      <c r="T5376" s="15" t="n">
        <v>57</v>
      </c>
      <c r="U5376" s="15" t="n">
        <v>181</v>
      </c>
      <c r="V5376" s="15">
        <f>ROUNDUP((T5376+U5376+2*'Read Me'!$B$13)*(1+'Read Me'!$B$12),-1)</f>
        <v/>
      </c>
      <c r="W5376" s="15">
        <f>V5376*N5376*O5376</f>
        <v/>
      </c>
      <c r="X5376" s="12">
        <f>IF(LEFT(I5376,2)="MV",2*N5376*IF(L5376="1/C",O5376,1),0)</f>
        <v/>
      </c>
      <c r="Y5376" s="12">
        <f>IF(OR(LEFT(K5376,4)="LVAX",LEFT(K5376,6)="MV15AX",LEFT(K5376,4)="CTAX",LEFT(K5376,2)="W|"),2*N5376*O5376,0)</f>
        <v/>
      </c>
      <c r="Z5376" s="12" t="inlineStr">
        <is>
          <t>VD 1.4 %</t>
        </is>
      </c>
      <c r="AA5376" s="12">
        <f>N5376*O5376</f>
        <v/>
      </c>
    </row>
    <row r="5377">
      <c r="A5377" s="12" t="inlineStr">
        <is>
          <t>I-P-0213</t>
        </is>
      </c>
      <c r="B5377" s="12" t="inlineStr">
        <is>
          <t>I</t>
        </is>
      </c>
      <c r="C5377" s="12" t="inlineStr">
        <is>
          <t>Modular / portable power</t>
        </is>
      </c>
      <c r="D5377" s="12" t="inlineStr">
        <is>
          <t>480 V welding receptacle 3</t>
        </is>
      </c>
      <c r="E5377" s="12" t="inlineStr"/>
      <c r="F5377" s="12" t="inlineStr">
        <is>
          <t>PCM: power control module</t>
        </is>
      </c>
      <c r="G5377" s="12" t="inlineStr">
        <is>
          <t>RICE-5</t>
        </is>
      </c>
      <c r="H5377" s="12" t="inlineStr">
        <is>
          <t>RICE engine-generator 5</t>
        </is>
      </c>
      <c r="I5377" s="12" t="inlineStr">
        <is>
          <t>LV 600 V</t>
        </is>
      </c>
      <c r="J5377" s="12" t="inlineStr">
        <is>
          <t>Type TC-ER 600 V 3/C Cu XHHW-2 + ground, PVC jacket</t>
        </is>
      </c>
      <c r="K5377" s="12" t="inlineStr">
        <is>
          <t>LV|3/C+G|2</t>
        </is>
      </c>
      <c r="L5377" s="12" t="inlineStr">
        <is>
          <t>3/C+G</t>
        </is>
      </c>
      <c r="M5377" s="12" t="inlineStr">
        <is>
          <t>2</t>
        </is>
      </c>
      <c r="N5377" s="12" t="n">
        <v>1</v>
      </c>
      <c r="O5377" s="12" t="n">
        <v>1</v>
      </c>
      <c r="P5377" s="12" t="n">
        <v>480</v>
      </c>
      <c r="Q5377" s="12" t="n">
        <v>60</v>
      </c>
      <c r="R5377" s="12" t="n">
        <v>76</v>
      </c>
      <c r="S5377" s="12" t="inlineStr">
        <is>
          <t>Duct bank</t>
        </is>
      </c>
      <c r="T5377" s="15" t="n">
        <v>57</v>
      </c>
      <c r="U5377" s="15" t="n">
        <v>181</v>
      </c>
      <c r="V5377" s="15">
        <f>ROUNDUP((T5377+U5377+2*'Read Me'!$B$13)*(1+'Read Me'!$B$12),-1)</f>
        <v/>
      </c>
      <c r="W5377" s="15">
        <f>V5377*N5377*O5377</f>
        <v/>
      </c>
      <c r="X5377" s="12">
        <f>IF(LEFT(I5377,2)="MV",2*N5377*IF(L5377="1/C",O5377,1),0)</f>
        <v/>
      </c>
      <c r="Y5377" s="12">
        <f>IF(OR(LEFT(K5377,4)="LVAX",LEFT(K5377,6)="MV15AX",LEFT(K5377,4)="CTAX",LEFT(K5377,2)="W|"),2*N5377*O5377,0)</f>
        <v/>
      </c>
      <c r="Z5377" s="12" t="inlineStr">
        <is>
          <t>VD 1.4 %</t>
        </is>
      </c>
      <c r="AA5377" s="12">
        <f>N5377*O5377</f>
        <v/>
      </c>
    </row>
    <row r="5378">
      <c r="A5378" s="12" t="inlineStr">
        <is>
          <t>I-P-0214</t>
        </is>
      </c>
      <c r="B5378" s="12" t="inlineStr">
        <is>
          <t>I</t>
        </is>
      </c>
      <c r="C5378" s="12" t="inlineStr">
        <is>
          <t>Modular / portable power</t>
        </is>
      </c>
      <c r="D5378" s="12" t="inlineStr">
        <is>
          <t>480 V welding receptacle 4</t>
        </is>
      </c>
      <c r="E5378" s="12" t="inlineStr"/>
      <c r="F5378" s="12" t="inlineStr">
        <is>
          <t>PCM: power control module</t>
        </is>
      </c>
      <c r="G5378" s="12" t="inlineStr">
        <is>
          <t>RICE-5</t>
        </is>
      </c>
      <c r="H5378" s="12" t="inlineStr">
        <is>
          <t>RICE engine-generator 5</t>
        </is>
      </c>
      <c r="I5378" s="12" t="inlineStr">
        <is>
          <t>LV 600 V</t>
        </is>
      </c>
      <c r="J5378" s="12" t="inlineStr">
        <is>
          <t>Type TC-ER 600 V 3/C Cu XHHW-2 + ground, PVC jacket</t>
        </is>
      </c>
      <c r="K5378" s="12" t="inlineStr">
        <is>
          <t>LV|3/C+G|2</t>
        </is>
      </c>
      <c r="L5378" s="12" t="inlineStr">
        <is>
          <t>3/C+G</t>
        </is>
      </c>
      <c r="M5378" s="12" t="inlineStr">
        <is>
          <t>2</t>
        </is>
      </c>
      <c r="N5378" s="12" t="n">
        <v>1</v>
      </c>
      <c r="O5378" s="12" t="n">
        <v>1</v>
      </c>
      <c r="P5378" s="12" t="n">
        <v>480</v>
      </c>
      <c r="Q5378" s="12" t="n">
        <v>60</v>
      </c>
      <c r="R5378" s="12" t="n">
        <v>76</v>
      </c>
      <c r="S5378" s="12" t="inlineStr">
        <is>
          <t>Duct bank</t>
        </is>
      </c>
      <c r="T5378" s="15" t="n">
        <v>57</v>
      </c>
      <c r="U5378" s="15" t="n">
        <v>181</v>
      </c>
      <c r="V5378" s="15">
        <f>ROUNDUP((T5378+U5378+2*'Read Me'!$B$13)*(1+'Read Me'!$B$12),-1)</f>
        <v/>
      </c>
      <c r="W5378" s="15">
        <f>V5378*N5378*O5378</f>
        <v/>
      </c>
      <c r="X5378" s="12">
        <f>IF(LEFT(I5378,2)="MV",2*N5378*IF(L5378="1/C",O5378,1),0)</f>
        <v/>
      </c>
      <c r="Y5378" s="12">
        <f>IF(OR(LEFT(K5378,4)="LVAX",LEFT(K5378,6)="MV15AX",LEFT(K5378,4)="CTAX",LEFT(K5378,2)="W|"),2*N5378*O5378,0)</f>
        <v/>
      </c>
      <c r="Z5378" s="12" t="inlineStr">
        <is>
          <t>VD 1.4 %</t>
        </is>
      </c>
      <c r="AA5378" s="12">
        <f>N5378*O5378</f>
        <v/>
      </c>
    </row>
    <row r="5379">
      <c r="A5379" s="12" t="inlineStr">
        <is>
          <t>I-P-0215</t>
        </is>
      </c>
      <c r="B5379" s="12" t="inlineStr">
        <is>
          <t>I</t>
        </is>
      </c>
      <c r="C5379" s="12" t="inlineStr">
        <is>
          <t>Modular / portable power</t>
        </is>
      </c>
      <c r="D5379" s="12" t="inlineStr">
        <is>
          <t>Motor 1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I-P-0216</t>
        </is>
      </c>
      <c r="B5380" s="12" t="inlineStr">
        <is>
          <t>I</t>
        </is>
      </c>
      <c r="C5380" s="12" t="inlineStr">
        <is>
          <t>Modular / portable power</t>
        </is>
      </c>
      <c r="D5380" s="12" t="inlineStr">
        <is>
          <t>Motor 2 of 6, 22 kW</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LV|3/C+G|8</t>
        </is>
      </c>
      <c r="L5380" s="12" t="inlineStr">
        <is>
          <t>3/C+G</t>
        </is>
      </c>
      <c r="M5380" s="12" t="inlineStr">
        <is>
          <t>8</t>
        </is>
      </c>
      <c r="N5380" s="12" t="n">
        <v>1</v>
      </c>
      <c r="O5380" s="12" t="n">
        <v>1</v>
      </c>
      <c r="P5380" s="12" t="n">
        <v>480</v>
      </c>
      <c r="Q5380" s="12" t="n">
        <v>22</v>
      </c>
      <c r="R5380" s="12" t="n">
        <v>31.1</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2.0 %</t>
        </is>
      </c>
      <c r="AA5380" s="12">
        <f>N5380*O5380</f>
        <v/>
      </c>
    </row>
    <row r="5381">
      <c r="A5381" s="12" t="inlineStr">
        <is>
          <t>I-P-0217</t>
        </is>
      </c>
      <c r="B5381" s="12" t="inlineStr">
        <is>
          <t>I</t>
        </is>
      </c>
      <c r="C5381" s="12" t="inlineStr">
        <is>
          <t>Modular / portable power</t>
        </is>
      </c>
      <c r="D5381" s="12" t="inlineStr">
        <is>
          <t>Motor 3 of 6, 22 kW</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LV|3/C+G|8</t>
        </is>
      </c>
      <c r="L5381" s="12" t="inlineStr">
        <is>
          <t>3/C+G</t>
        </is>
      </c>
      <c r="M5381" s="12" t="inlineStr">
        <is>
          <t>8</t>
        </is>
      </c>
      <c r="N5381" s="12" t="n">
        <v>1</v>
      </c>
      <c r="O5381" s="12" t="n">
        <v>1</v>
      </c>
      <c r="P5381" s="12" t="n">
        <v>480</v>
      </c>
      <c r="Q5381" s="12" t="n">
        <v>22</v>
      </c>
      <c r="R5381" s="12" t="n">
        <v>31.1</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2.0 %</t>
        </is>
      </c>
      <c r="AA5381" s="12">
        <f>N5381*O5381</f>
        <v/>
      </c>
    </row>
    <row r="5382">
      <c r="A5382" s="12" t="inlineStr">
        <is>
          <t>I-P-0218</t>
        </is>
      </c>
      <c r="B5382" s="12" t="inlineStr">
        <is>
          <t>I</t>
        </is>
      </c>
      <c r="C5382" s="12" t="inlineStr">
        <is>
          <t>Modular / portable power</t>
        </is>
      </c>
      <c r="D5382" s="12" t="inlineStr">
        <is>
          <t>Motor 4 of 6, 22 kW</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LV|3/C+G|8</t>
        </is>
      </c>
      <c r="L5382" s="12" t="inlineStr">
        <is>
          <t>3/C+G</t>
        </is>
      </c>
      <c r="M5382" s="12" t="inlineStr">
        <is>
          <t>8</t>
        </is>
      </c>
      <c r="N5382" s="12" t="n">
        <v>1</v>
      </c>
      <c r="O5382" s="12" t="n">
        <v>1</v>
      </c>
      <c r="P5382" s="12" t="n">
        <v>480</v>
      </c>
      <c r="Q5382" s="12" t="n">
        <v>22</v>
      </c>
      <c r="R5382" s="12" t="n">
        <v>31.1</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2.0 %</t>
        </is>
      </c>
      <c r="AA5382" s="12">
        <f>N5382*O5382</f>
        <v/>
      </c>
    </row>
    <row r="5383">
      <c r="A5383" s="12" t="inlineStr">
        <is>
          <t>I-P-0219</t>
        </is>
      </c>
      <c r="B5383" s="12" t="inlineStr">
        <is>
          <t>I</t>
        </is>
      </c>
      <c r="C5383" s="12" t="inlineStr">
        <is>
          <t>Modular / portable power</t>
        </is>
      </c>
      <c r="D5383" s="12" t="inlineStr">
        <is>
          <t>Motor 5 of 6, 22 kW</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2.0 %</t>
        </is>
      </c>
      <c r="AA5383" s="12">
        <f>N5383*O5383</f>
        <v/>
      </c>
    </row>
    <row r="5384">
      <c r="A5384" s="12" t="inlineStr">
        <is>
          <t>I-P-0220</t>
        </is>
      </c>
      <c r="B5384" s="12" t="inlineStr">
        <is>
          <t>I</t>
        </is>
      </c>
      <c r="C5384" s="12" t="inlineStr">
        <is>
          <t>Modular / portable power</t>
        </is>
      </c>
      <c r="D5384" s="12" t="inlineStr">
        <is>
          <t>Motor 6 of 6, 22 kW</t>
        </is>
      </c>
      <c r="E5384" s="12" t="inlineStr"/>
      <c r="F5384" s="12" t="inlineStr">
        <is>
          <t>PCM: power control module</t>
        </is>
      </c>
      <c r="G5384" s="12" t="inlineStr">
        <is>
          <t>RICE-6</t>
        </is>
      </c>
      <c r="H5384" s="12" t="inlineStr">
        <is>
          <t>RICE engine-generator 6</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153</v>
      </c>
      <c r="V5384" s="15">
        <f>ROUNDUP((T5384+U5384+2*'Read Me'!$B$13)*(1+'Read Me'!$B$12),-1)</f>
        <v/>
      </c>
      <c r="W5384" s="15">
        <f>V5384*N5384*O5384</f>
        <v/>
      </c>
      <c r="X5384" s="12">
        <f>IF(LEFT(I5384,2)="MV",2*N5384*IF(L5384="1/C",O5384,1),0)</f>
        <v/>
      </c>
      <c r="Y5384" s="12">
        <f>IF(OR(LEFT(K5384,4)="LVAX",LEFT(K5384,6)="MV15AX",LEFT(K5384,4)="CTAX",LEFT(K5384,2)="W|"),2*N5384*O5384,0)</f>
        <v/>
      </c>
      <c r="Z5384" s="12" t="inlineStr">
        <is>
          <t>VD 2.0 %</t>
        </is>
      </c>
      <c r="AA5384" s="12">
        <f>N5384*O5384</f>
        <v/>
      </c>
    </row>
    <row r="5385">
      <c r="A5385" s="12" t="inlineStr">
        <is>
          <t>I-P-0221</t>
        </is>
      </c>
      <c r="B5385" s="12" t="inlineStr">
        <is>
          <t>I</t>
        </is>
      </c>
      <c r="C5385" s="12" t="inlineStr">
        <is>
          <t>Modular / portable power</t>
        </is>
      </c>
      <c r="D5385" s="12" t="inlineStr">
        <is>
          <t>480 V welding receptacle 1</t>
        </is>
      </c>
      <c r="E5385" s="12" t="inlineStr"/>
      <c r="F5385" s="12" t="inlineStr">
        <is>
          <t>PCM: power control module</t>
        </is>
      </c>
      <c r="G5385" s="12" t="inlineStr">
        <is>
          <t>RICE-6</t>
        </is>
      </c>
      <c r="H5385" s="12" t="inlineStr">
        <is>
          <t>RICE engine-generator 6</t>
        </is>
      </c>
      <c r="I5385" s="12" t="inlineStr">
        <is>
          <t>LV 600 V</t>
        </is>
      </c>
      <c r="J5385" s="12" t="inlineStr">
        <is>
          <t>Type TC-ER 600 V 3/C Cu XHHW-2 + ground, PVC jacket</t>
        </is>
      </c>
      <c r="K5385" s="12" t="inlineStr">
        <is>
          <t>LV|3/C+G|2</t>
        </is>
      </c>
      <c r="L5385" s="12" t="inlineStr">
        <is>
          <t>3/C+G</t>
        </is>
      </c>
      <c r="M5385" s="12" t="inlineStr">
        <is>
          <t>2</t>
        </is>
      </c>
      <c r="N5385" s="12" t="n">
        <v>1</v>
      </c>
      <c r="O5385" s="12" t="n">
        <v>1</v>
      </c>
      <c r="P5385" s="12" t="n">
        <v>480</v>
      </c>
      <c r="Q5385" s="12" t="n">
        <v>60</v>
      </c>
      <c r="R5385" s="12" t="n">
        <v>76</v>
      </c>
      <c r="S5385" s="12" t="inlineStr">
        <is>
          <t>Duct bank</t>
        </is>
      </c>
      <c r="T5385" s="15" t="n">
        <v>57</v>
      </c>
      <c r="U5385" s="15" t="n">
        <v>153</v>
      </c>
      <c r="V5385" s="15">
        <f>ROUNDUP((T5385+U5385+2*'Read Me'!$B$13)*(1+'Read Me'!$B$12),-1)</f>
        <v/>
      </c>
      <c r="W5385" s="15">
        <f>V5385*N5385*O5385</f>
        <v/>
      </c>
      <c r="X5385" s="12">
        <f>IF(LEFT(I5385,2)="MV",2*N5385*IF(L5385="1/C",O5385,1),0)</f>
        <v/>
      </c>
      <c r="Y5385" s="12">
        <f>IF(OR(LEFT(K5385,4)="LVAX",LEFT(K5385,6)="MV15AX",LEFT(K5385,4)="CTAX",LEFT(K5385,2)="W|"),2*N5385*O5385,0)</f>
        <v/>
      </c>
      <c r="Z5385" s="12" t="inlineStr">
        <is>
          <t>VD 1.2 %</t>
        </is>
      </c>
      <c r="AA5385" s="12">
        <f>N5385*O5385</f>
        <v/>
      </c>
    </row>
    <row r="5386">
      <c r="A5386" s="12" t="inlineStr">
        <is>
          <t>I-P-0222</t>
        </is>
      </c>
      <c r="B5386" s="12" t="inlineStr">
        <is>
          <t>I</t>
        </is>
      </c>
      <c r="C5386" s="12" t="inlineStr">
        <is>
          <t>Modular / portable power</t>
        </is>
      </c>
      <c r="D5386" s="12" t="inlineStr">
        <is>
          <t>480 V welding receptacle 2</t>
        </is>
      </c>
      <c r="E5386" s="12" t="inlineStr"/>
      <c r="F5386" s="12" t="inlineStr">
        <is>
          <t>PCM: power control module</t>
        </is>
      </c>
      <c r="G5386" s="12" t="inlineStr">
        <is>
          <t>RICE-6</t>
        </is>
      </c>
      <c r="H5386" s="12" t="inlineStr">
        <is>
          <t>RICE engine-generator 6</t>
        </is>
      </c>
      <c r="I5386" s="12" t="inlineStr">
        <is>
          <t>LV 600 V</t>
        </is>
      </c>
      <c r="J5386" s="12" t="inlineStr">
        <is>
          <t>Type TC-ER 600 V 3/C Cu XHHW-2 + ground, PVC jacket</t>
        </is>
      </c>
      <c r="K5386" s="12" t="inlineStr">
        <is>
          <t>LV|3/C+G|2</t>
        </is>
      </c>
      <c r="L5386" s="12" t="inlineStr">
        <is>
          <t>3/C+G</t>
        </is>
      </c>
      <c r="M5386" s="12" t="inlineStr">
        <is>
          <t>2</t>
        </is>
      </c>
      <c r="N5386" s="12" t="n">
        <v>1</v>
      </c>
      <c r="O5386" s="12" t="n">
        <v>1</v>
      </c>
      <c r="P5386" s="12" t="n">
        <v>480</v>
      </c>
      <c r="Q5386" s="12" t="n">
        <v>60</v>
      </c>
      <c r="R5386" s="12" t="n">
        <v>76</v>
      </c>
      <c r="S5386" s="12" t="inlineStr">
        <is>
          <t>Duct bank</t>
        </is>
      </c>
      <c r="T5386" s="15" t="n">
        <v>57</v>
      </c>
      <c r="U5386" s="15" t="n">
        <v>153</v>
      </c>
      <c r="V5386" s="15">
        <f>ROUNDUP((T5386+U5386+2*'Read Me'!$B$13)*(1+'Read Me'!$B$12),-1)</f>
        <v/>
      </c>
      <c r="W5386" s="15">
        <f>V5386*N5386*O5386</f>
        <v/>
      </c>
      <c r="X5386" s="12">
        <f>IF(LEFT(I5386,2)="MV",2*N5386*IF(L5386="1/C",O5386,1),0)</f>
        <v/>
      </c>
      <c r="Y5386" s="12">
        <f>IF(OR(LEFT(K5386,4)="LVAX",LEFT(K5386,6)="MV15AX",LEFT(K5386,4)="CTAX",LEFT(K5386,2)="W|"),2*N5386*O5386,0)</f>
        <v/>
      </c>
      <c r="Z5386" s="12" t="inlineStr">
        <is>
          <t>VD 1.2 %</t>
        </is>
      </c>
      <c r="AA5386" s="12">
        <f>N5386*O5386</f>
        <v/>
      </c>
    </row>
    <row r="5387">
      <c r="A5387" s="12" t="inlineStr">
        <is>
          <t>I-P-0223</t>
        </is>
      </c>
      <c r="B5387" s="12" t="inlineStr">
        <is>
          <t>I</t>
        </is>
      </c>
      <c r="C5387" s="12" t="inlineStr">
        <is>
          <t>Modular / portable power</t>
        </is>
      </c>
      <c r="D5387" s="12" t="inlineStr">
        <is>
          <t>480 V welding receptacle 3</t>
        </is>
      </c>
      <c r="E5387" s="12" t="inlineStr"/>
      <c r="F5387" s="12" t="inlineStr">
        <is>
          <t>PCM: power control module</t>
        </is>
      </c>
      <c r="G5387" s="12" t="inlineStr">
        <is>
          <t>RICE-6</t>
        </is>
      </c>
      <c r="H5387" s="12" t="inlineStr">
        <is>
          <t>RICE engine-generator 6</t>
        </is>
      </c>
      <c r="I5387" s="12" t="inlineStr">
        <is>
          <t>LV 600 V</t>
        </is>
      </c>
      <c r="J5387" s="12" t="inlineStr">
        <is>
          <t>Type TC-ER 600 V 3/C Cu XHHW-2 + ground, PVC jacket</t>
        </is>
      </c>
      <c r="K5387" s="12" t="inlineStr">
        <is>
          <t>LV|3/C+G|2</t>
        </is>
      </c>
      <c r="L5387" s="12" t="inlineStr">
        <is>
          <t>3/C+G</t>
        </is>
      </c>
      <c r="M5387" s="12" t="inlineStr">
        <is>
          <t>2</t>
        </is>
      </c>
      <c r="N5387" s="12" t="n">
        <v>1</v>
      </c>
      <c r="O5387" s="12" t="n">
        <v>1</v>
      </c>
      <c r="P5387" s="12" t="n">
        <v>480</v>
      </c>
      <c r="Q5387" s="12" t="n">
        <v>60</v>
      </c>
      <c r="R5387" s="12" t="n">
        <v>76</v>
      </c>
      <c r="S5387" s="12" t="inlineStr">
        <is>
          <t>Duct bank</t>
        </is>
      </c>
      <c r="T5387" s="15" t="n">
        <v>57</v>
      </c>
      <c r="U5387" s="15" t="n">
        <v>153</v>
      </c>
      <c r="V5387" s="15">
        <f>ROUNDUP((T5387+U5387+2*'Read Me'!$B$13)*(1+'Read Me'!$B$12),-1)</f>
        <v/>
      </c>
      <c r="W5387" s="15">
        <f>V5387*N5387*O5387</f>
        <v/>
      </c>
      <c r="X5387" s="12">
        <f>IF(LEFT(I5387,2)="MV",2*N5387*IF(L5387="1/C",O5387,1),0)</f>
        <v/>
      </c>
      <c r="Y5387" s="12">
        <f>IF(OR(LEFT(K5387,4)="LVAX",LEFT(K5387,6)="MV15AX",LEFT(K5387,4)="CTAX",LEFT(K5387,2)="W|"),2*N5387*O5387,0)</f>
        <v/>
      </c>
      <c r="Z5387" s="12" t="inlineStr">
        <is>
          <t>VD 1.2 %</t>
        </is>
      </c>
      <c r="AA5387" s="12">
        <f>N5387*O5387</f>
        <v/>
      </c>
    </row>
    <row r="5388">
      <c r="A5388" s="12" t="inlineStr">
        <is>
          <t>I-P-0224</t>
        </is>
      </c>
      <c r="B5388" s="12" t="inlineStr">
        <is>
          <t>I</t>
        </is>
      </c>
      <c r="C5388" s="12" t="inlineStr">
        <is>
          <t>Modular / portable power</t>
        </is>
      </c>
      <c r="D5388" s="12" t="inlineStr">
        <is>
          <t>480 V welding receptacle 4</t>
        </is>
      </c>
      <c r="E5388" s="12" t="inlineStr"/>
      <c r="F5388" s="12" t="inlineStr">
        <is>
          <t>PCM: power control module</t>
        </is>
      </c>
      <c r="G5388" s="12" t="inlineStr">
        <is>
          <t>RICE-6</t>
        </is>
      </c>
      <c r="H5388" s="12" t="inlineStr">
        <is>
          <t>RICE engine-generator 6</t>
        </is>
      </c>
      <c r="I5388" s="12" t="inlineStr">
        <is>
          <t>LV 600 V</t>
        </is>
      </c>
      <c r="J5388" s="12" t="inlineStr">
        <is>
          <t>Type TC-ER 600 V 3/C Cu XHHW-2 + ground, PVC jacket</t>
        </is>
      </c>
      <c r="K5388" s="12" t="inlineStr">
        <is>
          <t>LV|3/C+G|2</t>
        </is>
      </c>
      <c r="L5388" s="12" t="inlineStr">
        <is>
          <t>3/C+G</t>
        </is>
      </c>
      <c r="M5388" s="12" t="inlineStr">
        <is>
          <t>2</t>
        </is>
      </c>
      <c r="N5388" s="12" t="n">
        <v>1</v>
      </c>
      <c r="O5388" s="12" t="n">
        <v>1</v>
      </c>
      <c r="P5388" s="12" t="n">
        <v>480</v>
      </c>
      <c r="Q5388" s="12" t="n">
        <v>60</v>
      </c>
      <c r="R5388" s="12" t="n">
        <v>76</v>
      </c>
      <c r="S5388" s="12" t="inlineStr">
        <is>
          <t>Duct bank</t>
        </is>
      </c>
      <c r="T5388" s="15" t="n">
        <v>57</v>
      </c>
      <c r="U5388" s="15" t="n">
        <v>153</v>
      </c>
      <c r="V5388" s="15">
        <f>ROUNDUP((T5388+U5388+2*'Read Me'!$B$13)*(1+'Read Me'!$B$12),-1)</f>
        <v/>
      </c>
      <c r="W5388" s="15">
        <f>V5388*N5388*O5388</f>
        <v/>
      </c>
      <c r="X5388" s="12">
        <f>IF(LEFT(I5388,2)="MV",2*N5388*IF(L5388="1/C",O5388,1),0)</f>
        <v/>
      </c>
      <c r="Y5388" s="12">
        <f>IF(OR(LEFT(K5388,4)="LVAX",LEFT(K5388,6)="MV15AX",LEFT(K5388,4)="CTAX",LEFT(K5388,2)="W|"),2*N5388*O5388,0)</f>
        <v/>
      </c>
      <c r="Z5388" s="12" t="inlineStr">
        <is>
          <t>VD 1.2 %</t>
        </is>
      </c>
      <c r="AA5388" s="12">
        <f>N5388*O5388</f>
        <v/>
      </c>
    </row>
    <row r="5389">
      <c r="A5389" s="12" t="inlineStr">
        <is>
          <t>I-P-0225</t>
        </is>
      </c>
      <c r="B5389" s="12" t="inlineStr">
        <is>
          <t>I</t>
        </is>
      </c>
      <c r="C5389" s="12" t="inlineStr">
        <is>
          <t>Modular / portable power</t>
        </is>
      </c>
      <c r="D5389" s="12" t="inlineStr">
        <is>
          <t>Motor 1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I-P-0226</t>
        </is>
      </c>
      <c r="B5390" s="12" t="inlineStr">
        <is>
          <t>I</t>
        </is>
      </c>
      <c r="C5390" s="12" t="inlineStr">
        <is>
          <t>Modular / portable power</t>
        </is>
      </c>
      <c r="D5390" s="12" t="inlineStr">
        <is>
          <t>Motor 2 of 6, 22 kW</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LV|3/C+G|8</t>
        </is>
      </c>
      <c r="L5390" s="12" t="inlineStr">
        <is>
          <t>3/C+G</t>
        </is>
      </c>
      <c r="M5390" s="12" t="inlineStr">
        <is>
          <t>8</t>
        </is>
      </c>
      <c r="N5390" s="12" t="n">
        <v>1</v>
      </c>
      <c r="O5390" s="12" t="n">
        <v>1</v>
      </c>
      <c r="P5390" s="12" t="n">
        <v>480</v>
      </c>
      <c r="Q5390" s="12" t="n">
        <v>22</v>
      </c>
      <c r="R5390" s="12" t="n">
        <v>31.1</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1.7 %</t>
        </is>
      </c>
      <c r="AA5390" s="12">
        <f>N5390*O5390</f>
        <v/>
      </c>
    </row>
    <row r="5391">
      <c r="A5391" s="12" t="inlineStr">
        <is>
          <t>I-P-0227</t>
        </is>
      </c>
      <c r="B5391" s="12" t="inlineStr">
        <is>
          <t>I</t>
        </is>
      </c>
      <c r="C5391" s="12" t="inlineStr">
        <is>
          <t>Modular / portable power</t>
        </is>
      </c>
      <c r="D5391" s="12" t="inlineStr">
        <is>
          <t>Motor 3 of 6, 22 kW</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LV|3/C+G|8</t>
        </is>
      </c>
      <c r="L5391" s="12" t="inlineStr">
        <is>
          <t>3/C+G</t>
        </is>
      </c>
      <c r="M5391" s="12" t="inlineStr">
        <is>
          <t>8</t>
        </is>
      </c>
      <c r="N5391" s="12" t="n">
        <v>1</v>
      </c>
      <c r="O5391" s="12" t="n">
        <v>1</v>
      </c>
      <c r="P5391" s="12" t="n">
        <v>480</v>
      </c>
      <c r="Q5391" s="12" t="n">
        <v>22</v>
      </c>
      <c r="R5391" s="12" t="n">
        <v>31.1</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1.7 %</t>
        </is>
      </c>
      <c r="AA5391" s="12">
        <f>N5391*O5391</f>
        <v/>
      </c>
    </row>
    <row r="5392">
      <c r="A5392" s="12" t="inlineStr">
        <is>
          <t>I-P-0228</t>
        </is>
      </c>
      <c r="B5392" s="12" t="inlineStr">
        <is>
          <t>I</t>
        </is>
      </c>
      <c r="C5392" s="12" t="inlineStr">
        <is>
          <t>Modular / portable power</t>
        </is>
      </c>
      <c r="D5392" s="12" t="inlineStr">
        <is>
          <t>Motor 4 of 6, 22 kW</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LV|3/C+G|8</t>
        </is>
      </c>
      <c r="L5392" s="12" t="inlineStr">
        <is>
          <t>3/C+G</t>
        </is>
      </c>
      <c r="M5392" s="12" t="inlineStr">
        <is>
          <t>8</t>
        </is>
      </c>
      <c r="N5392" s="12" t="n">
        <v>1</v>
      </c>
      <c r="O5392" s="12" t="n">
        <v>1</v>
      </c>
      <c r="P5392" s="12" t="n">
        <v>480</v>
      </c>
      <c r="Q5392" s="12" t="n">
        <v>22</v>
      </c>
      <c r="R5392" s="12" t="n">
        <v>31.1</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1.7 %</t>
        </is>
      </c>
      <c r="AA5392" s="12">
        <f>N5392*O5392</f>
        <v/>
      </c>
    </row>
    <row r="5393">
      <c r="A5393" s="12" t="inlineStr">
        <is>
          <t>I-P-0229</t>
        </is>
      </c>
      <c r="B5393" s="12" t="inlineStr">
        <is>
          <t>I</t>
        </is>
      </c>
      <c r="C5393" s="12" t="inlineStr">
        <is>
          <t>Modular / portable power</t>
        </is>
      </c>
      <c r="D5393" s="12" t="inlineStr">
        <is>
          <t>Motor 5 of 6, 22 kW</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1.7 %</t>
        </is>
      </c>
      <c r="AA5393" s="12">
        <f>N5393*O5393</f>
        <v/>
      </c>
    </row>
    <row r="5394">
      <c r="A5394" s="12" t="inlineStr">
        <is>
          <t>I-P-0230</t>
        </is>
      </c>
      <c r="B5394" s="12" t="inlineStr">
        <is>
          <t>I</t>
        </is>
      </c>
      <c r="C5394" s="12" t="inlineStr">
        <is>
          <t>Modular / portable power</t>
        </is>
      </c>
      <c r="D5394" s="12" t="inlineStr">
        <is>
          <t>Motor 6 of 6, 22 kW</t>
        </is>
      </c>
      <c r="E5394" s="12" t="inlineStr"/>
      <c r="F5394" s="12" t="inlineStr">
        <is>
          <t>PCM: power control module</t>
        </is>
      </c>
      <c r="G5394" s="12" t="inlineStr">
        <is>
          <t>RICE-7</t>
        </is>
      </c>
      <c r="H5394" s="12" t="inlineStr">
        <is>
          <t>RICE engine-generator 7</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125</v>
      </c>
      <c r="V5394" s="15">
        <f>ROUNDUP((T5394+U5394+2*'Read Me'!$B$13)*(1+'Read Me'!$B$12),-1)</f>
        <v/>
      </c>
      <c r="W5394" s="15">
        <f>V5394*N5394*O5394</f>
        <v/>
      </c>
      <c r="X5394" s="12">
        <f>IF(LEFT(I5394,2)="MV",2*N5394*IF(L5394="1/C",O5394,1),0)</f>
        <v/>
      </c>
      <c r="Y5394" s="12">
        <f>IF(OR(LEFT(K5394,4)="LVAX",LEFT(K5394,6)="MV15AX",LEFT(K5394,4)="CTAX",LEFT(K5394,2)="W|"),2*N5394*O5394,0)</f>
        <v/>
      </c>
      <c r="Z5394" s="12" t="inlineStr">
        <is>
          <t>VD 1.7 %</t>
        </is>
      </c>
      <c r="AA5394" s="12">
        <f>N5394*O5394</f>
        <v/>
      </c>
    </row>
    <row r="5395">
      <c r="A5395" s="12" t="inlineStr">
        <is>
          <t>I-P-0231</t>
        </is>
      </c>
      <c r="B5395" s="12" t="inlineStr">
        <is>
          <t>I</t>
        </is>
      </c>
      <c r="C5395" s="12" t="inlineStr">
        <is>
          <t>Modular / portable power</t>
        </is>
      </c>
      <c r="D5395" s="12" t="inlineStr">
        <is>
          <t>480 V welding receptacle 1</t>
        </is>
      </c>
      <c r="E5395" s="12" t="inlineStr"/>
      <c r="F5395" s="12" t="inlineStr">
        <is>
          <t>PCM: power control module</t>
        </is>
      </c>
      <c r="G5395" s="12" t="inlineStr">
        <is>
          <t>RICE-7</t>
        </is>
      </c>
      <c r="H5395" s="12" t="inlineStr">
        <is>
          <t>RICE engine-generator 7</t>
        </is>
      </c>
      <c r="I5395" s="12" t="inlineStr">
        <is>
          <t>LV 600 V</t>
        </is>
      </c>
      <c r="J5395" s="12" t="inlineStr">
        <is>
          <t>Type TC-ER 600 V 3/C Cu XHHW-2 + ground, PVC jacket</t>
        </is>
      </c>
      <c r="K5395" s="12" t="inlineStr">
        <is>
          <t>LV|3/C+G|2</t>
        </is>
      </c>
      <c r="L5395" s="12" t="inlineStr">
        <is>
          <t>3/C+G</t>
        </is>
      </c>
      <c r="M5395" s="12" t="inlineStr">
        <is>
          <t>2</t>
        </is>
      </c>
      <c r="N5395" s="12" t="n">
        <v>1</v>
      </c>
      <c r="O5395" s="12" t="n">
        <v>1</v>
      </c>
      <c r="P5395" s="12" t="n">
        <v>480</v>
      </c>
      <c r="Q5395" s="12" t="n">
        <v>60</v>
      </c>
      <c r="R5395" s="12" t="n">
        <v>76</v>
      </c>
      <c r="S5395" s="12" t="inlineStr">
        <is>
          <t>Duct bank</t>
        </is>
      </c>
      <c r="T5395" s="15" t="n">
        <v>57</v>
      </c>
      <c r="U5395" s="15" t="n">
        <v>125</v>
      </c>
      <c r="V5395" s="15">
        <f>ROUNDUP((T5395+U5395+2*'Read Me'!$B$13)*(1+'Read Me'!$B$12),-1)</f>
        <v/>
      </c>
      <c r="W5395" s="15">
        <f>V5395*N5395*O5395</f>
        <v/>
      </c>
      <c r="X5395" s="12">
        <f>IF(LEFT(I5395,2)="MV",2*N5395*IF(L5395="1/C",O5395,1),0)</f>
        <v/>
      </c>
      <c r="Y5395" s="12">
        <f>IF(OR(LEFT(K5395,4)="LVAX",LEFT(K5395,6)="MV15AX",LEFT(K5395,4)="CTAX",LEFT(K5395,2)="W|"),2*N5395*O5395,0)</f>
        <v/>
      </c>
      <c r="Z5395" s="12" t="inlineStr">
        <is>
          <t>VD 1.1 %</t>
        </is>
      </c>
      <c r="AA5395" s="12">
        <f>N5395*O5395</f>
        <v/>
      </c>
    </row>
    <row r="5396">
      <c r="A5396" s="12" t="inlineStr">
        <is>
          <t>I-P-0232</t>
        </is>
      </c>
      <c r="B5396" s="12" t="inlineStr">
        <is>
          <t>I</t>
        </is>
      </c>
      <c r="C5396" s="12" t="inlineStr">
        <is>
          <t>Modular / portable power</t>
        </is>
      </c>
      <c r="D5396" s="12" t="inlineStr">
        <is>
          <t>480 V welding receptacle 2</t>
        </is>
      </c>
      <c r="E5396" s="12" t="inlineStr"/>
      <c r="F5396" s="12" t="inlineStr">
        <is>
          <t>PCM: power control module</t>
        </is>
      </c>
      <c r="G5396" s="12" t="inlineStr">
        <is>
          <t>RICE-7</t>
        </is>
      </c>
      <c r="H5396" s="12" t="inlineStr">
        <is>
          <t>RICE engine-generator 7</t>
        </is>
      </c>
      <c r="I5396" s="12" t="inlineStr">
        <is>
          <t>LV 600 V</t>
        </is>
      </c>
      <c r="J5396" s="12" t="inlineStr">
        <is>
          <t>Type TC-ER 600 V 3/C Cu XHHW-2 + ground, PVC jacket</t>
        </is>
      </c>
      <c r="K5396" s="12" t="inlineStr">
        <is>
          <t>LV|3/C+G|2</t>
        </is>
      </c>
      <c r="L5396" s="12" t="inlineStr">
        <is>
          <t>3/C+G</t>
        </is>
      </c>
      <c r="M5396" s="12" t="inlineStr">
        <is>
          <t>2</t>
        </is>
      </c>
      <c r="N5396" s="12" t="n">
        <v>1</v>
      </c>
      <c r="O5396" s="12" t="n">
        <v>1</v>
      </c>
      <c r="P5396" s="12" t="n">
        <v>480</v>
      </c>
      <c r="Q5396" s="12" t="n">
        <v>60</v>
      </c>
      <c r="R5396" s="12" t="n">
        <v>76</v>
      </c>
      <c r="S5396" s="12" t="inlineStr">
        <is>
          <t>Duct bank</t>
        </is>
      </c>
      <c r="T5396" s="15" t="n">
        <v>57</v>
      </c>
      <c r="U5396" s="15" t="n">
        <v>125</v>
      </c>
      <c r="V5396" s="15">
        <f>ROUNDUP((T5396+U5396+2*'Read Me'!$B$13)*(1+'Read Me'!$B$12),-1)</f>
        <v/>
      </c>
      <c r="W5396" s="15">
        <f>V5396*N5396*O5396</f>
        <v/>
      </c>
      <c r="X5396" s="12">
        <f>IF(LEFT(I5396,2)="MV",2*N5396*IF(L5396="1/C",O5396,1),0)</f>
        <v/>
      </c>
      <c r="Y5396" s="12">
        <f>IF(OR(LEFT(K5396,4)="LVAX",LEFT(K5396,6)="MV15AX",LEFT(K5396,4)="CTAX",LEFT(K5396,2)="W|"),2*N5396*O5396,0)</f>
        <v/>
      </c>
      <c r="Z5396" s="12" t="inlineStr">
        <is>
          <t>VD 1.1 %</t>
        </is>
      </c>
      <c r="AA5396" s="12">
        <f>N5396*O5396</f>
        <v/>
      </c>
    </row>
    <row r="5397">
      <c r="A5397" s="12" t="inlineStr">
        <is>
          <t>I-P-0233</t>
        </is>
      </c>
      <c r="B5397" s="12" t="inlineStr">
        <is>
          <t>I</t>
        </is>
      </c>
      <c r="C5397" s="12" t="inlineStr">
        <is>
          <t>Modular / portable power</t>
        </is>
      </c>
      <c r="D5397" s="12" t="inlineStr">
        <is>
          <t>480 V welding receptacle 3</t>
        </is>
      </c>
      <c r="E5397" s="12" t="inlineStr"/>
      <c r="F5397" s="12" t="inlineStr">
        <is>
          <t>PCM: power control module</t>
        </is>
      </c>
      <c r="G5397" s="12" t="inlineStr">
        <is>
          <t>RICE-7</t>
        </is>
      </c>
      <c r="H5397" s="12" t="inlineStr">
        <is>
          <t>RICE engine-generator 7</t>
        </is>
      </c>
      <c r="I5397" s="12" t="inlineStr">
        <is>
          <t>LV 600 V</t>
        </is>
      </c>
      <c r="J5397" s="12" t="inlineStr">
        <is>
          <t>Type TC-ER 600 V 3/C Cu XHHW-2 + ground, PVC jacket</t>
        </is>
      </c>
      <c r="K5397" s="12" t="inlineStr">
        <is>
          <t>LV|3/C+G|2</t>
        </is>
      </c>
      <c r="L5397" s="12" t="inlineStr">
        <is>
          <t>3/C+G</t>
        </is>
      </c>
      <c r="M5397" s="12" t="inlineStr">
        <is>
          <t>2</t>
        </is>
      </c>
      <c r="N5397" s="12" t="n">
        <v>1</v>
      </c>
      <c r="O5397" s="12" t="n">
        <v>1</v>
      </c>
      <c r="P5397" s="12" t="n">
        <v>480</v>
      </c>
      <c r="Q5397" s="12" t="n">
        <v>60</v>
      </c>
      <c r="R5397" s="12" t="n">
        <v>76</v>
      </c>
      <c r="S5397" s="12" t="inlineStr">
        <is>
          <t>Duct bank</t>
        </is>
      </c>
      <c r="T5397" s="15" t="n">
        <v>57</v>
      </c>
      <c r="U5397" s="15" t="n">
        <v>125</v>
      </c>
      <c r="V5397" s="15">
        <f>ROUNDUP((T5397+U5397+2*'Read Me'!$B$13)*(1+'Read Me'!$B$12),-1)</f>
        <v/>
      </c>
      <c r="W5397" s="15">
        <f>V5397*N5397*O5397</f>
        <v/>
      </c>
      <c r="X5397" s="12">
        <f>IF(LEFT(I5397,2)="MV",2*N5397*IF(L5397="1/C",O5397,1),0)</f>
        <v/>
      </c>
      <c r="Y5397" s="12">
        <f>IF(OR(LEFT(K5397,4)="LVAX",LEFT(K5397,6)="MV15AX",LEFT(K5397,4)="CTAX",LEFT(K5397,2)="W|"),2*N5397*O5397,0)</f>
        <v/>
      </c>
      <c r="Z5397" s="12" t="inlineStr">
        <is>
          <t>VD 1.1 %</t>
        </is>
      </c>
      <c r="AA5397" s="12">
        <f>N5397*O5397</f>
        <v/>
      </c>
    </row>
    <row r="5398">
      <c r="A5398" s="12" t="inlineStr">
        <is>
          <t>I-P-0234</t>
        </is>
      </c>
      <c r="B5398" s="12" t="inlineStr">
        <is>
          <t>I</t>
        </is>
      </c>
      <c r="C5398" s="12" t="inlineStr">
        <is>
          <t>Modular / portable power</t>
        </is>
      </c>
      <c r="D5398" s="12" t="inlineStr">
        <is>
          <t>480 V welding receptacle 4</t>
        </is>
      </c>
      <c r="E5398" s="12" t="inlineStr"/>
      <c r="F5398" s="12" t="inlineStr">
        <is>
          <t>PCM: power control module</t>
        </is>
      </c>
      <c r="G5398" s="12" t="inlineStr">
        <is>
          <t>RICE-7</t>
        </is>
      </c>
      <c r="H5398" s="12" t="inlineStr">
        <is>
          <t>RICE engine-generator 7</t>
        </is>
      </c>
      <c r="I5398" s="12" t="inlineStr">
        <is>
          <t>LV 600 V</t>
        </is>
      </c>
      <c r="J5398" s="12" t="inlineStr">
        <is>
          <t>Type TC-ER 600 V 3/C Cu XHHW-2 + ground, PVC jacket</t>
        </is>
      </c>
      <c r="K5398" s="12" t="inlineStr">
        <is>
          <t>LV|3/C+G|2</t>
        </is>
      </c>
      <c r="L5398" s="12" t="inlineStr">
        <is>
          <t>3/C+G</t>
        </is>
      </c>
      <c r="M5398" s="12" t="inlineStr">
        <is>
          <t>2</t>
        </is>
      </c>
      <c r="N5398" s="12" t="n">
        <v>1</v>
      </c>
      <c r="O5398" s="12" t="n">
        <v>1</v>
      </c>
      <c r="P5398" s="12" t="n">
        <v>480</v>
      </c>
      <c r="Q5398" s="12" t="n">
        <v>60</v>
      </c>
      <c r="R5398" s="12" t="n">
        <v>76</v>
      </c>
      <c r="S5398" s="12" t="inlineStr">
        <is>
          <t>Duct bank</t>
        </is>
      </c>
      <c r="T5398" s="15" t="n">
        <v>57</v>
      </c>
      <c r="U5398" s="15" t="n">
        <v>125</v>
      </c>
      <c r="V5398" s="15">
        <f>ROUNDUP((T5398+U5398+2*'Read Me'!$B$13)*(1+'Read Me'!$B$12),-1)</f>
        <v/>
      </c>
      <c r="W5398" s="15">
        <f>V5398*N5398*O5398</f>
        <v/>
      </c>
      <c r="X5398" s="12">
        <f>IF(LEFT(I5398,2)="MV",2*N5398*IF(L5398="1/C",O5398,1),0)</f>
        <v/>
      </c>
      <c r="Y5398" s="12">
        <f>IF(OR(LEFT(K5398,4)="LVAX",LEFT(K5398,6)="MV15AX",LEFT(K5398,4)="CTAX",LEFT(K5398,2)="W|"),2*N5398*O5398,0)</f>
        <v/>
      </c>
      <c r="Z5398" s="12" t="inlineStr">
        <is>
          <t>VD 1.1 %</t>
        </is>
      </c>
      <c r="AA5398" s="12">
        <f>N5398*O5398</f>
        <v/>
      </c>
    </row>
    <row r="5399">
      <c r="A5399" s="12" t="inlineStr">
        <is>
          <t>I-P-0235</t>
        </is>
      </c>
      <c r="B5399" s="12" t="inlineStr">
        <is>
          <t>I</t>
        </is>
      </c>
      <c r="C5399" s="12" t="inlineStr">
        <is>
          <t>Modular / portable power</t>
        </is>
      </c>
      <c r="D5399" s="12" t="inlineStr">
        <is>
          <t>Motor 1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I-P-0236</t>
        </is>
      </c>
      <c r="B5400" s="12" t="inlineStr">
        <is>
          <t>I</t>
        </is>
      </c>
      <c r="C5400" s="12" t="inlineStr">
        <is>
          <t>Modular / portable power</t>
        </is>
      </c>
      <c r="D5400" s="12" t="inlineStr">
        <is>
          <t>Motor 2 of 6, 22 kW</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LV|3/C+G|8</t>
        </is>
      </c>
      <c r="L5400" s="12" t="inlineStr">
        <is>
          <t>3/C+G</t>
        </is>
      </c>
      <c r="M5400" s="12" t="inlineStr">
        <is>
          <t>8</t>
        </is>
      </c>
      <c r="N5400" s="12" t="n">
        <v>1</v>
      </c>
      <c r="O5400" s="12" t="n">
        <v>1</v>
      </c>
      <c r="P5400" s="12" t="n">
        <v>480</v>
      </c>
      <c r="Q5400" s="12" t="n">
        <v>22</v>
      </c>
      <c r="R5400" s="12" t="n">
        <v>31.1</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1.5 %</t>
        </is>
      </c>
      <c r="AA5400" s="12">
        <f>N5400*O5400</f>
        <v/>
      </c>
    </row>
    <row r="5401">
      <c r="A5401" s="12" t="inlineStr">
        <is>
          <t>I-P-0237</t>
        </is>
      </c>
      <c r="B5401" s="12" t="inlineStr">
        <is>
          <t>I</t>
        </is>
      </c>
      <c r="C5401" s="12" t="inlineStr">
        <is>
          <t>Modular / portable power</t>
        </is>
      </c>
      <c r="D5401" s="12" t="inlineStr">
        <is>
          <t>Motor 3 of 6, 22 kW</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LV|3/C+G|8</t>
        </is>
      </c>
      <c r="L5401" s="12" t="inlineStr">
        <is>
          <t>3/C+G</t>
        </is>
      </c>
      <c r="M5401" s="12" t="inlineStr">
        <is>
          <t>8</t>
        </is>
      </c>
      <c r="N5401" s="12" t="n">
        <v>1</v>
      </c>
      <c r="O5401" s="12" t="n">
        <v>1</v>
      </c>
      <c r="P5401" s="12" t="n">
        <v>480</v>
      </c>
      <c r="Q5401" s="12" t="n">
        <v>22</v>
      </c>
      <c r="R5401" s="12" t="n">
        <v>31.1</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1.5 %</t>
        </is>
      </c>
      <c r="AA5401" s="12">
        <f>N5401*O5401</f>
        <v/>
      </c>
    </row>
    <row r="5402">
      <c r="A5402" s="12" t="inlineStr">
        <is>
          <t>I-P-0238</t>
        </is>
      </c>
      <c r="B5402" s="12" t="inlineStr">
        <is>
          <t>I</t>
        </is>
      </c>
      <c r="C5402" s="12" t="inlineStr">
        <is>
          <t>Modular / portable power</t>
        </is>
      </c>
      <c r="D5402" s="12" t="inlineStr">
        <is>
          <t>Motor 4 of 6, 22 kW</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LV|3/C+G|8</t>
        </is>
      </c>
      <c r="L5402" s="12" t="inlineStr">
        <is>
          <t>3/C+G</t>
        </is>
      </c>
      <c r="M5402" s="12" t="inlineStr">
        <is>
          <t>8</t>
        </is>
      </c>
      <c r="N5402" s="12" t="n">
        <v>1</v>
      </c>
      <c r="O5402" s="12" t="n">
        <v>1</v>
      </c>
      <c r="P5402" s="12" t="n">
        <v>480</v>
      </c>
      <c r="Q5402" s="12" t="n">
        <v>22</v>
      </c>
      <c r="R5402" s="12" t="n">
        <v>31.1</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1.5 %</t>
        </is>
      </c>
      <c r="AA5402" s="12">
        <f>N5402*O5402</f>
        <v/>
      </c>
    </row>
    <row r="5403">
      <c r="A5403" s="12" t="inlineStr">
        <is>
          <t>I-P-0239</t>
        </is>
      </c>
      <c r="B5403" s="12" t="inlineStr">
        <is>
          <t>I</t>
        </is>
      </c>
      <c r="C5403" s="12" t="inlineStr">
        <is>
          <t>Modular / portable power</t>
        </is>
      </c>
      <c r="D5403" s="12" t="inlineStr">
        <is>
          <t>Motor 5 of 6, 22 kW</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1.5 %</t>
        </is>
      </c>
      <c r="AA5403" s="12">
        <f>N5403*O5403</f>
        <v/>
      </c>
    </row>
    <row r="5404">
      <c r="A5404" s="12" t="inlineStr">
        <is>
          <t>I-P-0240</t>
        </is>
      </c>
      <c r="B5404" s="12" t="inlineStr">
        <is>
          <t>I</t>
        </is>
      </c>
      <c r="C5404" s="12" t="inlineStr">
        <is>
          <t>Modular / portable power</t>
        </is>
      </c>
      <c r="D5404" s="12" t="inlineStr">
        <is>
          <t>Motor 6 of 6, 22 kW</t>
        </is>
      </c>
      <c r="E5404" s="12" t="inlineStr"/>
      <c r="F5404" s="12" t="inlineStr">
        <is>
          <t>PCM: power control module</t>
        </is>
      </c>
      <c r="G5404" s="12" t="inlineStr">
        <is>
          <t>RICE-8</t>
        </is>
      </c>
      <c r="H5404" s="12" t="inlineStr">
        <is>
          <t>RICE engine-generator 8</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97</v>
      </c>
      <c r="V5404" s="15">
        <f>ROUNDUP((T5404+U5404+2*'Read Me'!$B$13)*(1+'Read Me'!$B$12),-1)</f>
        <v/>
      </c>
      <c r="W5404" s="15">
        <f>V5404*N5404*O5404</f>
        <v/>
      </c>
      <c r="X5404" s="12">
        <f>IF(LEFT(I5404,2)="MV",2*N5404*IF(L5404="1/C",O5404,1),0)</f>
        <v/>
      </c>
      <c r="Y5404" s="12">
        <f>IF(OR(LEFT(K5404,4)="LVAX",LEFT(K5404,6)="MV15AX",LEFT(K5404,4)="CTAX",LEFT(K5404,2)="W|"),2*N5404*O5404,0)</f>
        <v/>
      </c>
      <c r="Z5404" s="12" t="inlineStr">
        <is>
          <t>VD 1.5 %</t>
        </is>
      </c>
      <c r="AA5404" s="12">
        <f>N5404*O5404</f>
        <v/>
      </c>
    </row>
    <row r="5405">
      <c r="A5405" s="12" t="inlineStr">
        <is>
          <t>I-P-0241</t>
        </is>
      </c>
      <c r="B5405" s="12" t="inlineStr">
        <is>
          <t>I</t>
        </is>
      </c>
      <c r="C5405" s="12" t="inlineStr">
        <is>
          <t>Modular / portable power</t>
        </is>
      </c>
      <c r="D5405" s="12" t="inlineStr">
        <is>
          <t>480 V welding receptacle 1</t>
        </is>
      </c>
      <c r="E5405" s="12" t="inlineStr"/>
      <c r="F5405" s="12" t="inlineStr">
        <is>
          <t>PCM: power control module</t>
        </is>
      </c>
      <c r="G5405" s="12" t="inlineStr">
        <is>
          <t>RICE-8</t>
        </is>
      </c>
      <c r="H5405" s="12" t="inlineStr">
        <is>
          <t>RICE engine-generator 8</t>
        </is>
      </c>
      <c r="I5405" s="12" t="inlineStr">
        <is>
          <t>LV 600 V</t>
        </is>
      </c>
      <c r="J5405" s="12" t="inlineStr">
        <is>
          <t>Type TC-ER 600 V 3/C Cu XHHW-2 + ground, PVC jacket</t>
        </is>
      </c>
      <c r="K5405" s="12" t="inlineStr">
        <is>
          <t>LV|3/C+G|2</t>
        </is>
      </c>
      <c r="L5405" s="12" t="inlineStr">
        <is>
          <t>3/C+G</t>
        </is>
      </c>
      <c r="M5405" s="12" t="inlineStr">
        <is>
          <t>2</t>
        </is>
      </c>
      <c r="N5405" s="12" t="n">
        <v>1</v>
      </c>
      <c r="O5405" s="12" t="n">
        <v>1</v>
      </c>
      <c r="P5405" s="12" t="n">
        <v>480</v>
      </c>
      <c r="Q5405" s="12" t="n">
        <v>60</v>
      </c>
      <c r="R5405" s="12" t="n">
        <v>76</v>
      </c>
      <c r="S5405" s="12" t="inlineStr">
        <is>
          <t>Duct bank</t>
        </is>
      </c>
      <c r="T5405" s="15" t="n">
        <v>57</v>
      </c>
      <c r="U5405" s="15" t="n">
        <v>97</v>
      </c>
      <c r="V5405" s="15">
        <f>ROUNDUP((T5405+U5405+2*'Read Me'!$B$13)*(1+'Read Me'!$B$12),-1)</f>
        <v/>
      </c>
      <c r="W5405" s="15">
        <f>V5405*N5405*O5405</f>
        <v/>
      </c>
      <c r="X5405" s="12">
        <f>IF(LEFT(I5405,2)="MV",2*N5405*IF(L5405="1/C",O5405,1),0)</f>
        <v/>
      </c>
      <c r="Y5405" s="12">
        <f>IF(OR(LEFT(K5405,4)="LVAX",LEFT(K5405,6)="MV15AX",LEFT(K5405,4)="CTAX",LEFT(K5405,2)="W|"),2*N5405*O5405,0)</f>
        <v/>
      </c>
      <c r="Z5405" s="12" t="inlineStr">
        <is>
          <t>VD 0.9 %</t>
        </is>
      </c>
      <c r="AA5405" s="12">
        <f>N5405*O5405</f>
        <v/>
      </c>
    </row>
    <row r="5406">
      <c r="A5406" s="12" t="inlineStr">
        <is>
          <t>I-P-0242</t>
        </is>
      </c>
      <c r="B5406" s="12" t="inlineStr">
        <is>
          <t>I</t>
        </is>
      </c>
      <c r="C5406" s="12" t="inlineStr">
        <is>
          <t>Modular / portable power</t>
        </is>
      </c>
      <c r="D5406" s="12" t="inlineStr">
        <is>
          <t>480 V welding receptacle 2</t>
        </is>
      </c>
      <c r="E5406" s="12" t="inlineStr"/>
      <c r="F5406" s="12" t="inlineStr">
        <is>
          <t>PCM: power control module</t>
        </is>
      </c>
      <c r="G5406" s="12" t="inlineStr">
        <is>
          <t>RICE-8</t>
        </is>
      </c>
      <c r="H5406" s="12" t="inlineStr">
        <is>
          <t>RICE engine-generator 8</t>
        </is>
      </c>
      <c r="I5406" s="12" t="inlineStr">
        <is>
          <t>LV 600 V</t>
        </is>
      </c>
      <c r="J5406" s="12" t="inlineStr">
        <is>
          <t>Type TC-ER 600 V 3/C Cu XHHW-2 + ground, PVC jacket</t>
        </is>
      </c>
      <c r="K5406" s="12" t="inlineStr">
        <is>
          <t>LV|3/C+G|2</t>
        </is>
      </c>
      <c r="L5406" s="12" t="inlineStr">
        <is>
          <t>3/C+G</t>
        </is>
      </c>
      <c r="M5406" s="12" t="inlineStr">
        <is>
          <t>2</t>
        </is>
      </c>
      <c r="N5406" s="12" t="n">
        <v>1</v>
      </c>
      <c r="O5406" s="12" t="n">
        <v>1</v>
      </c>
      <c r="P5406" s="12" t="n">
        <v>480</v>
      </c>
      <c r="Q5406" s="12" t="n">
        <v>60</v>
      </c>
      <c r="R5406" s="12" t="n">
        <v>76</v>
      </c>
      <c r="S5406" s="12" t="inlineStr">
        <is>
          <t>Duct bank</t>
        </is>
      </c>
      <c r="T5406" s="15" t="n">
        <v>57</v>
      </c>
      <c r="U5406" s="15" t="n">
        <v>97</v>
      </c>
      <c r="V5406" s="15">
        <f>ROUNDUP((T5406+U5406+2*'Read Me'!$B$13)*(1+'Read Me'!$B$12),-1)</f>
        <v/>
      </c>
      <c r="W5406" s="15">
        <f>V5406*N5406*O5406</f>
        <v/>
      </c>
      <c r="X5406" s="12">
        <f>IF(LEFT(I5406,2)="MV",2*N5406*IF(L5406="1/C",O5406,1),0)</f>
        <v/>
      </c>
      <c r="Y5406" s="12">
        <f>IF(OR(LEFT(K5406,4)="LVAX",LEFT(K5406,6)="MV15AX",LEFT(K5406,4)="CTAX",LEFT(K5406,2)="W|"),2*N5406*O5406,0)</f>
        <v/>
      </c>
      <c r="Z5406" s="12" t="inlineStr">
        <is>
          <t>VD 0.9 %</t>
        </is>
      </c>
      <c r="AA5406" s="12">
        <f>N5406*O5406</f>
        <v/>
      </c>
    </row>
    <row r="5407">
      <c r="A5407" s="12" t="inlineStr">
        <is>
          <t>I-P-0243</t>
        </is>
      </c>
      <c r="B5407" s="12" t="inlineStr">
        <is>
          <t>I</t>
        </is>
      </c>
      <c r="C5407" s="12" t="inlineStr">
        <is>
          <t>Modular / portable power</t>
        </is>
      </c>
      <c r="D5407" s="12" t="inlineStr">
        <is>
          <t>480 V welding receptacle 3</t>
        </is>
      </c>
      <c r="E5407" s="12" t="inlineStr"/>
      <c r="F5407" s="12" t="inlineStr">
        <is>
          <t>PCM: power control module</t>
        </is>
      </c>
      <c r="G5407" s="12" t="inlineStr">
        <is>
          <t>RICE-8</t>
        </is>
      </c>
      <c r="H5407" s="12" t="inlineStr">
        <is>
          <t>RICE engine-generator 8</t>
        </is>
      </c>
      <c r="I5407" s="12" t="inlineStr">
        <is>
          <t>LV 600 V</t>
        </is>
      </c>
      <c r="J5407" s="12" t="inlineStr">
        <is>
          <t>Type TC-ER 600 V 3/C Cu XHHW-2 + ground, PVC jacket</t>
        </is>
      </c>
      <c r="K5407" s="12" t="inlineStr">
        <is>
          <t>LV|3/C+G|2</t>
        </is>
      </c>
      <c r="L5407" s="12" t="inlineStr">
        <is>
          <t>3/C+G</t>
        </is>
      </c>
      <c r="M5407" s="12" t="inlineStr">
        <is>
          <t>2</t>
        </is>
      </c>
      <c r="N5407" s="12" t="n">
        <v>1</v>
      </c>
      <c r="O5407" s="12" t="n">
        <v>1</v>
      </c>
      <c r="P5407" s="12" t="n">
        <v>480</v>
      </c>
      <c r="Q5407" s="12" t="n">
        <v>60</v>
      </c>
      <c r="R5407" s="12" t="n">
        <v>76</v>
      </c>
      <c r="S5407" s="12" t="inlineStr">
        <is>
          <t>Duct bank</t>
        </is>
      </c>
      <c r="T5407" s="15" t="n">
        <v>57</v>
      </c>
      <c r="U5407" s="15" t="n">
        <v>97</v>
      </c>
      <c r="V5407" s="15">
        <f>ROUNDUP((T5407+U5407+2*'Read Me'!$B$13)*(1+'Read Me'!$B$12),-1)</f>
        <v/>
      </c>
      <c r="W5407" s="15">
        <f>V5407*N5407*O5407</f>
        <v/>
      </c>
      <c r="X5407" s="12">
        <f>IF(LEFT(I5407,2)="MV",2*N5407*IF(L5407="1/C",O5407,1),0)</f>
        <v/>
      </c>
      <c r="Y5407" s="12">
        <f>IF(OR(LEFT(K5407,4)="LVAX",LEFT(K5407,6)="MV15AX",LEFT(K5407,4)="CTAX",LEFT(K5407,2)="W|"),2*N5407*O5407,0)</f>
        <v/>
      </c>
      <c r="Z5407" s="12" t="inlineStr">
        <is>
          <t>VD 0.9 %</t>
        </is>
      </c>
      <c r="AA5407" s="12">
        <f>N5407*O5407</f>
        <v/>
      </c>
    </row>
    <row r="5408">
      <c r="A5408" s="12" t="inlineStr">
        <is>
          <t>I-P-0244</t>
        </is>
      </c>
      <c r="B5408" s="12" t="inlineStr">
        <is>
          <t>I</t>
        </is>
      </c>
      <c r="C5408" s="12" t="inlineStr">
        <is>
          <t>Modular / portable power</t>
        </is>
      </c>
      <c r="D5408" s="12" t="inlineStr">
        <is>
          <t>480 V welding receptacle 4</t>
        </is>
      </c>
      <c r="E5408" s="12" t="inlineStr"/>
      <c r="F5408" s="12" t="inlineStr">
        <is>
          <t>PCM: power control module</t>
        </is>
      </c>
      <c r="G5408" s="12" t="inlineStr">
        <is>
          <t>RICE-8</t>
        </is>
      </c>
      <c r="H5408" s="12" t="inlineStr">
        <is>
          <t>RICE engine-generator 8</t>
        </is>
      </c>
      <c r="I5408" s="12" t="inlineStr">
        <is>
          <t>LV 600 V</t>
        </is>
      </c>
      <c r="J5408" s="12" t="inlineStr">
        <is>
          <t>Type TC-ER 600 V 3/C Cu XHHW-2 + ground, PVC jacket</t>
        </is>
      </c>
      <c r="K5408" s="12" t="inlineStr">
        <is>
          <t>LV|3/C+G|2</t>
        </is>
      </c>
      <c r="L5408" s="12" t="inlineStr">
        <is>
          <t>3/C+G</t>
        </is>
      </c>
      <c r="M5408" s="12" t="inlineStr">
        <is>
          <t>2</t>
        </is>
      </c>
      <c r="N5408" s="12" t="n">
        <v>1</v>
      </c>
      <c r="O5408" s="12" t="n">
        <v>1</v>
      </c>
      <c r="P5408" s="12" t="n">
        <v>480</v>
      </c>
      <c r="Q5408" s="12" t="n">
        <v>60</v>
      </c>
      <c r="R5408" s="12" t="n">
        <v>76</v>
      </c>
      <c r="S5408" s="12" t="inlineStr">
        <is>
          <t>Duct bank</t>
        </is>
      </c>
      <c r="T5408" s="15" t="n">
        <v>57</v>
      </c>
      <c r="U5408" s="15" t="n">
        <v>97</v>
      </c>
      <c r="V5408" s="15">
        <f>ROUNDUP((T5408+U5408+2*'Read Me'!$B$13)*(1+'Read Me'!$B$12),-1)</f>
        <v/>
      </c>
      <c r="W5408" s="15">
        <f>V5408*N5408*O5408</f>
        <v/>
      </c>
      <c r="X5408" s="12">
        <f>IF(LEFT(I5408,2)="MV",2*N5408*IF(L5408="1/C",O5408,1),0)</f>
        <v/>
      </c>
      <c r="Y5408" s="12">
        <f>IF(OR(LEFT(K5408,4)="LVAX",LEFT(K5408,6)="MV15AX",LEFT(K5408,4)="CTAX",LEFT(K5408,2)="W|"),2*N5408*O5408,0)</f>
        <v/>
      </c>
      <c r="Z5408" s="12" t="inlineStr">
        <is>
          <t>VD 0.9 %</t>
        </is>
      </c>
      <c r="AA5408" s="12">
        <f>N5408*O5408</f>
        <v/>
      </c>
    </row>
    <row r="5409">
      <c r="A5409" s="12" t="inlineStr">
        <is>
          <t>I-P-0245</t>
        </is>
      </c>
      <c r="B5409" s="12" t="inlineStr">
        <is>
          <t>I</t>
        </is>
      </c>
      <c r="C5409" s="12" t="inlineStr">
        <is>
          <t>Modular / portable power</t>
        </is>
      </c>
      <c r="D5409" s="12" t="inlineStr">
        <is>
          <t>LV power feeder</t>
        </is>
      </c>
      <c r="E5409" s="12" t="inlineStr"/>
      <c r="F5409" s="12" t="inlineStr">
        <is>
          <t>PCM: power control module</t>
        </is>
      </c>
      <c r="G5409" s="12" t="inlineStr"/>
      <c r="H5409" s="12" t="inlineStr">
        <is>
          <t>Reagent storage</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15</v>
      </c>
      <c r="R5409" s="12" t="n">
        <v>21.2</v>
      </c>
      <c r="S5409" s="12" t="inlineStr">
        <is>
          <t>Duct bank</t>
        </is>
      </c>
      <c r="T5409" s="15" t="n">
        <v>258</v>
      </c>
      <c r="U5409" s="15" t="n">
        <v>110</v>
      </c>
      <c r="V5409" s="15">
        <f>ROUNDUP((T5409+U5409+2*'Read Me'!$B$13)*(1+'Read Me'!$B$12),-1)</f>
        <v/>
      </c>
      <c r="W5409" s="15">
        <f>V5409*N5409*O5409</f>
        <v/>
      </c>
      <c r="X5409" s="12">
        <f>IF(LEFT(I5409,2)="MV",2*N5409*IF(L5409="1/C",O5409,1),0)</f>
        <v/>
      </c>
      <c r="Y5409" s="12">
        <f>IF(OR(LEFT(K5409,4)="LVAX",LEFT(K5409,6)="MV15AX",LEFT(K5409,4)="CTAX",LEFT(K5409,2)="W|"),2*N5409*O5409,0)</f>
        <v/>
      </c>
      <c r="Z5409" s="12" t="inlineStr">
        <is>
          <t>VD 2.4 %</t>
        </is>
      </c>
      <c r="AA5409" s="12">
        <f>N5409*O5409</f>
        <v/>
      </c>
    </row>
    <row r="5410">
      <c r="A5410" s="12" t="inlineStr">
        <is>
          <t>I-P-0246</t>
        </is>
      </c>
      <c r="B5410" s="12" t="inlineStr">
        <is>
          <t>I</t>
        </is>
      </c>
      <c r="C5410" s="12" t="inlineStr">
        <is>
          <t>Modular / portable power</t>
        </is>
      </c>
      <c r="D5410" s="12" t="inlineStr">
        <is>
          <t>SC-1 CEMS shelter panel: analysers, heated sample line, lighting</t>
        </is>
      </c>
      <c r="E5410" s="12" t="inlineStr"/>
      <c r="F5410" s="12" t="inlineStr">
        <is>
          <t>SC-1 PCM + 15 kV GCB</t>
        </is>
      </c>
      <c r="G5410" s="12" t="inlineStr"/>
      <c r="H5410" s="12" t="inlineStr">
        <is>
          <t>SC-1 CEMS shelter</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15</v>
      </c>
      <c r="R5410" s="12" t="n">
        <v>19</v>
      </c>
      <c r="S5410" s="12" t="inlineStr">
        <is>
          <t>Duct bank</t>
        </is>
      </c>
      <c r="T5410" s="15" t="n">
        <v>81</v>
      </c>
      <c r="U5410" s="15" t="n">
        <v>106</v>
      </c>
      <c r="V5410" s="15">
        <f>ROUNDUP((T5410+U5410+2*'Read Me'!$B$13)*(1+'Read Me'!$B$12),-1)</f>
        <v/>
      </c>
      <c r="W5410" s="15">
        <f>V5410*N5410*O5410</f>
        <v/>
      </c>
      <c r="X5410" s="12">
        <f>IF(LEFT(I5410,2)="MV",2*N5410*IF(L5410="1/C",O5410,1),0)</f>
        <v/>
      </c>
      <c r="Y5410" s="12">
        <f>IF(OR(LEFT(K5410,4)="LVAX",LEFT(K5410,6)="MV15AX",LEFT(K5410,4)="CTAX",LEFT(K5410,2)="W|"),2*N5410*O5410,0)</f>
        <v/>
      </c>
      <c r="Z5410" s="12" t="inlineStr">
        <is>
          <t>VD 1.7 %</t>
        </is>
      </c>
      <c r="AA5410" s="12">
        <f>N5410*O5410</f>
        <v/>
      </c>
    </row>
    <row r="5411">
      <c r="A5411" s="12" t="inlineStr">
        <is>
          <t>I-P-0247</t>
        </is>
      </c>
      <c r="B5411" s="12" t="inlineStr">
        <is>
          <t>I</t>
        </is>
      </c>
      <c r="C5411" s="12" t="inlineStr">
        <is>
          <t>Modular / portable power</t>
        </is>
      </c>
      <c r="D5411" s="12" t="inlineStr">
        <is>
          <t>Motor 1 of 2, 5 kW</t>
        </is>
      </c>
      <c r="E5411" s="12" t="inlineStr"/>
      <c r="F5411" s="12" t="inlineStr">
        <is>
          <t>SC-1 PCM + 15 kV GCB</t>
        </is>
      </c>
      <c r="G5411" s="12" t="inlineStr"/>
      <c r="H5411" s="12" t="inlineStr">
        <is>
          <t>SC-1 CEMS shelter</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5</v>
      </c>
      <c r="R5411" s="12" t="n">
        <v>7.1</v>
      </c>
      <c r="S5411" s="12" t="inlineStr">
        <is>
          <t>Duct bank</t>
        </is>
      </c>
      <c r="T5411" s="15" t="n">
        <v>81</v>
      </c>
      <c r="U5411" s="15" t="n">
        <v>106</v>
      </c>
      <c r="V5411" s="15">
        <f>ROUNDUP((T5411+U5411+2*'Read Me'!$B$13)*(1+'Read Me'!$B$12),-1)</f>
        <v/>
      </c>
      <c r="W5411" s="15">
        <f>V5411*N5411*O5411</f>
        <v/>
      </c>
      <c r="X5411" s="12">
        <f>IF(LEFT(I5411,2)="MV",2*N5411*IF(L5411="1/C",O5411,1),0)</f>
        <v/>
      </c>
      <c r="Y5411" s="12">
        <f>IF(OR(LEFT(K5411,4)="LVAX",LEFT(K5411,6)="MV15AX",LEFT(K5411,4)="CTAX",LEFT(K5411,2)="W|"),2*N5411*O5411,0)</f>
        <v/>
      </c>
      <c r="Z5411" s="12" t="inlineStr">
        <is>
          <t>VD 0.6 %</t>
        </is>
      </c>
      <c r="AA5411" s="12">
        <f>N5411*O5411</f>
        <v/>
      </c>
    </row>
    <row r="5412">
      <c r="A5412" s="12" t="inlineStr">
        <is>
          <t>I-P-0248</t>
        </is>
      </c>
      <c r="B5412" s="12" t="inlineStr">
        <is>
          <t>I</t>
        </is>
      </c>
      <c r="C5412" s="12" t="inlineStr">
        <is>
          <t>Modular / portable power</t>
        </is>
      </c>
      <c r="D5412" s="12" t="inlineStr">
        <is>
          <t>Motor 2 of 2, 5 kW</t>
        </is>
      </c>
      <c r="E5412" s="12" t="inlineStr"/>
      <c r="F5412" s="12" t="inlineStr">
        <is>
          <t>SC-1 PCM + 15 kV GCB</t>
        </is>
      </c>
      <c r="G5412" s="12" t="inlineStr"/>
      <c r="H5412" s="12" t="inlineStr">
        <is>
          <t>SC-1 CEMS shelter</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5</v>
      </c>
      <c r="R5412" s="12" t="n">
        <v>7.1</v>
      </c>
      <c r="S5412" s="12" t="inlineStr">
        <is>
          <t>Duct bank</t>
        </is>
      </c>
      <c r="T5412" s="15" t="n">
        <v>81</v>
      </c>
      <c r="U5412" s="15" t="n">
        <v>106</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I-P-0249</t>
        </is>
      </c>
      <c r="B5413" s="12" t="inlineStr">
        <is>
          <t>I</t>
        </is>
      </c>
      <c r="C5413" s="12" t="inlineStr">
        <is>
          <t>Modular / portable power</t>
        </is>
      </c>
      <c r="D5413" s="12" t="inlineStr">
        <is>
          <t>SC-1 125 V DC battery to charger / DC panel</t>
        </is>
      </c>
      <c r="E5413" s="12" t="inlineStr"/>
      <c r="F5413" s="12" t="inlineStr">
        <is>
          <t>SC-1 PCM + 15 kV GCB</t>
        </is>
      </c>
      <c r="G5413" s="12" t="inlineStr"/>
      <c r="H5413" s="12" t="inlineStr">
        <is>
          <t>SC-1 PCM + 15 kV GCB</t>
        </is>
      </c>
      <c r="I5413" s="12" t="inlineStr">
        <is>
          <t>LV 600 V</t>
        </is>
      </c>
      <c r="J5413" s="12" t="inlineStr">
        <is>
          <t>XHHW-2 600 V 1/C Cu (feeder sets in tray / duct)</t>
        </is>
      </c>
      <c r="K5413" s="12" t="inlineStr">
        <is>
          <t>LV1C|1/C|4/0</t>
        </is>
      </c>
      <c r="L5413" s="12" t="inlineStr">
        <is>
          <t>1/C</t>
        </is>
      </c>
      <c r="M5413" s="12" t="inlineStr">
        <is>
          <t>4/0</t>
        </is>
      </c>
      <c r="N5413" s="12" t="n">
        <v>1</v>
      </c>
      <c r="O5413" s="12" t="n">
        <v>2</v>
      </c>
      <c r="P5413" s="12" t="n">
        <v>125</v>
      </c>
      <c r="Q5413" s="12" t="n"/>
      <c r="R5413" s="12" t="n"/>
      <c r="S5413" s="12" t="inlineStr">
        <is>
          <t>Tray</t>
        </is>
      </c>
      <c r="T5413" s="15" t="n">
        <v>15</v>
      </c>
      <c r="U5413" s="15" t="n">
        <v>5</v>
      </c>
      <c r="V5413" s="15">
        <f>ROUNDUP((T5413+U5413+2*'Read Me'!$B$13)*(1+'Read Me'!$B$12),-1)</f>
        <v/>
      </c>
      <c r="W5413" s="15">
        <f>V5413*N5413*O5413</f>
        <v/>
      </c>
      <c r="X5413" s="12">
        <f>IF(LEFT(I5413,2)="MV",2*N5413*IF(L5413="1/C",O5413,1),0)</f>
        <v/>
      </c>
      <c r="Y5413" s="12">
        <f>IF(OR(LEFT(K5413,4)="LVAX",LEFT(K5413,6)="MV15AX",LEFT(K5413,4)="CTAX",LEFT(K5413,2)="W|"),2*N5413*O5413,0)</f>
        <v/>
      </c>
      <c r="Z5413" s="12" t="inlineStr">
        <is>
          <t>battery rack inside the PCM</t>
        </is>
      </c>
      <c r="AA5413" s="12">
        <f>N5413*O5413</f>
        <v/>
      </c>
    </row>
    <row r="5414">
      <c r="A5414" s="12" t="inlineStr">
        <is>
          <t>I-P-0250</t>
        </is>
      </c>
      <c r="B5414" s="12" t="inlineStr">
        <is>
          <t>I</t>
        </is>
      </c>
      <c r="C5414" s="12" t="inlineStr">
        <is>
          <t>Modular / portable power</t>
        </is>
      </c>
      <c r="D5414" s="12" t="inlineStr">
        <is>
          <t>SC-1 PCM lighting, receptacles and HVAC (from its own 480 V board)</t>
        </is>
      </c>
      <c r="E5414" s="12" t="inlineStr"/>
      <c r="F5414" s="12" t="inlineStr">
        <is>
          <t>SC-1 PCM + 15 kV GCB</t>
        </is>
      </c>
      <c r="G5414" s="12" t="inlineStr"/>
      <c r="H5414" s="12" t="inlineStr">
        <is>
          <t>SC-1 PCM + 15 kV GCB</t>
        </is>
      </c>
      <c r="I5414" s="12" t="inlineStr">
        <is>
          <t>LV 600 V</t>
        </is>
      </c>
      <c r="J5414" s="12" t="inlineStr">
        <is>
          <t>Type TC-ER 600 V 3/C Cu XHHW-2 + ground, PVC jacket</t>
        </is>
      </c>
      <c r="K5414" s="12" t="inlineStr">
        <is>
          <t>LV|3/C+G|2</t>
        </is>
      </c>
      <c r="L5414" s="12" t="inlineStr">
        <is>
          <t>3/C+G</t>
        </is>
      </c>
      <c r="M5414" s="12" t="inlineStr">
        <is>
          <t>2</t>
        </is>
      </c>
      <c r="N5414" s="12" t="n">
        <v>1</v>
      </c>
      <c r="O5414" s="12" t="n">
        <v>1</v>
      </c>
      <c r="P5414" s="12" t="n">
        <v>480</v>
      </c>
      <c r="Q5414" s="12" t="n">
        <v>40</v>
      </c>
      <c r="R5414" s="12" t="n"/>
      <c r="S5414" s="12" t="inlineStr">
        <is>
          <t>Tray</t>
        </is>
      </c>
      <c r="T5414" s="15" t="n">
        <v>80</v>
      </c>
      <c r="U5414" s="15" t="n">
        <v>10</v>
      </c>
      <c r="V5414" s="15">
        <f>ROUNDUP((T5414+U5414+2*'Read Me'!$B$13)*(1+'Read Me'!$B$12),-1)</f>
        <v/>
      </c>
      <c r="W5414" s="15">
        <f>V5414*N5414*O5414</f>
        <v/>
      </c>
      <c r="X5414" s="12">
        <f>IF(LEFT(I5414,2)="MV",2*N5414*IF(L5414="1/C",O5414,1),0)</f>
        <v/>
      </c>
      <c r="Y5414" s="12">
        <f>IF(OR(LEFT(K5414,4)="LVAX",LEFT(K5414,6)="MV15AX",LEFT(K5414,4)="CTAX",LEFT(K5414,2)="W|"),2*N5414*O5414,0)</f>
        <v/>
      </c>
      <c r="Z5414" s="12" t="inlineStr">
        <is>
          <t>internal to the PCM; aux transformer 13.8 kV / 480 V inside</t>
        </is>
      </c>
      <c r="AA5414" s="12">
        <f>N5414*O5414</f>
        <v/>
      </c>
    </row>
    <row r="5415">
      <c r="A5415" s="12" t="inlineStr">
        <is>
          <t>I-P-0251</t>
        </is>
      </c>
      <c r="B5415" s="12" t="inlineStr">
        <is>
          <t>I</t>
        </is>
      </c>
      <c r="C5415" s="12" t="inlineStr">
        <is>
          <t>Modular / portable power</t>
        </is>
      </c>
      <c r="D5415" s="12" t="inlineStr">
        <is>
          <t>Area / platform lighting circuit 1 (10 fixtures)</t>
        </is>
      </c>
      <c r="E5415" s="12" t="inlineStr"/>
      <c r="F5415" s="12" t="inlineStr">
        <is>
          <t>SC-1 PCM + 15 kV GCB</t>
        </is>
      </c>
      <c r="G5415" s="12" t="inlineStr"/>
      <c r="H5415" s="12" t="inlineStr">
        <is>
          <t>SC-1 SCR / CO catalyst</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3</v>
      </c>
      <c r="R5415" s="12" t="n">
        <v>5</v>
      </c>
      <c r="S5415" s="12" t="inlineStr">
        <is>
          <t>Duct bank</t>
        </is>
      </c>
      <c r="T5415" s="15" t="n">
        <v>355</v>
      </c>
      <c r="U5415" s="15" t="n">
        <v>57</v>
      </c>
      <c r="V5415" s="15">
        <f>ROUNDUP((T5415+U5415+2*'Read Me'!$B$13)*(1+'Read Me'!$B$12),-1)</f>
        <v/>
      </c>
      <c r="W5415" s="15">
        <f>V5415*N5415*O5415</f>
        <v/>
      </c>
      <c r="X5415" s="12">
        <f>IF(LEFT(I5415,2)="MV",2*N5415*IF(L5415="1/C",O5415,1),0)</f>
        <v/>
      </c>
      <c r="Y5415" s="12">
        <f>IF(OR(LEFT(K5415,4)="LVAX",LEFT(K5415,6)="MV15AX",LEFT(K5415,4)="CTAX",LEFT(K5415,2)="W|"),2*N5415*O5415,0)</f>
        <v/>
      </c>
      <c r="Z5415" s="12" t="inlineStr">
        <is>
          <t>fixture-to-fixture run included</t>
        </is>
      </c>
      <c r="AA5415" s="12">
        <f>N5415*O5415</f>
        <v/>
      </c>
    </row>
    <row r="5416">
      <c r="A5416" s="12" t="inlineStr">
        <is>
          <t>I-P-0252</t>
        </is>
      </c>
      <c r="B5416" s="12" t="inlineStr">
        <is>
          <t>I</t>
        </is>
      </c>
      <c r="C5416" s="12" t="inlineStr">
        <is>
          <t>Modular / portable power</t>
        </is>
      </c>
      <c r="D5416" s="12" t="inlineStr">
        <is>
          <t>SC-1 ammonia vaporiser electric heater</t>
        </is>
      </c>
      <c r="E5416" s="12" t="inlineStr"/>
      <c r="F5416" s="12" t="inlineStr">
        <is>
          <t>SC-1 PCM + 15 kV GCB</t>
        </is>
      </c>
      <c r="G5416" s="12" t="inlineStr"/>
      <c r="H5416" s="12" t="inlineStr">
        <is>
          <t>SC-1 ammonia flow-control unit</t>
        </is>
      </c>
      <c r="I5416" s="12" t="inlineStr">
        <is>
          <t>LV 600 V</t>
        </is>
      </c>
      <c r="J5416" s="12" t="inlineStr">
        <is>
          <t>Type TC-ER 600 V 3/C Cu XHHW-2 + ground, PVC jacket</t>
        </is>
      </c>
      <c r="K5416" s="12" t="inlineStr">
        <is>
          <t>LV|3/C+G|4</t>
        </is>
      </c>
      <c r="L5416" s="12" t="inlineStr">
        <is>
          <t>3/C+G</t>
        </is>
      </c>
      <c r="M5416" s="12" t="inlineStr">
        <is>
          <t>4</t>
        </is>
      </c>
      <c r="N5416" s="12" t="n">
        <v>1</v>
      </c>
      <c r="O5416" s="12" t="n">
        <v>1</v>
      </c>
      <c r="P5416" s="12" t="n">
        <v>480</v>
      </c>
      <c r="Q5416" s="12" t="n">
        <v>45</v>
      </c>
      <c r="R5416" s="12" t="n">
        <v>57</v>
      </c>
      <c r="S5416" s="12" t="inlineStr">
        <is>
          <t>Duct bank</t>
        </is>
      </c>
      <c r="T5416" s="15" t="n">
        <v>55</v>
      </c>
      <c r="U5416" s="15" t="n">
        <v>55</v>
      </c>
      <c r="V5416" s="15">
        <f>ROUNDUP((T5416+U5416+2*'Read Me'!$B$13)*(1+'Read Me'!$B$12),-1)</f>
        <v/>
      </c>
      <c r="W5416" s="15">
        <f>V5416*N5416*O5416</f>
        <v/>
      </c>
      <c r="X5416" s="12">
        <f>IF(LEFT(I5416,2)="MV",2*N5416*IF(L5416="1/C",O5416,1),0)</f>
        <v/>
      </c>
      <c r="Y5416" s="12">
        <f>IF(OR(LEFT(K5416,4)="LVAX",LEFT(K5416,6)="MV15AX",LEFT(K5416,4)="CTAX",LEFT(K5416,2)="W|"),2*N5416*O5416,0)</f>
        <v/>
      </c>
      <c r="Z5416" s="12" t="inlineStr">
        <is>
          <t>VD 0.8 %</t>
        </is>
      </c>
      <c r="AA5416" s="12">
        <f>N5416*O5416</f>
        <v/>
      </c>
    </row>
    <row r="5417">
      <c r="A5417" s="12" t="inlineStr">
        <is>
          <t>I-P-0253</t>
        </is>
      </c>
      <c r="B5417" s="12" t="inlineStr">
        <is>
          <t>I</t>
        </is>
      </c>
      <c r="C5417" s="12" t="inlineStr">
        <is>
          <t>Modular / portable power</t>
        </is>
      </c>
      <c r="D5417" s="12" t="inlineStr">
        <is>
          <t>Motor 1 of 2, 7.5 kW</t>
        </is>
      </c>
      <c r="E5417" s="12" t="inlineStr"/>
      <c r="F5417" s="12" t="inlineStr">
        <is>
          <t>SC-1 PCM + 15 kV GCB</t>
        </is>
      </c>
      <c r="G5417" s="12" t="inlineStr"/>
      <c r="H5417" s="12" t="inlineStr">
        <is>
          <t>SC-1 ammonia flow-control unit</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7.5</v>
      </c>
      <c r="R5417" s="12" t="n">
        <v>10.6</v>
      </c>
      <c r="S5417" s="12" t="inlineStr">
        <is>
          <t>Duct bank</t>
        </is>
      </c>
      <c r="T5417" s="15" t="n">
        <v>55</v>
      </c>
      <c r="U5417" s="15" t="n">
        <v>55</v>
      </c>
      <c r="V5417" s="15">
        <f>ROUNDUP((T5417+U5417+2*'Read Me'!$B$13)*(1+'Read Me'!$B$12),-1)</f>
        <v/>
      </c>
      <c r="W5417" s="15">
        <f>V5417*N5417*O5417</f>
        <v/>
      </c>
      <c r="X5417" s="12">
        <f>IF(LEFT(I5417,2)="MV",2*N5417*IF(L5417="1/C",O5417,1),0)</f>
        <v/>
      </c>
      <c r="Y5417" s="12">
        <f>IF(OR(LEFT(K5417,4)="LVAX",LEFT(K5417,6)="MV15AX",LEFT(K5417,4)="CTAX",LEFT(K5417,2)="W|"),2*N5417*O5417,0)</f>
        <v/>
      </c>
      <c r="Z5417" s="12" t="inlineStr">
        <is>
          <t>VD 0.6 %</t>
        </is>
      </c>
      <c r="AA5417" s="12">
        <f>N5417*O5417</f>
        <v/>
      </c>
    </row>
    <row r="5418">
      <c r="A5418" s="12" t="inlineStr">
        <is>
          <t>I-P-0254</t>
        </is>
      </c>
      <c r="B5418" s="12" t="inlineStr">
        <is>
          <t>I</t>
        </is>
      </c>
      <c r="C5418" s="12" t="inlineStr">
        <is>
          <t>Modular / portable power</t>
        </is>
      </c>
      <c r="D5418" s="12" t="inlineStr">
        <is>
          <t>Motor 2 of 2, 7.5 kW</t>
        </is>
      </c>
      <c r="E5418" s="12" t="inlineStr"/>
      <c r="F5418" s="12" t="inlineStr">
        <is>
          <t>SC-1 PCM + 15 kV GCB</t>
        </is>
      </c>
      <c r="G5418" s="12" t="inlineStr"/>
      <c r="H5418" s="12" t="inlineStr">
        <is>
          <t>SC-1 ammonia flow-control unit</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7.5</v>
      </c>
      <c r="R5418" s="12" t="n">
        <v>10.6</v>
      </c>
      <c r="S5418" s="12" t="inlineStr">
        <is>
          <t>Duct bank</t>
        </is>
      </c>
      <c r="T5418" s="15" t="n">
        <v>55</v>
      </c>
      <c r="U5418" s="15" t="n">
        <v>55</v>
      </c>
      <c r="V5418" s="15">
        <f>ROUNDUP((T5418+U5418+2*'Read Me'!$B$13)*(1+'Read Me'!$B$12),-1)</f>
        <v/>
      </c>
      <c r="W5418" s="15">
        <f>V5418*N5418*O5418</f>
        <v/>
      </c>
      <c r="X5418" s="12">
        <f>IF(LEFT(I5418,2)="MV",2*N5418*IF(L5418="1/C",O5418,1),0)</f>
        <v/>
      </c>
      <c r="Y5418" s="12">
        <f>IF(OR(LEFT(K5418,4)="LVAX",LEFT(K5418,6)="MV15AX",LEFT(K5418,4)="CTAX",LEFT(K5418,2)="W|"),2*N5418*O5418,0)</f>
        <v/>
      </c>
      <c r="Z5418" s="12" t="inlineStr">
        <is>
          <t>VD 0.6 %</t>
        </is>
      </c>
      <c r="AA5418" s="12">
        <f>N5418*O5418</f>
        <v/>
      </c>
    </row>
    <row r="5419">
      <c r="A5419" s="12" t="inlineStr">
        <is>
          <t>I-P-0255</t>
        </is>
      </c>
      <c r="B5419" s="12" t="inlineStr">
        <is>
          <t>I</t>
        </is>
      </c>
      <c r="C5419" s="12" t="inlineStr">
        <is>
          <t>Modular / portable power</t>
        </is>
      </c>
      <c r="D5419" s="12" t="inlineStr">
        <is>
          <t>SC-1 water-wash tank heater</t>
        </is>
      </c>
      <c r="E5419" s="12" t="inlineStr"/>
      <c r="F5419" s="12" t="inlineStr">
        <is>
          <t>SC-1 PCM + 15 kV GCB</t>
        </is>
      </c>
      <c r="G5419" s="12" t="inlineStr"/>
      <c r="H5419" s="12" t="inlineStr">
        <is>
          <t>SC-1 auxiliary skids: fuel-gas module, water-wash skid</t>
        </is>
      </c>
      <c r="I5419" s="12" t="inlineStr">
        <is>
          <t>LV 600 V</t>
        </is>
      </c>
      <c r="J5419" s="12" t="inlineStr">
        <is>
          <t>ARMOR-X MC-HL 600 V 3/C Cu XHHW-2 + ground, CWA, black PVC (Class I Div 2)</t>
        </is>
      </c>
      <c r="K5419" s="12" t="inlineStr">
        <is>
          <t>LVAX|3/C+G|10</t>
        </is>
      </c>
      <c r="L5419" s="12" t="inlineStr">
        <is>
          <t>3/C+G</t>
        </is>
      </c>
      <c r="M5419" s="12" t="inlineStr">
        <is>
          <t>10</t>
        </is>
      </c>
      <c r="N5419" s="12" t="n">
        <v>1</v>
      </c>
      <c r="O5419" s="12" t="n">
        <v>1</v>
      </c>
      <c r="P5419" s="12" t="n">
        <v>480</v>
      </c>
      <c r="Q5419" s="12" t="n">
        <v>6</v>
      </c>
      <c r="R5419" s="12" t="n">
        <v>7.6</v>
      </c>
      <c r="S5419" s="12" t="inlineStr">
        <is>
          <t>Tray</t>
        </is>
      </c>
      <c r="T5419" s="15" t="n">
        <v>5</v>
      </c>
      <c r="U5419" s="15" t="n">
        <v>49</v>
      </c>
      <c r="V5419" s="15">
        <f>ROUNDUP((T5419+U5419+2*'Read Me'!$B$13)*(1+'Read Me'!$B$12),-1)</f>
        <v/>
      </c>
      <c r="W5419" s="15">
        <f>V5419*N5419*O5419</f>
        <v/>
      </c>
      <c r="X5419" s="12">
        <f>IF(LEFT(I5419,2)="MV",2*N5419*IF(L5419="1/C",O5419,1),0)</f>
        <v/>
      </c>
      <c r="Y5419" s="12">
        <f>IF(OR(LEFT(K5419,4)="LVAX",LEFT(K5419,6)="MV15AX",LEFT(K5419,4)="CTAX",LEFT(K5419,2)="W|"),2*N5419*O5419,0)</f>
        <v/>
      </c>
      <c r="Z5419" s="12" t="inlineStr">
        <is>
          <t>VD 0.2 %</t>
        </is>
      </c>
      <c r="AA5419" s="12">
        <f>N5419*O5419</f>
        <v/>
      </c>
    </row>
    <row r="5420">
      <c r="A5420" s="12" t="inlineStr">
        <is>
          <t>I-P-0256</t>
        </is>
      </c>
      <c r="B5420" s="12" t="inlineStr">
        <is>
          <t>I</t>
        </is>
      </c>
      <c r="C5420" s="12" t="inlineStr">
        <is>
          <t>Modular / portable power</t>
        </is>
      </c>
      <c r="D5420" s="12" t="inlineStr">
        <is>
          <t>Motor 1 of 1, 7.5 kW</t>
        </is>
      </c>
      <c r="E5420" s="12" t="inlineStr"/>
      <c r="F5420" s="12" t="inlineStr">
        <is>
          <t>SC-1 PCM + 15 kV GCB</t>
        </is>
      </c>
      <c r="G5420" s="12" t="inlineStr"/>
      <c r="H5420" s="12" t="inlineStr">
        <is>
          <t>SC-1 auxiliary skids: fuel-gas module, water-wash skid</t>
        </is>
      </c>
      <c r="I5420" s="12" t="inlineStr">
        <is>
          <t>LV 600 V</t>
        </is>
      </c>
      <c r="J5420" s="12" t="inlineStr">
        <is>
          <t>ARMOR-X MC-HL 600 V 3/C Cu XHHW-2 + ground, CWA, black PVC (Class I Div 2)</t>
        </is>
      </c>
      <c r="K5420" s="12" t="inlineStr">
        <is>
          <t>LVAX|3/C+G|10</t>
        </is>
      </c>
      <c r="L5420" s="12" t="inlineStr">
        <is>
          <t>3/C+G</t>
        </is>
      </c>
      <c r="M5420" s="12" t="inlineStr">
        <is>
          <t>10</t>
        </is>
      </c>
      <c r="N5420" s="12" t="n">
        <v>1</v>
      </c>
      <c r="O5420" s="12" t="n">
        <v>1</v>
      </c>
      <c r="P5420" s="12" t="n">
        <v>480</v>
      </c>
      <c r="Q5420" s="12" t="n">
        <v>7.5</v>
      </c>
      <c r="R5420" s="12" t="n">
        <v>10.6</v>
      </c>
      <c r="S5420" s="12" t="inlineStr">
        <is>
          <t>Tray</t>
        </is>
      </c>
      <c r="T5420" s="15" t="n">
        <v>5</v>
      </c>
      <c r="U5420" s="15" t="n">
        <v>49</v>
      </c>
      <c r="V5420" s="15">
        <f>ROUNDUP((T5420+U5420+2*'Read Me'!$B$13)*(1+'Read Me'!$B$12),-1)</f>
        <v/>
      </c>
      <c r="W5420" s="15">
        <f>V5420*N5420*O5420</f>
        <v/>
      </c>
      <c r="X5420" s="12">
        <f>IF(LEFT(I5420,2)="MV",2*N5420*IF(L5420="1/C",O5420,1),0)</f>
        <v/>
      </c>
      <c r="Y5420" s="12">
        <f>IF(OR(LEFT(K5420,4)="LVAX",LEFT(K5420,6)="MV15AX",LEFT(K5420,4)="CTAX",LEFT(K5420,2)="W|"),2*N5420*O5420,0)</f>
        <v/>
      </c>
      <c r="Z5420" s="12" t="inlineStr">
        <is>
          <t>VD 0.3 %</t>
        </is>
      </c>
      <c r="AA5420" s="12">
        <f>N5420*O5420</f>
        <v/>
      </c>
    </row>
    <row r="5421">
      <c r="A5421" s="12" t="inlineStr">
        <is>
          <t>I-P-0257</t>
        </is>
      </c>
      <c r="B5421" s="12" t="inlineStr">
        <is>
          <t>I</t>
        </is>
      </c>
      <c r="C5421" s="12" t="inlineStr">
        <is>
          <t>Modular / portable power</t>
        </is>
      </c>
      <c r="D5421" s="12" t="inlineStr">
        <is>
          <t>Motor 1 of 4, 15 kW</t>
        </is>
      </c>
      <c r="E5421" s="12" t="inlineStr"/>
      <c r="F5421" s="12" t="inlineStr">
        <is>
          <t>SC-1 PCM + 15 kV GCB</t>
        </is>
      </c>
      <c r="G5421" s="12" t="inlineStr"/>
      <c r="H5421" s="12" t="inlineStr">
        <is>
          <t>SC-1 lube-oil fin-fan cooler</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15</v>
      </c>
      <c r="R5421" s="12" t="n">
        <v>21.2</v>
      </c>
      <c r="S5421" s="12" t="inlineStr">
        <is>
          <t>Riser</t>
        </is>
      </c>
      <c r="T5421" s="15" t="n">
        <v>9</v>
      </c>
      <c r="U5421" s="15" t="n">
        <v>33</v>
      </c>
      <c r="V5421" s="15">
        <f>ROUNDUP((T5421+U5421+2*'Read Me'!$B$13)*(1+'Read Me'!$B$12),-1)</f>
        <v/>
      </c>
      <c r="W5421" s="15">
        <f>V5421*N5421*O5421</f>
        <v/>
      </c>
      <c r="X5421" s="12">
        <f>IF(LEFT(I5421,2)="MV",2*N5421*IF(L5421="1/C",O5421,1),0)</f>
        <v/>
      </c>
      <c r="Y5421" s="12">
        <f>IF(OR(LEFT(K5421,4)="LVAX",LEFT(K5421,6)="MV15AX",LEFT(K5421,4)="CTAX",LEFT(K5421,2)="W|"),2*N5421*O5421,0)</f>
        <v/>
      </c>
      <c r="Z5421" s="12" t="inlineStr">
        <is>
          <t>VD 0.4 %</t>
        </is>
      </c>
      <c r="AA5421" s="12">
        <f>N5421*O5421</f>
        <v/>
      </c>
    </row>
    <row r="5422">
      <c r="A5422" s="12" t="inlineStr">
        <is>
          <t>I-P-0258</t>
        </is>
      </c>
      <c r="B5422" s="12" t="inlineStr">
        <is>
          <t>I</t>
        </is>
      </c>
      <c r="C5422" s="12" t="inlineStr">
        <is>
          <t>Modular / portable power</t>
        </is>
      </c>
      <c r="D5422" s="12" t="inlineStr">
        <is>
          <t>Motor 2 of 4, 15 kW</t>
        </is>
      </c>
      <c r="E5422" s="12" t="inlineStr"/>
      <c r="F5422" s="12" t="inlineStr">
        <is>
          <t>SC-1 PCM + 15 kV GCB</t>
        </is>
      </c>
      <c r="G5422" s="12" t="inlineStr"/>
      <c r="H5422" s="12" t="inlineStr">
        <is>
          <t>SC-1 lube-oil fin-fan cooler</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15</v>
      </c>
      <c r="R5422" s="12" t="n">
        <v>21.2</v>
      </c>
      <c r="S5422" s="12" t="inlineStr">
        <is>
          <t>Riser</t>
        </is>
      </c>
      <c r="T5422" s="15" t="n">
        <v>9</v>
      </c>
      <c r="U5422" s="15" t="n">
        <v>33</v>
      </c>
      <c r="V5422" s="15">
        <f>ROUNDUP((T5422+U5422+2*'Read Me'!$B$13)*(1+'Read Me'!$B$12),-1)</f>
        <v/>
      </c>
      <c r="W5422" s="15">
        <f>V5422*N5422*O5422</f>
        <v/>
      </c>
      <c r="X5422" s="12">
        <f>IF(LEFT(I5422,2)="MV",2*N5422*IF(L5422="1/C",O5422,1),0)</f>
        <v/>
      </c>
      <c r="Y5422" s="12">
        <f>IF(OR(LEFT(K5422,4)="LVAX",LEFT(K5422,6)="MV15AX",LEFT(K5422,4)="CTAX",LEFT(K5422,2)="W|"),2*N5422*O5422,0)</f>
        <v/>
      </c>
      <c r="Z5422" s="12" t="inlineStr">
        <is>
          <t>VD 0.4 %</t>
        </is>
      </c>
      <c r="AA5422" s="12">
        <f>N5422*O5422</f>
        <v/>
      </c>
    </row>
    <row r="5423">
      <c r="A5423" s="12" t="inlineStr">
        <is>
          <t>I-P-0259</t>
        </is>
      </c>
      <c r="B5423" s="12" t="inlineStr">
        <is>
          <t>I</t>
        </is>
      </c>
      <c r="C5423" s="12" t="inlineStr">
        <is>
          <t>Modular / portable power</t>
        </is>
      </c>
      <c r="D5423" s="12" t="inlineStr">
        <is>
          <t>Motor 3 of 4, 15 kW</t>
        </is>
      </c>
      <c r="E5423" s="12" t="inlineStr"/>
      <c r="F5423" s="12" t="inlineStr">
        <is>
          <t>SC-1 PCM + 15 kV GCB</t>
        </is>
      </c>
      <c r="G5423" s="12" t="inlineStr"/>
      <c r="H5423" s="12" t="inlineStr">
        <is>
          <t>SC-1 lube-oil fin-fan cooler</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15</v>
      </c>
      <c r="R5423" s="12" t="n">
        <v>21.2</v>
      </c>
      <c r="S5423" s="12" t="inlineStr">
        <is>
          <t>Riser</t>
        </is>
      </c>
      <c r="T5423" s="15" t="n">
        <v>9</v>
      </c>
      <c r="U5423" s="15" t="n">
        <v>33</v>
      </c>
      <c r="V5423" s="15">
        <f>ROUNDUP((T5423+U5423+2*'Read Me'!$B$13)*(1+'Read Me'!$B$12),-1)</f>
        <v/>
      </c>
      <c r="W5423" s="15">
        <f>V5423*N5423*O5423</f>
        <v/>
      </c>
      <c r="X5423" s="12">
        <f>IF(LEFT(I5423,2)="MV",2*N5423*IF(L5423="1/C",O5423,1),0)</f>
        <v/>
      </c>
      <c r="Y5423" s="12">
        <f>IF(OR(LEFT(K5423,4)="LVAX",LEFT(K5423,6)="MV15AX",LEFT(K5423,4)="CTAX",LEFT(K5423,2)="W|"),2*N5423*O5423,0)</f>
        <v/>
      </c>
      <c r="Z5423" s="12" t="inlineStr">
        <is>
          <t>VD 0.4 %</t>
        </is>
      </c>
      <c r="AA5423" s="12">
        <f>N5423*O5423</f>
        <v/>
      </c>
    </row>
    <row r="5424">
      <c r="A5424" s="12" t="inlineStr">
        <is>
          <t>I-P-0260</t>
        </is>
      </c>
      <c r="B5424" s="12" t="inlineStr">
        <is>
          <t>I</t>
        </is>
      </c>
      <c r="C5424" s="12" t="inlineStr">
        <is>
          <t>Modular / portable power</t>
        </is>
      </c>
      <c r="D5424" s="12" t="inlineStr">
        <is>
          <t>Motor 4 of 4, 15 kW</t>
        </is>
      </c>
      <c r="E5424" s="12" t="inlineStr"/>
      <c r="F5424" s="12" t="inlineStr">
        <is>
          <t>SC-1 PCM + 15 kV GCB</t>
        </is>
      </c>
      <c r="G5424" s="12" t="inlineStr"/>
      <c r="H5424" s="12" t="inlineStr">
        <is>
          <t>SC-1 lube-oil fin-fan cooler</t>
        </is>
      </c>
      <c r="I5424" s="12" t="inlineStr">
        <is>
          <t>LV 600 V</t>
        </is>
      </c>
      <c r="J5424" s="12" t="inlineStr">
        <is>
          <t>Type TC-ER 600 V 3/C Cu XHHW-2 + ground, PVC jacket</t>
        </is>
      </c>
      <c r="K5424" s="12" t="inlineStr">
        <is>
          <t>LV|3/C+G|10</t>
        </is>
      </c>
      <c r="L5424" s="12" t="inlineStr">
        <is>
          <t>3/C+G</t>
        </is>
      </c>
      <c r="M5424" s="12" t="inlineStr">
        <is>
          <t>10</t>
        </is>
      </c>
      <c r="N5424" s="12" t="n">
        <v>1</v>
      </c>
      <c r="O5424" s="12" t="n">
        <v>1</v>
      </c>
      <c r="P5424" s="12" t="n">
        <v>480</v>
      </c>
      <c r="Q5424" s="12" t="n">
        <v>15</v>
      </c>
      <c r="R5424" s="12" t="n">
        <v>21.2</v>
      </c>
      <c r="S5424" s="12" t="inlineStr">
        <is>
          <t>Riser</t>
        </is>
      </c>
      <c r="T5424" s="15" t="n">
        <v>9</v>
      </c>
      <c r="U5424" s="15" t="n">
        <v>33</v>
      </c>
      <c r="V5424" s="15">
        <f>ROUNDUP((T5424+U5424+2*'Read Me'!$B$13)*(1+'Read Me'!$B$12),-1)</f>
        <v/>
      </c>
      <c r="W5424" s="15">
        <f>V5424*N5424*O5424</f>
        <v/>
      </c>
      <c r="X5424" s="12">
        <f>IF(LEFT(I5424,2)="MV",2*N5424*IF(L5424="1/C",O5424,1),0)</f>
        <v/>
      </c>
      <c r="Y5424" s="12">
        <f>IF(OR(LEFT(K5424,4)="LVAX",LEFT(K5424,6)="MV15AX",LEFT(K5424,4)="CTAX",LEFT(K5424,2)="W|"),2*N5424*O5424,0)</f>
        <v/>
      </c>
      <c r="Z5424" s="12" t="inlineStr">
        <is>
          <t>VD 0.4 %</t>
        </is>
      </c>
      <c r="AA5424" s="12">
        <f>N5424*O5424</f>
        <v/>
      </c>
    </row>
    <row r="5425">
      <c r="A5425" s="12" t="inlineStr">
        <is>
          <t>I-P-0261</t>
        </is>
      </c>
      <c r="B5425" s="12" t="inlineStr">
        <is>
          <t>I</t>
        </is>
      </c>
      <c r="C5425" s="12" t="inlineStr">
        <is>
          <t>Modular / portable power</t>
        </is>
      </c>
      <c r="D5425" s="12" t="inlineStr">
        <is>
          <t>Area / platform lighting circuit 1 (4 fixtures)</t>
        </is>
      </c>
      <c r="E5425" s="12" t="inlineStr"/>
      <c r="F5425" s="12" t="inlineStr">
        <is>
          <t>SC-1 PCM + 15 kV GCB</t>
        </is>
      </c>
      <c r="G5425" s="12" t="inlineStr"/>
      <c r="H5425" s="12" t="inlineStr">
        <is>
          <t>SC-1 stack (80 ft)</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3</v>
      </c>
      <c r="R5425" s="12" t="n">
        <v>5</v>
      </c>
      <c r="S5425" s="12" t="inlineStr">
        <is>
          <t>Duct bank</t>
        </is>
      </c>
      <c r="T5425" s="15" t="n">
        <v>381</v>
      </c>
      <c r="U5425" s="15" t="n">
        <v>86</v>
      </c>
      <c r="V5425" s="15">
        <f>ROUNDUP((T5425+U5425+2*'Read Me'!$B$13)*(1+'Read Me'!$B$12),-1)</f>
        <v/>
      </c>
      <c r="W5425" s="15">
        <f>V5425*N5425*O5425</f>
        <v/>
      </c>
      <c r="X5425" s="12">
        <f>IF(LEFT(I5425,2)="MV",2*N5425*IF(L5425="1/C",O5425,1),0)</f>
        <v/>
      </c>
      <c r="Y5425" s="12">
        <f>IF(OR(LEFT(K5425,4)="LVAX",LEFT(K5425,6)="MV15AX",LEFT(K5425,4)="CTAX",LEFT(K5425,2)="W|"),2*N5425*O5425,0)</f>
        <v/>
      </c>
      <c r="Z5425" s="12" t="inlineStr">
        <is>
          <t>fixture-to-fixture run included</t>
        </is>
      </c>
      <c r="AA5425" s="12">
        <f>N5425*O5425</f>
        <v/>
      </c>
    </row>
    <row r="5426">
      <c r="A5426" s="12" t="inlineStr">
        <is>
          <t>I-P-0262</t>
        </is>
      </c>
      <c r="B5426" s="12" t="inlineStr">
        <is>
          <t>I</t>
        </is>
      </c>
      <c r="C5426" s="12" t="inlineStr">
        <is>
          <t>Modular / portable power</t>
        </is>
      </c>
      <c r="D5426" s="12" t="inlineStr">
        <is>
          <t>Motor 1 of 2, 185 kW</t>
        </is>
      </c>
      <c r="E5426" s="12" t="inlineStr"/>
      <c r="F5426" s="12" t="inlineStr">
        <is>
          <t>SC-1 PCM + 15 kV GCB</t>
        </is>
      </c>
      <c r="G5426" s="12" t="inlineStr"/>
      <c r="H5426" s="12" t="inlineStr">
        <is>
          <t>SC-1 tempering-air fans (2 x 100 %)</t>
        </is>
      </c>
      <c r="I5426" s="12" t="inlineStr">
        <is>
          <t>LV 600 V</t>
        </is>
      </c>
      <c r="J5426" s="12" t="inlineStr">
        <is>
          <t>Type TC-ER 600 V 3/C Cu XHHW-2 + ground, PVC jacket</t>
        </is>
      </c>
      <c r="K5426" s="12" t="inlineStr">
        <is>
          <t>LV|3/C+G|500</t>
        </is>
      </c>
      <c r="L5426" s="12" t="inlineStr">
        <is>
          <t>3/C+G</t>
        </is>
      </c>
      <c r="M5426" s="12" t="inlineStr">
        <is>
          <t>500 kcmil</t>
        </is>
      </c>
      <c r="N5426" s="12" t="n">
        <v>1</v>
      </c>
      <c r="O5426" s="12" t="n">
        <v>1</v>
      </c>
      <c r="P5426" s="12" t="n">
        <v>480</v>
      </c>
      <c r="Q5426" s="12" t="n">
        <v>185</v>
      </c>
      <c r="R5426" s="12" t="n">
        <v>261.8</v>
      </c>
      <c r="S5426" s="12" t="inlineStr">
        <is>
          <t>Duct bank</t>
        </is>
      </c>
      <c r="T5426" s="15" t="n">
        <v>15</v>
      </c>
      <c r="U5426" s="15" t="n">
        <v>99</v>
      </c>
      <c r="V5426" s="15">
        <f>ROUNDUP((T5426+U5426+2*'Read Me'!$B$13)*(1+'Read Me'!$B$12),-1)</f>
        <v/>
      </c>
      <c r="W5426" s="15">
        <f>V5426*N5426*O5426</f>
        <v/>
      </c>
      <c r="X5426" s="12">
        <f>IF(LEFT(I5426,2)="MV",2*N5426*IF(L5426="1/C",O5426,1),0)</f>
        <v/>
      </c>
      <c r="Y5426" s="12">
        <f>IF(OR(LEFT(K5426,4)="LVAX",LEFT(K5426,6)="MV15AX",LEFT(K5426,4)="CTAX",LEFT(K5426,2)="W|"),2*N5426*O5426,0)</f>
        <v/>
      </c>
      <c r="Z5426" s="12" t="inlineStr">
        <is>
          <t>VD 0.3 %</t>
        </is>
      </c>
      <c r="AA5426" s="12">
        <f>N5426*O5426</f>
        <v/>
      </c>
    </row>
    <row r="5427">
      <c r="A5427" s="12" t="inlineStr">
        <is>
          <t>I-P-0263</t>
        </is>
      </c>
      <c r="B5427" s="12" t="inlineStr">
        <is>
          <t>I</t>
        </is>
      </c>
      <c r="C5427" s="12" t="inlineStr">
        <is>
          <t>Modular / portable power</t>
        </is>
      </c>
      <c r="D5427" s="12" t="inlineStr">
        <is>
          <t>Motor 2 of 2, 185 kW</t>
        </is>
      </c>
      <c r="E5427" s="12" t="inlineStr"/>
      <c r="F5427" s="12" t="inlineStr">
        <is>
          <t>SC-1 PCM + 15 kV GCB</t>
        </is>
      </c>
      <c r="G5427" s="12" t="inlineStr"/>
      <c r="H5427" s="12" t="inlineStr">
        <is>
          <t>SC-1 tempering-air fans (2 x 100 %)</t>
        </is>
      </c>
      <c r="I5427" s="12" t="inlineStr">
        <is>
          <t>LV 600 V</t>
        </is>
      </c>
      <c r="J5427" s="12" t="inlineStr">
        <is>
          <t>Type TC-ER 600 V 3/C Cu XHHW-2 + ground, PVC jacket</t>
        </is>
      </c>
      <c r="K5427" s="12" t="inlineStr">
        <is>
          <t>LV|3/C+G|500</t>
        </is>
      </c>
      <c r="L5427" s="12" t="inlineStr">
        <is>
          <t>3/C+G</t>
        </is>
      </c>
      <c r="M5427" s="12" t="inlineStr">
        <is>
          <t>500 kcmil</t>
        </is>
      </c>
      <c r="N5427" s="12" t="n">
        <v>1</v>
      </c>
      <c r="O5427" s="12" t="n">
        <v>1</v>
      </c>
      <c r="P5427" s="12" t="n">
        <v>480</v>
      </c>
      <c r="Q5427" s="12" t="n">
        <v>185</v>
      </c>
      <c r="R5427" s="12" t="n">
        <v>261.8</v>
      </c>
      <c r="S5427" s="12" t="inlineStr">
        <is>
          <t>Duct bank</t>
        </is>
      </c>
      <c r="T5427" s="15" t="n">
        <v>15</v>
      </c>
      <c r="U5427" s="15" t="n">
        <v>99</v>
      </c>
      <c r="V5427" s="15">
        <f>ROUNDUP((T5427+U5427+2*'Read Me'!$B$13)*(1+'Read Me'!$B$12),-1)</f>
        <v/>
      </c>
      <c r="W5427" s="15">
        <f>V5427*N5427*O5427</f>
        <v/>
      </c>
      <c r="X5427" s="12">
        <f>IF(LEFT(I5427,2)="MV",2*N5427*IF(L5427="1/C",O5427,1),0)</f>
        <v/>
      </c>
      <c r="Y5427" s="12">
        <f>IF(OR(LEFT(K5427,4)="LVAX",LEFT(K5427,6)="MV15AX",LEFT(K5427,4)="CTAX",LEFT(K5427,2)="W|"),2*N5427*O5427,0)</f>
        <v/>
      </c>
      <c r="Z5427" s="12" t="inlineStr">
        <is>
          <t>VD 0.3 %</t>
        </is>
      </c>
      <c r="AA5427" s="12">
        <f>N5427*O5427</f>
        <v/>
      </c>
    </row>
    <row r="5428">
      <c r="A5428" s="12" t="inlineStr">
        <is>
          <t>I-P-0264</t>
        </is>
      </c>
      <c r="B5428" s="12" t="inlineStr">
        <is>
          <t>I</t>
        </is>
      </c>
      <c r="C5428" s="12" t="inlineStr">
        <is>
          <t>Modular / portable power</t>
        </is>
      </c>
      <c r="D5428" s="12" t="inlineStr">
        <is>
          <t>Area / platform lighting circuit 1 (4 fixtures)</t>
        </is>
      </c>
      <c r="E5428" s="12" t="inlineStr"/>
      <c r="F5428" s="12" t="inlineStr">
        <is>
          <t>SC-1 PCM + 15 kV GCB</t>
        </is>
      </c>
      <c r="G5428" s="12" t="inlineStr"/>
      <c r="H5428" s="12" t="inlineStr">
        <is>
          <t>SC-1 tempering-air fans (2 x 100 %)</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3</v>
      </c>
      <c r="R5428" s="12" t="n">
        <v>5</v>
      </c>
      <c r="S5428" s="12" t="inlineStr">
        <is>
          <t>Duct bank</t>
        </is>
      </c>
      <c r="T5428" s="15" t="n">
        <v>315</v>
      </c>
      <c r="U5428" s="15" t="n">
        <v>99</v>
      </c>
      <c r="V5428" s="15">
        <f>ROUNDUP((T5428+U5428+2*'Read Me'!$B$13)*(1+'Read Me'!$B$12),-1)</f>
        <v/>
      </c>
      <c r="W5428" s="15">
        <f>V5428*N5428*O5428</f>
        <v/>
      </c>
      <c r="X5428" s="12">
        <f>IF(LEFT(I5428,2)="MV",2*N5428*IF(L5428="1/C",O5428,1),0)</f>
        <v/>
      </c>
      <c r="Y5428" s="12">
        <f>IF(OR(LEFT(K5428,4)="LVAX",LEFT(K5428,6)="MV15AX",LEFT(K5428,4)="CTAX",LEFT(K5428,2)="W|"),2*N5428*O5428,0)</f>
        <v/>
      </c>
      <c r="Z5428" s="12" t="inlineStr">
        <is>
          <t>fixture-to-fixture run included</t>
        </is>
      </c>
      <c r="AA5428" s="12">
        <f>N5428*O5428</f>
        <v/>
      </c>
    </row>
    <row r="5429">
      <c r="A5429" s="12" t="inlineStr">
        <is>
          <t>I-P-0265</t>
        </is>
      </c>
      <c r="B5429" s="12" t="inlineStr">
        <is>
          <t>I</t>
        </is>
      </c>
      <c r="C5429" s="12" t="inlineStr">
        <is>
          <t>Modular / portable power</t>
        </is>
      </c>
      <c r="D5429" s="12" t="inlineStr">
        <is>
          <t>SC-1 emergency DC lube-oil pump (125 V DC, coast-down)</t>
        </is>
      </c>
      <c r="E5429" s="12" t="inlineStr"/>
      <c r="F5429" s="12" t="inlineStr">
        <is>
          <t>SC-1 PCM + 15 kV GCB</t>
        </is>
      </c>
      <c r="G5429" s="12" t="inlineStr">
        <is>
          <t>SC-1</t>
        </is>
      </c>
      <c r="H5429" s="12" t="inlineStr">
        <is>
          <t>SC-1: aeroderivative simple-cycle unit (LM6000 class)</t>
        </is>
      </c>
      <c r="I5429" s="12" t="inlineStr">
        <is>
          <t>LV 600 V</t>
        </is>
      </c>
      <c r="J5429" s="12" t="inlineStr">
        <is>
          <t>XHHW-2 600 V 1/C Cu (feeder sets in tray / duct)</t>
        </is>
      </c>
      <c r="K5429" s="12" t="inlineStr">
        <is>
          <t>LV1C|1/C|2</t>
        </is>
      </c>
      <c r="L5429" s="12" t="inlineStr">
        <is>
          <t>1/C</t>
        </is>
      </c>
      <c r="M5429" s="12" t="inlineStr">
        <is>
          <t>2</t>
        </is>
      </c>
      <c r="N5429" s="12" t="n">
        <v>1</v>
      </c>
      <c r="O5429" s="12" t="n">
        <v>2</v>
      </c>
      <c r="P5429" s="12" t="n">
        <v>125</v>
      </c>
      <c r="Q5429" s="12" t="n">
        <v>7.5</v>
      </c>
      <c r="R5429" s="12" t="n">
        <v>65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LM6000 class: DC pump keeps the bearings fed on loss of AC</t>
        </is>
      </c>
      <c r="AA5429" s="12">
        <f>N5429*O5429</f>
        <v/>
      </c>
    </row>
    <row r="5430">
      <c r="A5430" s="12" t="inlineStr">
        <is>
          <t>I-P-0266</t>
        </is>
      </c>
      <c r="B5430" s="12" t="inlineStr">
        <is>
          <t>I</t>
        </is>
      </c>
      <c r="C5430" s="12" t="inlineStr">
        <is>
          <t>Modular / portable power</t>
        </is>
      </c>
      <c r="D5430" s="12" t="inlineStr">
        <is>
          <t>SC-1 120 V AC UPS to the unit control and protection</t>
        </is>
      </c>
      <c r="E5430" s="12" t="inlineStr"/>
      <c r="F5430" s="12" t="inlineStr">
        <is>
          <t>SC-1 PCM + 15 kV GCB</t>
        </is>
      </c>
      <c r="G5430" s="12" t="inlineStr">
        <is>
          <t>SC-1</t>
        </is>
      </c>
      <c r="H5430" s="12" t="inlineStr">
        <is>
          <t>SC-1: aeroderivative simple-cycle unit (LM6000 class)</t>
        </is>
      </c>
      <c r="I5430" s="12" t="inlineStr">
        <is>
          <t>LV 600 V</t>
        </is>
      </c>
      <c r="J5430" s="12" t="inlineStr">
        <is>
          <t>XHHW-2 600 V 1/C Cu (feeder sets in tray / duct)</t>
        </is>
      </c>
      <c r="K5430" s="12" t="inlineStr">
        <is>
          <t>LV1C|1/C|6</t>
        </is>
      </c>
      <c r="L5430" s="12" t="inlineStr">
        <is>
          <t>1/C</t>
        </is>
      </c>
      <c r="M5430" s="12" t="inlineStr">
        <is>
          <t>6</t>
        </is>
      </c>
      <c r="N5430" s="12" t="n">
        <v>1</v>
      </c>
      <c r="O5430" s="12" t="n">
        <v>2</v>
      </c>
      <c r="P5430" s="12" t="n">
        <v>120</v>
      </c>
      <c r="Q5430" s="12" t="n">
        <v>5</v>
      </c>
      <c r="R5430" s="12" t="n"/>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c r="AA5430" s="12">
        <f>N5430*O5430</f>
        <v/>
      </c>
    </row>
    <row r="5431">
      <c r="A5431" s="12" t="inlineStr">
        <is>
          <t>I-P-0267</t>
        </is>
      </c>
      <c r="B5431" s="12" t="inlineStr">
        <is>
          <t>I</t>
        </is>
      </c>
      <c r="C5431" s="12" t="inlineStr">
        <is>
          <t>Modular / portable power</t>
        </is>
      </c>
      <c r="D5431" s="12" t="inlineStr">
        <is>
          <t>SC-1 hydraulic starter pump motor (start sequence only)</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LV|3/C+G|3/0</t>
        </is>
      </c>
      <c r="L5431" s="12" t="inlineStr">
        <is>
          <t>3/C+G</t>
        </is>
      </c>
      <c r="M5431" s="12" t="inlineStr">
        <is>
          <t>3/0</t>
        </is>
      </c>
      <c r="N5431" s="12" t="n">
        <v>2</v>
      </c>
      <c r="O5431" s="12" t="n">
        <v>1</v>
      </c>
      <c r="P5431" s="12" t="n">
        <v>480</v>
      </c>
      <c r="Q5431" s="12" t="n">
        <v>225</v>
      </c>
      <c r="R5431" s="12" t="n">
        <v>318.4</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typical LM6000 hydraulic start; verify starter type / rating with the OEM</t>
        </is>
      </c>
      <c r="AA5431" s="12">
        <f>N5431*O5431</f>
        <v/>
      </c>
    </row>
    <row r="5432">
      <c r="A5432" s="12" t="inlineStr">
        <is>
          <t>I-P-0268</t>
        </is>
      </c>
      <c r="B5432" s="12" t="inlineStr">
        <is>
          <t>I</t>
        </is>
      </c>
      <c r="C5432" s="12" t="inlineStr">
        <is>
          <t>Modular / portable power</t>
        </is>
      </c>
      <c r="D5432" s="12" t="inlineStr">
        <is>
          <t>SC-1 480 V welding receptacle 1</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LV|3/C+G|2</t>
        </is>
      </c>
      <c r="L5432" s="12" t="inlineStr">
        <is>
          <t>3/C+G</t>
        </is>
      </c>
      <c r="M5432" s="12" t="inlineStr">
        <is>
          <t>2</t>
        </is>
      </c>
      <c r="N5432" s="12" t="n">
        <v>1</v>
      </c>
      <c r="O5432" s="12" t="n">
        <v>1</v>
      </c>
      <c r="P5432" s="12" t="n">
        <v>480</v>
      </c>
      <c r="Q5432" s="12" t="n">
        <v>60</v>
      </c>
      <c r="R5432" s="12" t="n">
        <v>76</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0.4 %</t>
        </is>
      </c>
      <c r="AA5432" s="12">
        <f>N5432*O5432</f>
        <v/>
      </c>
    </row>
    <row r="5433">
      <c r="A5433" s="12" t="inlineStr">
        <is>
          <t>I-P-0269</t>
        </is>
      </c>
      <c r="B5433" s="12" t="inlineStr">
        <is>
          <t>I</t>
        </is>
      </c>
      <c r="C5433" s="12" t="inlineStr">
        <is>
          <t>Modular / portable power</t>
        </is>
      </c>
      <c r="D5433" s="12" t="inlineStr">
        <is>
          <t>SC-1 480 V welding receptacle 2</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LV|3/C+G|2</t>
        </is>
      </c>
      <c r="L5433" s="12" t="inlineStr">
        <is>
          <t>3/C+G</t>
        </is>
      </c>
      <c r="M5433" s="12" t="inlineStr">
        <is>
          <t>2</t>
        </is>
      </c>
      <c r="N5433" s="12" t="n">
        <v>1</v>
      </c>
      <c r="O5433" s="12" t="n">
        <v>1</v>
      </c>
      <c r="P5433" s="12" t="n">
        <v>480</v>
      </c>
      <c r="Q5433" s="12" t="n">
        <v>60</v>
      </c>
      <c r="R5433" s="12" t="n">
        <v>76</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0.4 %</t>
        </is>
      </c>
      <c r="AA5433" s="12">
        <f>N5433*O5433</f>
        <v/>
      </c>
    </row>
    <row r="5434">
      <c r="A5434" s="12" t="inlineStr">
        <is>
          <t>I-P-0270</t>
        </is>
      </c>
      <c r="B5434" s="12" t="inlineStr">
        <is>
          <t>I</t>
        </is>
      </c>
      <c r="C5434" s="12" t="inlineStr">
        <is>
          <t>Modular / portable power</t>
        </is>
      </c>
      <c r="D5434" s="12" t="inlineStr">
        <is>
          <t>Motor 1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I-P-0271</t>
        </is>
      </c>
      <c r="B5435" s="12" t="inlineStr">
        <is>
          <t>I</t>
        </is>
      </c>
      <c r="C5435" s="12" t="inlineStr">
        <is>
          <t>Modular / portable power</t>
        </is>
      </c>
      <c r="D5435" s="12" t="inlineStr">
        <is>
          <t>Motor 2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I-P-0272</t>
        </is>
      </c>
      <c r="B5436" s="12" t="inlineStr">
        <is>
          <t>I</t>
        </is>
      </c>
      <c r="C5436" s="12" t="inlineStr">
        <is>
          <t>Modular / portable power</t>
        </is>
      </c>
      <c r="D5436" s="12" t="inlineStr">
        <is>
          <t>Motor 3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I-P-0273</t>
        </is>
      </c>
      <c r="B5437" s="12" t="inlineStr">
        <is>
          <t>I</t>
        </is>
      </c>
      <c r="C5437" s="12" t="inlineStr">
        <is>
          <t>Modular / portable power</t>
        </is>
      </c>
      <c r="D5437" s="12" t="inlineStr">
        <is>
          <t>Motor 4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I-P-0274</t>
        </is>
      </c>
      <c r="B5438" s="12" t="inlineStr">
        <is>
          <t>I</t>
        </is>
      </c>
      <c r="C5438" s="12" t="inlineStr">
        <is>
          <t>Modular / portable power</t>
        </is>
      </c>
      <c r="D5438" s="12" t="inlineStr">
        <is>
          <t>Motor 5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I-P-0275</t>
        </is>
      </c>
      <c r="B5439" s="12" t="inlineStr">
        <is>
          <t>I</t>
        </is>
      </c>
      <c r="C5439" s="12" t="inlineStr">
        <is>
          <t>Modular / portable power</t>
        </is>
      </c>
      <c r="D5439" s="12" t="inlineStr">
        <is>
          <t>Motor 6 of 10, 30 kW</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VD 0.6 %</t>
        </is>
      </c>
      <c r="AA5439" s="12">
        <f>N5439*O5439</f>
        <v/>
      </c>
    </row>
    <row r="5440">
      <c r="A5440" s="12" t="inlineStr">
        <is>
          <t>I-P-0276</t>
        </is>
      </c>
      <c r="B5440" s="12" t="inlineStr">
        <is>
          <t>I</t>
        </is>
      </c>
      <c r="C5440" s="12" t="inlineStr">
        <is>
          <t>Modular / portable power</t>
        </is>
      </c>
      <c r="D5440" s="12" t="inlineStr">
        <is>
          <t>Motor 7 of 10, 30 kW</t>
        </is>
      </c>
      <c r="E5440" s="12" t="inlineStr"/>
      <c r="F5440" s="12" t="inlineStr">
        <is>
          <t>SC-1 PCM + 15 kV GCB</t>
        </is>
      </c>
      <c r="G5440" s="12" t="inlineStr">
        <is>
          <t>SC-1</t>
        </is>
      </c>
      <c r="H5440" s="12" t="inlineStr">
        <is>
          <t>SC-1: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is>
          <t>VD 0.6 %</t>
        </is>
      </c>
      <c r="AA5440" s="12">
        <f>N5440*O5440</f>
        <v/>
      </c>
    </row>
    <row r="5441">
      <c r="A5441" s="12" t="inlineStr">
        <is>
          <t>I-P-0277</t>
        </is>
      </c>
      <c r="B5441" s="12" t="inlineStr">
        <is>
          <t>I</t>
        </is>
      </c>
      <c r="C5441" s="12" t="inlineStr">
        <is>
          <t>Modular / portable power</t>
        </is>
      </c>
      <c r="D5441" s="12" t="inlineStr">
        <is>
          <t>Motor 8 of 10, 30 kW</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I-P-0278</t>
        </is>
      </c>
      <c r="B5442" s="12" t="inlineStr">
        <is>
          <t>I</t>
        </is>
      </c>
      <c r="C5442" s="12" t="inlineStr">
        <is>
          <t>Modular / portable power</t>
        </is>
      </c>
      <c r="D5442" s="12" t="inlineStr">
        <is>
          <t>Motor 9 of 10, 30 kW</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I-P-0279</t>
        </is>
      </c>
      <c r="B5443" s="12" t="inlineStr">
        <is>
          <t>I</t>
        </is>
      </c>
      <c r="C5443" s="12" t="inlineStr">
        <is>
          <t>Modular / portable power</t>
        </is>
      </c>
      <c r="D5443" s="12" t="inlineStr">
        <is>
          <t>Motor 10 of 10, 30 kW</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0.6 %</t>
        </is>
      </c>
      <c r="AA5443" s="12">
        <f>N5443*O5443</f>
        <v/>
      </c>
    </row>
    <row r="5444">
      <c r="A5444" s="12" t="inlineStr">
        <is>
          <t>I-P-0280</t>
        </is>
      </c>
      <c r="B5444" s="12" t="inlineStr">
        <is>
          <t>I</t>
        </is>
      </c>
      <c r="C5444" s="12" t="inlineStr">
        <is>
          <t>Modular / portable power</t>
        </is>
      </c>
      <c r="D5444" s="12" t="inlineStr">
        <is>
          <t>Area / platform lighting circuit 1 (8 fixtures)</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3</v>
      </c>
      <c r="R5444" s="12" t="n">
        <v>5</v>
      </c>
      <c r="S5444" s="12" t="inlineStr">
        <is>
          <t>Tray</t>
        </is>
      </c>
      <c r="T5444" s="15" t="n">
        <v>305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fixture-to-fixture run included</t>
        </is>
      </c>
      <c r="AA5444" s="12">
        <f>N5444*O5444</f>
        <v/>
      </c>
    </row>
    <row r="5445">
      <c r="A5445" s="12" t="inlineStr">
        <is>
          <t>I-P-0281</t>
        </is>
      </c>
      <c r="B5445" s="12" t="inlineStr">
        <is>
          <t>I</t>
        </is>
      </c>
      <c r="C5445" s="12" t="inlineStr">
        <is>
          <t>Modular / portable power</t>
        </is>
      </c>
      <c r="D5445" s="12" t="inlineStr">
        <is>
          <t>SC-2 CEMS shelter panel: analysers, heated sample line, lighting</t>
        </is>
      </c>
      <c r="E5445" s="12" t="inlineStr"/>
      <c r="F5445" s="12" t="inlineStr">
        <is>
          <t>SC-2 PCM + 15 kV GCB</t>
        </is>
      </c>
      <c r="G5445" s="12" t="inlineStr"/>
      <c r="H5445" s="12" t="inlineStr">
        <is>
          <t>SC-2 CEMS shelter</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15</v>
      </c>
      <c r="R5445" s="12" t="n">
        <v>19</v>
      </c>
      <c r="S5445" s="12" t="inlineStr">
        <is>
          <t>Duct bank</t>
        </is>
      </c>
      <c r="T5445" s="15" t="n">
        <v>74</v>
      </c>
      <c r="U5445" s="15" t="n">
        <v>112</v>
      </c>
      <c r="V5445" s="15">
        <f>ROUNDUP((T5445+U5445+2*'Read Me'!$B$13)*(1+'Read Me'!$B$12),-1)</f>
        <v/>
      </c>
      <c r="W5445" s="15">
        <f>V5445*N5445*O5445</f>
        <v/>
      </c>
      <c r="X5445" s="12">
        <f>IF(LEFT(I5445,2)="MV",2*N5445*IF(L5445="1/C",O5445,1),0)</f>
        <v/>
      </c>
      <c r="Y5445" s="12">
        <f>IF(OR(LEFT(K5445,4)="LVAX",LEFT(K5445,6)="MV15AX",LEFT(K5445,4)="CTAX",LEFT(K5445,2)="W|"),2*N5445*O5445,0)</f>
        <v/>
      </c>
      <c r="Z5445" s="12" t="inlineStr">
        <is>
          <t>VD 1.7 %</t>
        </is>
      </c>
      <c r="AA5445" s="12">
        <f>N5445*O5445</f>
        <v/>
      </c>
    </row>
    <row r="5446">
      <c r="A5446" s="12" t="inlineStr">
        <is>
          <t>I-P-0282</t>
        </is>
      </c>
      <c r="B5446" s="12" t="inlineStr">
        <is>
          <t>I</t>
        </is>
      </c>
      <c r="C5446" s="12" t="inlineStr">
        <is>
          <t>Modular / portable power</t>
        </is>
      </c>
      <c r="D5446" s="12" t="inlineStr">
        <is>
          <t>Motor 1 of 2, 5 kW</t>
        </is>
      </c>
      <c r="E5446" s="12" t="inlineStr"/>
      <c r="F5446" s="12" t="inlineStr">
        <is>
          <t>SC-2 PCM + 15 kV GCB</t>
        </is>
      </c>
      <c r="G5446" s="12" t="inlineStr"/>
      <c r="H5446" s="12" t="inlineStr">
        <is>
          <t>SC-2 CEMS shelter</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5</v>
      </c>
      <c r="R5446" s="12" t="n">
        <v>7.1</v>
      </c>
      <c r="S5446" s="12" t="inlineStr">
        <is>
          <t>Duct bank</t>
        </is>
      </c>
      <c r="T5446" s="15" t="n">
        <v>74</v>
      </c>
      <c r="U5446" s="15" t="n">
        <v>112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I-P-0283</t>
        </is>
      </c>
      <c r="B5447" s="12" t="inlineStr">
        <is>
          <t>I</t>
        </is>
      </c>
      <c r="C5447" s="12" t="inlineStr">
        <is>
          <t>Modular / portable power</t>
        </is>
      </c>
      <c r="D5447" s="12" t="inlineStr">
        <is>
          <t>Motor 2 of 2, 5 kW</t>
        </is>
      </c>
      <c r="E5447" s="12" t="inlineStr"/>
      <c r="F5447" s="12" t="inlineStr">
        <is>
          <t>SC-2 PCM + 15 kV GCB</t>
        </is>
      </c>
      <c r="G5447" s="12" t="inlineStr"/>
      <c r="H5447" s="12" t="inlineStr">
        <is>
          <t>SC-2 CEMS shelter</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5</v>
      </c>
      <c r="R5447" s="12" t="n">
        <v>7.1</v>
      </c>
      <c r="S5447" s="12" t="inlineStr">
        <is>
          <t>Duct bank</t>
        </is>
      </c>
      <c r="T5447" s="15" t="n">
        <v>74</v>
      </c>
      <c r="U5447" s="15" t="n">
        <v>112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I-P-0284</t>
        </is>
      </c>
      <c r="B5448" s="12" t="inlineStr">
        <is>
          <t>I</t>
        </is>
      </c>
      <c r="C5448" s="12" t="inlineStr">
        <is>
          <t>Modular / portable power</t>
        </is>
      </c>
      <c r="D5448" s="12" t="inlineStr">
        <is>
          <t>SC-2 125 V DC battery to charger / DC panel</t>
        </is>
      </c>
      <c r="E5448" s="12" t="inlineStr"/>
      <c r="F5448" s="12" t="inlineStr">
        <is>
          <t>SC-2 PCM + 15 kV GCB</t>
        </is>
      </c>
      <c r="G5448" s="12" t="inlineStr"/>
      <c r="H5448" s="12" t="inlineStr">
        <is>
          <t>SC-2 PCM + 15 kV GCB</t>
        </is>
      </c>
      <c r="I5448" s="12" t="inlineStr">
        <is>
          <t>LV 600 V</t>
        </is>
      </c>
      <c r="J5448" s="12" t="inlineStr">
        <is>
          <t>XHHW-2 600 V 1/C Cu (feeder sets in tray / duct)</t>
        </is>
      </c>
      <c r="K5448" s="12" t="inlineStr">
        <is>
          <t>LV1C|1/C|4/0</t>
        </is>
      </c>
      <c r="L5448" s="12" t="inlineStr">
        <is>
          <t>1/C</t>
        </is>
      </c>
      <c r="M5448" s="12" t="inlineStr">
        <is>
          <t>4/0</t>
        </is>
      </c>
      <c r="N5448" s="12" t="n">
        <v>1</v>
      </c>
      <c r="O5448" s="12" t="n">
        <v>2</v>
      </c>
      <c r="P5448" s="12" t="n">
        <v>125</v>
      </c>
      <c r="Q5448" s="12" t="n"/>
      <c r="R5448" s="12" t="n"/>
      <c r="S5448" s="12" t="inlineStr">
        <is>
          <t>Tray</t>
        </is>
      </c>
      <c r="T5448" s="15" t="n">
        <v>15</v>
      </c>
      <c r="U5448" s="15" t="n">
        <v>5</v>
      </c>
      <c r="V5448" s="15">
        <f>ROUNDUP((T5448+U5448+2*'Read Me'!$B$13)*(1+'Read Me'!$B$12),-1)</f>
        <v/>
      </c>
      <c r="W5448" s="15">
        <f>V5448*N5448*O5448</f>
        <v/>
      </c>
      <c r="X5448" s="12">
        <f>IF(LEFT(I5448,2)="MV",2*N5448*IF(L5448="1/C",O5448,1),0)</f>
        <v/>
      </c>
      <c r="Y5448" s="12">
        <f>IF(OR(LEFT(K5448,4)="LVAX",LEFT(K5448,6)="MV15AX",LEFT(K5448,4)="CTAX",LEFT(K5448,2)="W|"),2*N5448*O5448,0)</f>
        <v/>
      </c>
      <c r="Z5448" s="12" t="inlineStr">
        <is>
          <t>battery rack inside the PCM</t>
        </is>
      </c>
      <c r="AA5448" s="12">
        <f>N5448*O5448</f>
        <v/>
      </c>
    </row>
    <row r="5449">
      <c r="A5449" s="12" t="inlineStr">
        <is>
          <t>I-P-0285</t>
        </is>
      </c>
      <c r="B5449" s="12" t="inlineStr">
        <is>
          <t>I</t>
        </is>
      </c>
      <c r="C5449" s="12" t="inlineStr">
        <is>
          <t>Modular / portable power</t>
        </is>
      </c>
      <c r="D5449" s="12" t="inlineStr">
        <is>
          <t>SC-2 PCM lighting, receptacles and HVAC (from its own 480 V board)</t>
        </is>
      </c>
      <c r="E5449" s="12" t="inlineStr"/>
      <c r="F5449" s="12" t="inlineStr">
        <is>
          <t>SC-2 PCM + 15 kV GCB</t>
        </is>
      </c>
      <c r="G5449" s="12" t="inlineStr"/>
      <c r="H5449" s="12" t="inlineStr">
        <is>
          <t>SC-2 PCM + 15 kV GCB</t>
        </is>
      </c>
      <c r="I5449" s="12" t="inlineStr">
        <is>
          <t>LV 600 V</t>
        </is>
      </c>
      <c r="J5449" s="12" t="inlineStr">
        <is>
          <t>Type TC-ER 600 V 3/C Cu XHHW-2 + ground, PVC jacket</t>
        </is>
      </c>
      <c r="K5449" s="12" t="inlineStr">
        <is>
          <t>LV|3/C+G|2</t>
        </is>
      </c>
      <c r="L5449" s="12" t="inlineStr">
        <is>
          <t>3/C+G</t>
        </is>
      </c>
      <c r="M5449" s="12" t="inlineStr">
        <is>
          <t>2</t>
        </is>
      </c>
      <c r="N5449" s="12" t="n">
        <v>1</v>
      </c>
      <c r="O5449" s="12" t="n">
        <v>1</v>
      </c>
      <c r="P5449" s="12" t="n">
        <v>480</v>
      </c>
      <c r="Q5449" s="12" t="n">
        <v>40</v>
      </c>
      <c r="R5449" s="12" t="n"/>
      <c r="S5449" s="12" t="inlineStr">
        <is>
          <t>Tray</t>
        </is>
      </c>
      <c r="T5449" s="15" t="n">
        <v>80</v>
      </c>
      <c r="U5449" s="15" t="n">
        <v>10</v>
      </c>
      <c r="V5449" s="15">
        <f>ROUNDUP((T5449+U5449+2*'Read Me'!$B$13)*(1+'Read Me'!$B$12),-1)</f>
        <v/>
      </c>
      <c r="W5449" s="15">
        <f>V5449*N5449*O5449</f>
        <v/>
      </c>
      <c r="X5449" s="12">
        <f>IF(LEFT(I5449,2)="MV",2*N5449*IF(L5449="1/C",O5449,1),0)</f>
        <v/>
      </c>
      <c r="Y5449" s="12">
        <f>IF(OR(LEFT(K5449,4)="LVAX",LEFT(K5449,6)="MV15AX",LEFT(K5449,4)="CTAX",LEFT(K5449,2)="W|"),2*N5449*O5449,0)</f>
        <v/>
      </c>
      <c r="Z5449" s="12" t="inlineStr">
        <is>
          <t>internal to the PCM; aux transformer 13.8 kV / 480 V inside</t>
        </is>
      </c>
      <c r="AA5449" s="12">
        <f>N5449*O5449</f>
        <v/>
      </c>
    </row>
    <row r="5450">
      <c r="A5450" s="12" t="inlineStr">
        <is>
          <t>I-P-0286</t>
        </is>
      </c>
      <c r="B5450" s="12" t="inlineStr">
        <is>
          <t>I</t>
        </is>
      </c>
      <c r="C5450" s="12" t="inlineStr">
        <is>
          <t>Modular / portable power</t>
        </is>
      </c>
      <c r="D5450" s="12" t="inlineStr">
        <is>
          <t>Area / platform lighting circuit 1 (10 fixtures)</t>
        </is>
      </c>
      <c r="E5450" s="12" t="inlineStr"/>
      <c r="F5450" s="12" t="inlineStr">
        <is>
          <t>SC-2 PCM + 15 kV GCB</t>
        </is>
      </c>
      <c r="G5450" s="12" t="inlineStr"/>
      <c r="H5450" s="12" t="inlineStr">
        <is>
          <t>SC-2 SCR / CO catalyst</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3</v>
      </c>
      <c r="R5450" s="12" t="n">
        <v>5</v>
      </c>
      <c r="S5450" s="12" t="inlineStr">
        <is>
          <t>Duct bank</t>
        </is>
      </c>
      <c r="T5450" s="15" t="n">
        <v>348</v>
      </c>
      <c r="U5450" s="15" t="n">
        <v>64</v>
      </c>
      <c r="V5450" s="15">
        <f>ROUNDUP((T5450+U5450+2*'Read Me'!$B$13)*(1+'Read Me'!$B$12),-1)</f>
        <v/>
      </c>
      <c r="W5450" s="15">
        <f>V5450*N5450*O5450</f>
        <v/>
      </c>
      <c r="X5450" s="12">
        <f>IF(LEFT(I5450,2)="MV",2*N5450*IF(L5450="1/C",O5450,1),0)</f>
        <v/>
      </c>
      <c r="Y5450" s="12">
        <f>IF(OR(LEFT(K5450,4)="LVAX",LEFT(K5450,6)="MV15AX",LEFT(K5450,4)="CTAX",LEFT(K5450,2)="W|"),2*N5450*O5450,0)</f>
        <v/>
      </c>
      <c r="Z5450" s="12" t="inlineStr">
        <is>
          <t>fixture-to-fixture run included</t>
        </is>
      </c>
      <c r="AA5450" s="12">
        <f>N5450*O5450</f>
        <v/>
      </c>
    </row>
    <row r="5451">
      <c r="A5451" s="12" t="inlineStr">
        <is>
          <t>I-P-0287</t>
        </is>
      </c>
      <c r="B5451" s="12" t="inlineStr">
        <is>
          <t>I</t>
        </is>
      </c>
      <c r="C5451" s="12" t="inlineStr">
        <is>
          <t>Modular / portable power</t>
        </is>
      </c>
      <c r="D5451" s="12" t="inlineStr">
        <is>
          <t>SC-2 ammonia vaporiser electric heater</t>
        </is>
      </c>
      <c r="E5451" s="12" t="inlineStr"/>
      <c r="F5451" s="12" t="inlineStr">
        <is>
          <t>SC-2 PCM + 15 kV GCB</t>
        </is>
      </c>
      <c r="G5451" s="12" t="inlineStr"/>
      <c r="H5451" s="12" t="inlineStr">
        <is>
          <t>SC-2 ammonia flow-control unit</t>
        </is>
      </c>
      <c r="I5451" s="12" t="inlineStr">
        <is>
          <t>LV 600 V</t>
        </is>
      </c>
      <c r="J5451" s="12" t="inlineStr">
        <is>
          <t>Type TC-ER 600 V 3/C Cu XHHW-2 + ground, PVC jacket</t>
        </is>
      </c>
      <c r="K5451" s="12" t="inlineStr">
        <is>
          <t>LV|3/C+G|4</t>
        </is>
      </c>
      <c r="L5451" s="12" t="inlineStr">
        <is>
          <t>3/C+G</t>
        </is>
      </c>
      <c r="M5451" s="12" t="inlineStr">
        <is>
          <t>4</t>
        </is>
      </c>
      <c r="N5451" s="12" t="n">
        <v>1</v>
      </c>
      <c r="O5451" s="12" t="n">
        <v>1</v>
      </c>
      <c r="P5451" s="12" t="n">
        <v>480</v>
      </c>
      <c r="Q5451" s="12" t="n">
        <v>45</v>
      </c>
      <c r="R5451" s="12" t="n">
        <v>57</v>
      </c>
      <c r="S5451" s="12" t="inlineStr">
        <is>
          <t>Duct bank</t>
        </is>
      </c>
      <c r="T5451" s="15" t="n">
        <v>48</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0.8 %</t>
        </is>
      </c>
      <c r="AA5451" s="12">
        <f>N5451*O5451</f>
        <v/>
      </c>
    </row>
    <row r="5452">
      <c r="A5452" s="12" t="inlineStr">
        <is>
          <t>I-P-0288</t>
        </is>
      </c>
      <c r="B5452" s="12" t="inlineStr">
        <is>
          <t>I</t>
        </is>
      </c>
      <c r="C5452" s="12" t="inlineStr">
        <is>
          <t>Modular / portable power</t>
        </is>
      </c>
      <c r="D5452" s="12" t="inlineStr">
        <is>
          <t>Motor 1 of 2, 7.5 kW</t>
        </is>
      </c>
      <c r="E5452" s="12" t="inlineStr"/>
      <c r="F5452" s="12" t="inlineStr">
        <is>
          <t>SC-2 PCM + 15 kV GCB</t>
        </is>
      </c>
      <c r="G5452" s="12" t="inlineStr"/>
      <c r="H5452" s="12" t="inlineStr">
        <is>
          <t>SC-2 ammonia flow-control unit</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7.5</v>
      </c>
      <c r="R5452" s="12" t="n">
        <v>10.6</v>
      </c>
      <c r="S5452" s="12" t="inlineStr">
        <is>
          <t>Duct bank</t>
        </is>
      </c>
      <c r="T5452" s="15" t="n">
        <v>48</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I-P-0289</t>
        </is>
      </c>
      <c r="B5453" s="12" t="inlineStr">
        <is>
          <t>I</t>
        </is>
      </c>
      <c r="C5453" s="12" t="inlineStr">
        <is>
          <t>Modular / portable power</t>
        </is>
      </c>
      <c r="D5453" s="12" t="inlineStr">
        <is>
          <t>Motor 2 of 2, 7.5 kW</t>
        </is>
      </c>
      <c r="E5453" s="12" t="inlineStr"/>
      <c r="F5453" s="12" t="inlineStr">
        <is>
          <t>SC-2 PCM + 15 kV GCB</t>
        </is>
      </c>
      <c r="G5453" s="12" t="inlineStr"/>
      <c r="H5453" s="12" t="inlineStr">
        <is>
          <t>SC-2 ammonia flow-control unit</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7.5</v>
      </c>
      <c r="R5453" s="12" t="n">
        <v>10.6</v>
      </c>
      <c r="S5453" s="12" t="inlineStr">
        <is>
          <t>Duct bank</t>
        </is>
      </c>
      <c r="T5453" s="15" t="n">
        <v>48</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I-P-0290</t>
        </is>
      </c>
      <c r="B5454" s="12" t="inlineStr">
        <is>
          <t>I</t>
        </is>
      </c>
      <c r="C5454" s="12" t="inlineStr">
        <is>
          <t>Modular / portable power</t>
        </is>
      </c>
      <c r="D5454" s="12" t="inlineStr">
        <is>
          <t>SC-2 water-wash tank heater</t>
        </is>
      </c>
      <c r="E5454" s="12" t="inlineStr"/>
      <c r="F5454" s="12" t="inlineStr">
        <is>
          <t>SC-2 PCM + 15 kV GCB</t>
        </is>
      </c>
      <c r="G5454" s="12" t="inlineStr"/>
      <c r="H5454" s="12" t="inlineStr">
        <is>
          <t>SC-2 auxiliary skids: fuel-gas module, water-wash skid</t>
        </is>
      </c>
      <c r="I5454" s="12" t="inlineStr">
        <is>
          <t>LV 600 V</t>
        </is>
      </c>
      <c r="J5454" s="12" t="inlineStr">
        <is>
          <t>ARMOR-X MC-HL 600 V 3/C Cu XHHW-2 + ground, CWA, black PVC (Class I Div 2)</t>
        </is>
      </c>
      <c r="K5454" s="12" t="inlineStr">
        <is>
          <t>LVAX|3/C+G|10</t>
        </is>
      </c>
      <c r="L5454" s="12" t="inlineStr">
        <is>
          <t>3/C+G</t>
        </is>
      </c>
      <c r="M5454" s="12" t="inlineStr">
        <is>
          <t>10</t>
        </is>
      </c>
      <c r="N5454" s="12" t="n">
        <v>1</v>
      </c>
      <c r="O5454" s="12" t="n">
        <v>1</v>
      </c>
      <c r="P5454" s="12" t="n">
        <v>480</v>
      </c>
      <c r="Q5454" s="12" t="n">
        <v>6</v>
      </c>
      <c r="R5454" s="12" t="n">
        <v>7.6</v>
      </c>
      <c r="S5454" s="12" t="inlineStr">
        <is>
          <t>Duct bank</t>
        </is>
      </c>
      <c r="T5454" s="15" t="n">
        <v>10</v>
      </c>
      <c r="U5454" s="15" t="n">
        <v>43</v>
      </c>
      <c r="V5454" s="15">
        <f>ROUNDUP((T5454+U5454+2*'Read Me'!$B$13)*(1+'Read Me'!$B$12),-1)</f>
        <v/>
      </c>
      <c r="W5454" s="15">
        <f>V5454*N5454*O5454</f>
        <v/>
      </c>
      <c r="X5454" s="12">
        <f>IF(LEFT(I5454,2)="MV",2*N5454*IF(L5454="1/C",O5454,1),0)</f>
        <v/>
      </c>
      <c r="Y5454" s="12">
        <f>IF(OR(LEFT(K5454,4)="LVAX",LEFT(K5454,6)="MV15AX",LEFT(K5454,4)="CTAX",LEFT(K5454,2)="W|"),2*N5454*O5454,0)</f>
        <v/>
      </c>
      <c r="Z5454" s="12" t="inlineStr">
        <is>
          <t>VD 0.2 %</t>
        </is>
      </c>
      <c r="AA5454" s="12">
        <f>N5454*O5454</f>
        <v/>
      </c>
    </row>
    <row r="5455">
      <c r="A5455" s="12" t="inlineStr">
        <is>
          <t>I-P-0291</t>
        </is>
      </c>
      <c r="B5455" s="12" t="inlineStr">
        <is>
          <t>I</t>
        </is>
      </c>
      <c r="C5455" s="12" t="inlineStr">
        <is>
          <t>Modular / portable power</t>
        </is>
      </c>
      <c r="D5455" s="12" t="inlineStr">
        <is>
          <t>Motor 1 of 1, 7.5 kW</t>
        </is>
      </c>
      <c r="E5455" s="12" t="inlineStr"/>
      <c r="F5455" s="12" t="inlineStr">
        <is>
          <t>SC-2 PCM + 15 kV GCB</t>
        </is>
      </c>
      <c r="G5455" s="12" t="inlineStr"/>
      <c r="H5455" s="12" t="inlineStr">
        <is>
          <t>SC-2 auxiliary skids: fuel-gas module, water-wash skid</t>
        </is>
      </c>
      <c r="I5455" s="12" t="inlineStr">
        <is>
          <t>LV 600 V</t>
        </is>
      </c>
      <c r="J5455" s="12" t="inlineStr">
        <is>
          <t>ARMOR-X MC-HL 600 V 3/C Cu XHHW-2 + ground, CWA, black PVC (Class I Div 2)</t>
        </is>
      </c>
      <c r="K5455" s="12" t="inlineStr">
        <is>
          <t>LVAX|3/C+G|10</t>
        </is>
      </c>
      <c r="L5455" s="12" t="inlineStr">
        <is>
          <t>3/C+G</t>
        </is>
      </c>
      <c r="M5455" s="12" t="inlineStr">
        <is>
          <t>10</t>
        </is>
      </c>
      <c r="N5455" s="12" t="n">
        <v>1</v>
      </c>
      <c r="O5455" s="12" t="n">
        <v>1</v>
      </c>
      <c r="P5455" s="12" t="n">
        <v>480</v>
      </c>
      <c r="Q5455" s="12" t="n">
        <v>7.5</v>
      </c>
      <c r="R5455" s="12" t="n">
        <v>10.6</v>
      </c>
      <c r="S5455" s="12" t="inlineStr">
        <is>
          <t>Duct bank</t>
        </is>
      </c>
      <c r="T5455" s="15" t="n">
        <v>10</v>
      </c>
      <c r="U5455" s="15" t="n">
        <v>43</v>
      </c>
      <c r="V5455" s="15">
        <f>ROUNDUP((T5455+U5455+2*'Read Me'!$B$13)*(1+'Read Me'!$B$12),-1)</f>
        <v/>
      </c>
      <c r="W5455" s="15">
        <f>V5455*N5455*O5455</f>
        <v/>
      </c>
      <c r="X5455" s="12">
        <f>IF(LEFT(I5455,2)="MV",2*N5455*IF(L5455="1/C",O5455,1),0)</f>
        <v/>
      </c>
      <c r="Y5455" s="12">
        <f>IF(OR(LEFT(K5455,4)="LVAX",LEFT(K5455,6)="MV15AX",LEFT(K5455,4)="CTAX",LEFT(K5455,2)="W|"),2*N5455*O5455,0)</f>
        <v/>
      </c>
      <c r="Z5455" s="12" t="inlineStr">
        <is>
          <t>VD 0.3 %</t>
        </is>
      </c>
      <c r="AA5455" s="12">
        <f>N5455*O5455</f>
        <v/>
      </c>
    </row>
    <row r="5456">
      <c r="A5456" s="12" t="inlineStr">
        <is>
          <t>I-P-0292</t>
        </is>
      </c>
      <c r="B5456" s="12" t="inlineStr">
        <is>
          <t>I</t>
        </is>
      </c>
      <c r="C5456" s="12" t="inlineStr">
        <is>
          <t>Modular / portable power</t>
        </is>
      </c>
      <c r="D5456" s="12" t="inlineStr">
        <is>
          <t>Motor 1 of 4, 15 kW</t>
        </is>
      </c>
      <c r="E5456" s="12" t="inlineStr"/>
      <c r="F5456" s="12" t="inlineStr">
        <is>
          <t>SC-2 PCM + 15 kV GCB</t>
        </is>
      </c>
      <c r="G5456" s="12" t="inlineStr"/>
      <c r="H5456" s="12" t="inlineStr">
        <is>
          <t>SC-2 lube-oil fin-fan cooler</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15</v>
      </c>
      <c r="R5456" s="12" t="n">
        <v>21.2</v>
      </c>
      <c r="S5456" s="12" t="inlineStr">
        <is>
          <t>Duct bank</t>
        </is>
      </c>
      <c r="T5456" s="15" t="n">
        <v>4</v>
      </c>
      <c r="U5456" s="15" t="n">
        <v>38</v>
      </c>
      <c r="V5456" s="15">
        <f>ROUNDUP((T5456+U5456+2*'Read Me'!$B$13)*(1+'Read Me'!$B$12),-1)</f>
        <v/>
      </c>
      <c r="W5456" s="15">
        <f>V5456*N5456*O5456</f>
        <v/>
      </c>
      <c r="X5456" s="12">
        <f>IF(LEFT(I5456,2)="MV",2*N5456*IF(L5456="1/C",O5456,1),0)</f>
        <v/>
      </c>
      <c r="Y5456" s="12">
        <f>IF(OR(LEFT(K5456,4)="LVAX",LEFT(K5456,6)="MV15AX",LEFT(K5456,4)="CTAX",LEFT(K5456,2)="W|"),2*N5456*O5456,0)</f>
        <v/>
      </c>
      <c r="Z5456" s="12" t="inlineStr">
        <is>
          <t>VD 0.4 %</t>
        </is>
      </c>
      <c r="AA5456" s="12">
        <f>N5456*O5456</f>
        <v/>
      </c>
    </row>
    <row r="5457">
      <c r="A5457" s="12" t="inlineStr">
        <is>
          <t>I-P-0293</t>
        </is>
      </c>
      <c r="B5457" s="12" t="inlineStr">
        <is>
          <t>I</t>
        </is>
      </c>
      <c r="C5457" s="12" t="inlineStr">
        <is>
          <t>Modular / portable power</t>
        </is>
      </c>
      <c r="D5457" s="12" t="inlineStr">
        <is>
          <t>Motor 2 of 4, 15 kW</t>
        </is>
      </c>
      <c r="E5457" s="12" t="inlineStr"/>
      <c r="F5457" s="12" t="inlineStr">
        <is>
          <t>SC-2 PCM + 15 kV GCB</t>
        </is>
      </c>
      <c r="G5457" s="12" t="inlineStr"/>
      <c r="H5457" s="12" t="inlineStr">
        <is>
          <t>SC-2 lube-oil fin-fan cooler</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15</v>
      </c>
      <c r="R5457" s="12" t="n">
        <v>21.2</v>
      </c>
      <c r="S5457" s="12" t="inlineStr">
        <is>
          <t>Duct bank</t>
        </is>
      </c>
      <c r="T5457" s="15" t="n">
        <v>4</v>
      </c>
      <c r="U5457" s="15" t="n">
        <v>38</v>
      </c>
      <c r="V5457" s="15">
        <f>ROUNDUP((T5457+U5457+2*'Read Me'!$B$13)*(1+'Read Me'!$B$12),-1)</f>
        <v/>
      </c>
      <c r="W5457" s="15">
        <f>V5457*N5457*O5457</f>
        <v/>
      </c>
      <c r="X5457" s="12">
        <f>IF(LEFT(I5457,2)="MV",2*N5457*IF(L5457="1/C",O5457,1),0)</f>
        <v/>
      </c>
      <c r="Y5457" s="12">
        <f>IF(OR(LEFT(K5457,4)="LVAX",LEFT(K5457,6)="MV15AX",LEFT(K5457,4)="CTAX",LEFT(K5457,2)="W|"),2*N5457*O5457,0)</f>
        <v/>
      </c>
      <c r="Z5457" s="12" t="inlineStr">
        <is>
          <t>VD 0.4 %</t>
        </is>
      </c>
      <c r="AA5457" s="12">
        <f>N5457*O5457</f>
        <v/>
      </c>
    </row>
    <row r="5458">
      <c r="A5458" s="12" t="inlineStr">
        <is>
          <t>I-P-0294</t>
        </is>
      </c>
      <c r="B5458" s="12" t="inlineStr">
        <is>
          <t>I</t>
        </is>
      </c>
      <c r="C5458" s="12" t="inlineStr">
        <is>
          <t>Modular / portable power</t>
        </is>
      </c>
      <c r="D5458" s="12" t="inlineStr">
        <is>
          <t>Motor 3 of 4, 15 kW</t>
        </is>
      </c>
      <c r="E5458" s="12" t="inlineStr"/>
      <c r="F5458" s="12" t="inlineStr">
        <is>
          <t>SC-2 PCM + 15 kV GCB</t>
        </is>
      </c>
      <c r="G5458" s="12" t="inlineStr"/>
      <c r="H5458" s="12" t="inlineStr">
        <is>
          <t>SC-2 lube-oil fin-fan cooler</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15</v>
      </c>
      <c r="R5458" s="12" t="n">
        <v>21.2</v>
      </c>
      <c r="S5458" s="12" t="inlineStr">
        <is>
          <t>Duct bank</t>
        </is>
      </c>
      <c r="T5458" s="15" t="n">
        <v>4</v>
      </c>
      <c r="U5458" s="15" t="n">
        <v>38</v>
      </c>
      <c r="V5458" s="15">
        <f>ROUNDUP((T5458+U5458+2*'Read Me'!$B$13)*(1+'Read Me'!$B$12),-1)</f>
        <v/>
      </c>
      <c r="W5458" s="15">
        <f>V5458*N5458*O5458</f>
        <v/>
      </c>
      <c r="X5458" s="12">
        <f>IF(LEFT(I5458,2)="MV",2*N5458*IF(L5458="1/C",O5458,1),0)</f>
        <v/>
      </c>
      <c r="Y5458" s="12">
        <f>IF(OR(LEFT(K5458,4)="LVAX",LEFT(K5458,6)="MV15AX",LEFT(K5458,4)="CTAX",LEFT(K5458,2)="W|"),2*N5458*O5458,0)</f>
        <v/>
      </c>
      <c r="Z5458" s="12" t="inlineStr">
        <is>
          <t>VD 0.4 %</t>
        </is>
      </c>
      <c r="AA5458" s="12">
        <f>N5458*O5458</f>
        <v/>
      </c>
    </row>
    <row r="5459">
      <c r="A5459" s="12" t="inlineStr">
        <is>
          <t>I-P-0295</t>
        </is>
      </c>
      <c r="B5459" s="12" t="inlineStr">
        <is>
          <t>I</t>
        </is>
      </c>
      <c r="C5459" s="12" t="inlineStr">
        <is>
          <t>Modular / portable power</t>
        </is>
      </c>
      <c r="D5459" s="12" t="inlineStr">
        <is>
          <t>Motor 4 of 4, 15 kW</t>
        </is>
      </c>
      <c r="E5459" s="12" t="inlineStr"/>
      <c r="F5459" s="12" t="inlineStr">
        <is>
          <t>SC-2 PCM + 15 kV GCB</t>
        </is>
      </c>
      <c r="G5459" s="12" t="inlineStr"/>
      <c r="H5459" s="12" t="inlineStr">
        <is>
          <t>SC-2 lube-oil fin-fan cooler</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15</v>
      </c>
      <c r="R5459" s="12" t="n">
        <v>21.2</v>
      </c>
      <c r="S5459" s="12" t="inlineStr">
        <is>
          <t>Duct bank</t>
        </is>
      </c>
      <c r="T5459" s="15" t="n">
        <v>4</v>
      </c>
      <c r="U5459" s="15" t="n">
        <v>38</v>
      </c>
      <c r="V5459" s="15">
        <f>ROUNDUP((T5459+U5459+2*'Read Me'!$B$13)*(1+'Read Me'!$B$12),-1)</f>
        <v/>
      </c>
      <c r="W5459" s="15">
        <f>V5459*N5459*O5459</f>
        <v/>
      </c>
      <c r="X5459" s="12">
        <f>IF(LEFT(I5459,2)="MV",2*N5459*IF(L5459="1/C",O5459,1),0)</f>
        <v/>
      </c>
      <c r="Y5459" s="12">
        <f>IF(OR(LEFT(K5459,4)="LVAX",LEFT(K5459,6)="MV15AX",LEFT(K5459,4)="CTAX",LEFT(K5459,2)="W|"),2*N5459*O5459,0)</f>
        <v/>
      </c>
      <c r="Z5459" s="12" t="inlineStr">
        <is>
          <t>VD 0.4 %</t>
        </is>
      </c>
      <c r="AA5459" s="12">
        <f>N5459*O5459</f>
        <v/>
      </c>
    </row>
    <row r="5460">
      <c r="A5460" s="12" t="inlineStr">
        <is>
          <t>I-P-0296</t>
        </is>
      </c>
      <c r="B5460" s="12" t="inlineStr">
        <is>
          <t>I</t>
        </is>
      </c>
      <c r="C5460" s="12" t="inlineStr">
        <is>
          <t>Modular / portable power</t>
        </is>
      </c>
      <c r="D5460" s="12" t="inlineStr">
        <is>
          <t>Area / platform lighting circuit 1 (4 fixtures)</t>
        </is>
      </c>
      <c r="E5460" s="12" t="inlineStr"/>
      <c r="F5460" s="12" t="inlineStr">
        <is>
          <t>SC-2 PCM + 15 kV GCB</t>
        </is>
      </c>
      <c r="G5460" s="12" t="inlineStr"/>
      <c r="H5460" s="12" t="inlineStr">
        <is>
          <t>SC-2 stack (80 ft)</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3</v>
      </c>
      <c r="R5460" s="12" t="n">
        <v>5</v>
      </c>
      <c r="S5460" s="12" t="inlineStr">
        <is>
          <t>Duct bank</t>
        </is>
      </c>
      <c r="T5460" s="15" t="n">
        <v>374</v>
      </c>
      <c r="U5460" s="15" t="n">
        <v>92</v>
      </c>
      <c r="V5460" s="15">
        <f>ROUNDUP((T5460+U5460+2*'Read Me'!$B$13)*(1+'Read Me'!$B$12),-1)</f>
        <v/>
      </c>
      <c r="W5460" s="15">
        <f>V5460*N5460*O5460</f>
        <v/>
      </c>
      <c r="X5460" s="12">
        <f>IF(LEFT(I5460,2)="MV",2*N5460*IF(L5460="1/C",O5460,1),0)</f>
        <v/>
      </c>
      <c r="Y5460" s="12">
        <f>IF(OR(LEFT(K5460,4)="LVAX",LEFT(K5460,6)="MV15AX",LEFT(K5460,4)="CTAX",LEFT(K5460,2)="W|"),2*N5460*O5460,0)</f>
        <v/>
      </c>
      <c r="Z5460" s="12" t="inlineStr">
        <is>
          <t>fixture-to-fixture run included</t>
        </is>
      </c>
      <c r="AA5460" s="12">
        <f>N5460*O5460</f>
        <v/>
      </c>
    </row>
    <row r="5461">
      <c r="A5461" s="12" t="inlineStr">
        <is>
          <t>I-P-0297</t>
        </is>
      </c>
      <c r="B5461" s="12" t="inlineStr">
        <is>
          <t>I</t>
        </is>
      </c>
      <c r="C5461" s="12" t="inlineStr">
        <is>
          <t>Modular / portable power</t>
        </is>
      </c>
      <c r="D5461" s="12" t="inlineStr">
        <is>
          <t>Motor 1 of 2, 185 kW</t>
        </is>
      </c>
      <c r="E5461" s="12" t="inlineStr"/>
      <c r="F5461" s="12" t="inlineStr">
        <is>
          <t>SC-2 PCM + 15 kV GCB</t>
        </is>
      </c>
      <c r="G5461" s="12" t="inlineStr"/>
      <c r="H5461" s="12" t="inlineStr">
        <is>
          <t>SC-2 tempering-air fans (2 x 100 %)</t>
        </is>
      </c>
      <c r="I5461" s="12" t="inlineStr">
        <is>
          <t>LV 600 V</t>
        </is>
      </c>
      <c r="J5461" s="12" t="inlineStr">
        <is>
          <t>Type TC-ER 600 V 3/C Cu XHHW-2 + ground, PVC jacket</t>
        </is>
      </c>
      <c r="K5461" s="12" t="inlineStr">
        <is>
          <t>LV|3/C+G|500</t>
        </is>
      </c>
      <c r="L5461" s="12" t="inlineStr">
        <is>
          <t>3/C+G</t>
        </is>
      </c>
      <c r="M5461" s="12" t="inlineStr">
        <is>
          <t>500 kcmil</t>
        </is>
      </c>
      <c r="N5461" s="12" t="n">
        <v>1</v>
      </c>
      <c r="O5461" s="12" t="n">
        <v>1</v>
      </c>
      <c r="P5461" s="12" t="n">
        <v>480</v>
      </c>
      <c r="Q5461" s="12" t="n">
        <v>185</v>
      </c>
      <c r="R5461" s="12" t="n">
        <v>261.8</v>
      </c>
      <c r="S5461" s="12" t="inlineStr">
        <is>
          <t>Duct bank</t>
        </is>
      </c>
      <c r="T5461" s="15" t="n">
        <v>35</v>
      </c>
      <c r="U5461" s="15" t="n">
        <v>79</v>
      </c>
      <c r="V5461" s="15">
        <f>ROUNDUP((T5461+U5461+2*'Read Me'!$B$13)*(1+'Read Me'!$B$12),-1)</f>
        <v/>
      </c>
      <c r="W5461" s="15">
        <f>V5461*N5461*O5461</f>
        <v/>
      </c>
      <c r="X5461" s="12">
        <f>IF(LEFT(I5461,2)="MV",2*N5461*IF(L5461="1/C",O5461,1),0)</f>
        <v/>
      </c>
      <c r="Y5461" s="12">
        <f>IF(OR(LEFT(K5461,4)="LVAX",LEFT(K5461,6)="MV15AX",LEFT(K5461,4)="CTAX",LEFT(K5461,2)="W|"),2*N5461*O5461,0)</f>
        <v/>
      </c>
      <c r="Z5461" s="12" t="inlineStr">
        <is>
          <t>VD 0.3 %</t>
        </is>
      </c>
      <c r="AA5461" s="12">
        <f>N5461*O5461</f>
        <v/>
      </c>
    </row>
    <row r="5462">
      <c r="A5462" s="12" t="inlineStr">
        <is>
          <t>I-P-0298</t>
        </is>
      </c>
      <c r="B5462" s="12" t="inlineStr">
        <is>
          <t>I</t>
        </is>
      </c>
      <c r="C5462" s="12" t="inlineStr">
        <is>
          <t>Modular / portable power</t>
        </is>
      </c>
      <c r="D5462" s="12" t="inlineStr">
        <is>
          <t>Motor 2 of 2, 185 kW</t>
        </is>
      </c>
      <c r="E5462" s="12" t="inlineStr"/>
      <c r="F5462" s="12" t="inlineStr">
        <is>
          <t>SC-2 PCM + 15 kV GCB</t>
        </is>
      </c>
      <c r="G5462" s="12" t="inlineStr"/>
      <c r="H5462" s="12" t="inlineStr">
        <is>
          <t>SC-2 tempering-air fans (2 x 100 %)</t>
        </is>
      </c>
      <c r="I5462" s="12" t="inlineStr">
        <is>
          <t>LV 600 V</t>
        </is>
      </c>
      <c r="J5462" s="12" t="inlineStr">
        <is>
          <t>Type TC-ER 600 V 3/C Cu XHHW-2 + ground, PVC jacket</t>
        </is>
      </c>
      <c r="K5462" s="12" t="inlineStr">
        <is>
          <t>LV|3/C+G|500</t>
        </is>
      </c>
      <c r="L5462" s="12" t="inlineStr">
        <is>
          <t>3/C+G</t>
        </is>
      </c>
      <c r="M5462" s="12" t="inlineStr">
        <is>
          <t>500 kcmil</t>
        </is>
      </c>
      <c r="N5462" s="12" t="n">
        <v>1</v>
      </c>
      <c r="O5462" s="12" t="n">
        <v>1</v>
      </c>
      <c r="P5462" s="12" t="n">
        <v>480</v>
      </c>
      <c r="Q5462" s="12" t="n">
        <v>185</v>
      </c>
      <c r="R5462" s="12" t="n">
        <v>261.8</v>
      </c>
      <c r="S5462" s="12" t="inlineStr">
        <is>
          <t>Duct bank</t>
        </is>
      </c>
      <c r="T5462" s="15" t="n">
        <v>35</v>
      </c>
      <c r="U5462" s="15" t="n">
        <v>79</v>
      </c>
      <c r="V5462" s="15">
        <f>ROUNDUP((T5462+U5462+2*'Read Me'!$B$13)*(1+'Read Me'!$B$12),-1)</f>
        <v/>
      </c>
      <c r="W5462" s="15">
        <f>V5462*N5462*O5462</f>
        <v/>
      </c>
      <c r="X5462" s="12">
        <f>IF(LEFT(I5462,2)="MV",2*N5462*IF(L5462="1/C",O5462,1),0)</f>
        <v/>
      </c>
      <c r="Y5462" s="12">
        <f>IF(OR(LEFT(K5462,4)="LVAX",LEFT(K5462,6)="MV15AX",LEFT(K5462,4)="CTAX",LEFT(K5462,2)="W|"),2*N5462*O5462,0)</f>
        <v/>
      </c>
      <c r="Z5462" s="12" t="inlineStr">
        <is>
          <t>VD 0.3 %</t>
        </is>
      </c>
      <c r="AA5462" s="12">
        <f>N5462*O5462</f>
        <v/>
      </c>
    </row>
    <row r="5463">
      <c r="A5463" s="12" t="inlineStr">
        <is>
          <t>I-P-0299</t>
        </is>
      </c>
      <c r="B5463" s="12" t="inlineStr">
        <is>
          <t>I</t>
        </is>
      </c>
      <c r="C5463" s="12" t="inlineStr">
        <is>
          <t>Modular / portable power</t>
        </is>
      </c>
      <c r="D5463" s="12" t="inlineStr">
        <is>
          <t>Area / platform lighting circuit 1 (4 fixtures)</t>
        </is>
      </c>
      <c r="E5463" s="12" t="inlineStr"/>
      <c r="F5463" s="12" t="inlineStr">
        <is>
          <t>SC-2 PCM + 15 kV GCB</t>
        </is>
      </c>
      <c r="G5463" s="12" t="inlineStr"/>
      <c r="H5463" s="12" t="inlineStr">
        <is>
          <t>SC-2 tempering-air fans (2 x 100 %)</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3</v>
      </c>
      <c r="R5463" s="12" t="n">
        <v>5</v>
      </c>
      <c r="S5463" s="12" t="inlineStr">
        <is>
          <t>Duct bank</t>
        </is>
      </c>
      <c r="T5463" s="15" t="n">
        <v>335</v>
      </c>
      <c r="U5463" s="15" t="n">
        <v>79</v>
      </c>
      <c r="V5463" s="15">
        <f>ROUNDUP((T5463+U5463+2*'Read Me'!$B$13)*(1+'Read Me'!$B$12),-1)</f>
        <v/>
      </c>
      <c r="W5463" s="15">
        <f>V5463*N5463*O5463</f>
        <v/>
      </c>
      <c r="X5463" s="12">
        <f>IF(LEFT(I5463,2)="MV",2*N5463*IF(L5463="1/C",O5463,1),0)</f>
        <v/>
      </c>
      <c r="Y5463" s="12">
        <f>IF(OR(LEFT(K5463,4)="LVAX",LEFT(K5463,6)="MV15AX",LEFT(K5463,4)="CTAX",LEFT(K5463,2)="W|"),2*N5463*O5463,0)</f>
        <v/>
      </c>
      <c r="Z5463" s="12" t="inlineStr">
        <is>
          <t>fixture-to-fixture run included</t>
        </is>
      </c>
      <c r="AA5463" s="12">
        <f>N5463*O5463</f>
        <v/>
      </c>
    </row>
    <row r="5464">
      <c r="A5464" s="12" t="inlineStr">
        <is>
          <t>I-P-0300</t>
        </is>
      </c>
      <c r="B5464" s="12" t="inlineStr">
        <is>
          <t>I</t>
        </is>
      </c>
      <c r="C5464" s="12" t="inlineStr">
        <is>
          <t>Modular / portable power</t>
        </is>
      </c>
      <c r="D5464" s="12" t="inlineStr">
        <is>
          <t>SC-2 emergency DC lube-oil pump (125 V DC, coast-down)</t>
        </is>
      </c>
      <c r="E5464" s="12" t="inlineStr"/>
      <c r="F5464" s="12" t="inlineStr">
        <is>
          <t>SC-2 PCM + 15 kV GCB</t>
        </is>
      </c>
      <c r="G5464" s="12" t="inlineStr">
        <is>
          <t>SC-2</t>
        </is>
      </c>
      <c r="H5464" s="12" t="inlineStr">
        <is>
          <t>SC-2: aeroderivative simple-cycle unit (LM6000 class)</t>
        </is>
      </c>
      <c r="I5464" s="12" t="inlineStr">
        <is>
          <t>LV 600 V</t>
        </is>
      </c>
      <c r="J5464" s="12" t="inlineStr">
        <is>
          <t>XHHW-2 600 V 1/C Cu (feeder sets in tray / duct)</t>
        </is>
      </c>
      <c r="K5464" s="12" t="inlineStr">
        <is>
          <t>LV1C|1/C|2</t>
        </is>
      </c>
      <c r="L5464" s="12" t="inlineStr">
        <is>
          <t>1/C</t>
        </is>
      </c>
      <c r="M5464" s="12" t="inlineStr">
        <is>
          <t>2</t>
        </is>
      </c>
      <c r="N5464" s="12" t="n">
        <v>1</v>
      </c>
      <c r="O5464" s="12" t="n">
        <v>2</v>
      </c>
      <c r="P5464" s="12" t="n">
        <v>125</v>
      </c>
      <c r="Q5464" s="12" t="n">
        <v>7.5</v>
      </c>
      <c r="R5464" s="12" t="n">
        <v>65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LM6000 class: DC pump keeps the bearings fed on loss of AC</t>
        </is>
      </c>
      <c r="AA5464" s="12">
        <f>N5464*O5464</f>
        <v/>
      </c>
    </row>
    <row r="5465">
      <c r="A5465" s="12" t="inlineStr">
        <is>
          <t>I-P-0301</t>
        </is>
      </c>
      <c r="B5465" s="12" t="inlineStr">
        <is>
          <t>I</t>
        </is>
      </c>
      <c r="C5465" s="12" t="inlineStr">
        <is>
          <t>Modular / portable power</t>
        </is>
      </c>
      <c r="D5465" s="12" t="inlineStr">
        <is>
          <t>SC-2 120 V AC UPS to the unit control and protection</t>
        </is>
      </c>
      <c r="E5465" s="12" t="inlineStr"/>
      <c r="F5465" s="12" t="inlineStr">
        <is>
          <t>SC-2 PCM + 15 kV GCB</t>
        </is>
      </c>
      <c r="G5465" s="12" t="inlineStr">
        <is>
          <t>SC-2</t>
        </is>
      </c>
      <c r="H5465" s="12" t="inlineStr">
        <is>
          <t>SC-2: aeroderivative simple-cycle unit (LM6000 class)</t>
        </is>
      </c>
      <c r="I5465" s="12" t="inlineStr">
        <is>
          <t>LV 600 V</t>
        </is>
      </c>
      <c r="J5465" s="12" t="inlineStr">
        <is>
          <t>XHHW-2 600 V 1/C Cu (feeder sets in tray / duct)</t>
        </is>
      </c>
      <c r="K5465" s="12" t="inlineStr">
        <is>
          <t>LV1C|1/C|6</t>
        </is>
      </c>
      <c r="L5465" s="12" t="inlineStr">
        <is>
          <t>1/C</t>
        </is>
      </c>
      <c r="M5465" s="12" t="inlineStr">
        <is>
          <t>6</t>
        </is>
      </c>
      <c r="N5465" s="12" t="n">
        <v>1</v>
      </c>
      <c r="O5465" s="12" t="n">
        <v>2</v>
      </c>
      <c r="P5465" s="12" t="n">
        <v>120</v>
      </c>
      <c r="Q5465" s="12" t="n">
        <v>5</v>
      </c>
      <c r="R5465" s="12" t="n"/>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c r="AA5465" s="12">
        <f>N5465*O5465</f>
        <v/>
      </c>
    </row>
    <row r="5466">
      <c r="A5466" s="12" t="inlineStr">
        <is>
          <t>I-P-0302</t>
        </is>
      </c>
      <c r="B5466" s="12" t="inlineStr">
        <is>
          <t>I</t>
        </is>
      </c>
      <c r="C5466" s="12" t="inlineStr">
        <is>
          <t>Modular / portable power</t>
        </is>
      </c>
      <c r="D5466" s="12" t="inlineStr">
        <is>
          <t>SC-2 hydraulic starter pump motor (start sequence only)</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LV|3/C+G|3/0</t>
        </is>
      </c>
      <c r="L5466" s="12" t="inlineStr">
        <is>
          <t>3/C+G</t>
        </is>
      </c>
      <c r="M5466" s="12" t="inlineStr">
        <is>
          <t>3/0</t>
        </is>
      </c>
      <c r="N5466" s="12" t="n">
        <v>2</v>
      </c>
      <c r="O5466" s="12" t="n">
        <v>1</v>
      </c>
      <c r="P5466" s="12" t="n">
        <v>480</v>
      </c>
      <c r="Q5466" s="12" t="n">
        <v>225</v>
      </c>
      <c r="R5466" s="12" t="n">
        <v>318.4</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typical LM6000 hydraulic start; verify starter type / rating with the OEM</t>
        </is>
      </c>
      <c r="AA5466" s="12">
        <f>N5466*O5466</f>
        <v/>
      </c>
    </row>
    <row r="5467">
      <c r="A5467" s="12" t="inlineStr">
        <is>
          <t>I-P-0303</t>
        </is>
      </c>
      <c r="B5467" s="12" t="inlineStr">
        <is>
          <t>I</t>
        </is>
      </c>
      <c r="C5467" s="12" t="inlineStr">
        <is>
          <t>Modular / portable power</t>
        </is>
      </c>
      <c r="D5467" s="12" t="inlineStr">
        <is>
          <t>SC-2 480 V welding receptacle 1</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LV|3/C+G|2</t>
        </is>
      </c>
      <c r="L5467" s="12" t="inlineStr">
        <is>
          <t>3/C+G</t>
        </is>
      </c>
      <c r="M5467" s="12" t="inlineStr">
        <is>
          <t>2</t>
        </is>
      </c>
      <c r="N5467" s="12" t="n">
        <v>1</v>
      </c>
      <c r="O5467" s="12" t="n">
        <v>1</v>
      </c>
      <c r="P5467" s="12" t="n">
        <v>480</v>
      </c>
      <c r="Q5467" s="12" t="n">
        <v>60</v>
      </c>
      <c r="R5467" s="12" t="n">
        <v>76</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0.4 %</t>
        </is>
      </c>
      <c r="AA5467" s="12">
        <f>N5467*O5467</f>
        <v/>
      </c>
    </row>
    <row r="5468">
      <c r="A5468" s="12" t="inlineStr">
        <is>
          <t>I-P-0304</t>
        </is>
      </c>
      <c r="B5468" s="12" t="inlineStr">
        <is>
          <t>I</t>
        </is>
      </c>
      <c r="C5468" s="12" t="inlineStr">
        <is>
          <t>Modular / portable power</t>
        </is>
      </c>
      <c r="D5468" s="12" t="inlineStr">
        <is>
          <t>SC-2 480 V welding receptacle 2</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LV|3/C+G|2</t>
        </is>
      </c>
      <c r="L5468" s="12" t="inlineStr">
        <is>
          <t>3/C+G</t>
        </is>
      </c>
      <c r="M5468" s="12" t="inlineStr">
        <is>
          <t>2</t>
        </is>
      </c>
      <c r="N5468" s="12" t="n">
        <v>1</v>
      </c>
      <c r="O5468" s="12" t="n">
        <v>1</v>
      </c>
      <c r="P5468" s="12" t="n">
        <v>480</v>
      </c>
      <c r="Q5468" s="12" t="n">
        <v>60</v>
      </c>
      <c r="R5468" s="12" t="n">
        <v>76</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0.4 %</t>
        </is>
      </c>
      <c r="AA5468" s="12">
        <f>N5468*O5468</f>
        <v/>
      </c>
    </row>
    <row r="5469">
      <c r="A5469" s="12" t="inlineStr">
        <is>
          <t>I-P-0305</t>
        </is>
      </c>
      <c r="B5469" s="12" t="inlineStr">
        <is>
          <t>I</t>
        </is>
      </c>
      <c r="C5469" s="12" t="inlineStr">
        <is>
          <t>Modular / portable power</t>
        </is>
      </c>
      <c r="D5469" s="12" t="inlineStr">
        <is>
          <t>Motor 1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I-P-0306</t>
        </is>
      </c>
      <c r="B5470" s="12" t="inlineStr">
        <is>
          <t>I</t>
        </is>
      </c>
      <c r="C5470" s="12" t="inlineStr">
        <is>
          <t>Modular / portable power</t>
        </is>
      </c>
      <c r="D5470" s="12" t="inlineStr">
        <is>
          <t>Motor 2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I-P-0307</t>
        </is>
      </c>
      <c r="B5471" s="12" t="inlineStr">
        <is>
          <t>I</t>
        </is>
      </c>
      <c r="C5471" s="12" t="inlineStr">
        <is>
          <t>Modular / portable power</t>
        </is>
      </c>
      <c r="D5471" s="12" t="inlineStr">
        <is>
          <t>Motor 3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I-P-0308</t>
        </is>
      </c>
      <c r="B5472" s="12" t="inlineStr">
        <is>
          <t>I</t>
        </is>
      </c>
      <c r="C5472" s="12" t="inlineStr">
        <is>
          <t>Modular / portable power</t>
        </is>
      </c>
      <c r="D5472" s="12" t="inlineStr">
        <is>
          <t>Motor 4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I-P-0309</t>
        </is>
      </c>
      <c r="B5473" s="12" t="inlineStr">
        <is>
          <t>I</t>
        </is>
      </c>
      <c r="C5473" s="12" t="inlineStr">
        <is>
          <t>Modular / portable power</t>
        </is>
      </c>
      <c r="D5473" s="12" t="inlineStr">
        <is>
          <t>Motor 5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I-P-0310</t>
        </is>
      </c>
      <c r="B5474" s="12" t="inlineStr">
        <is>
          <t>I</t>
        </is>
      </c>
      <c r="C5474" s="12" t="inlineStr">
        <is>
          <t>Modular / portable power</t>
        </is>
      </c>
      <c r="D5474" s="12" t="inlineStr">
        <is>
          <t>Motor 6 of 10, 30 kW</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30</v>
      </c>
      <c r="R5474" s="12" t="n">
        <v>42.5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VD 0.6 %</t>
        </is>
      </c>
      <c r="AA5474" s="12">
        <f>N5474*O5474</f>
        <v/>
      </c>
    </row>
    <row r="5475">
      <c r="A5475" s="12" t="inlineStr">
        <is>
          <t>I-P-0311</t>
        </is>
      </c>
      <c r="B5475" s="12" t="inlineStr">
        <is>
          <t>I</t>
        </is>
      </c>
      <c r="C5475" s="12" t="inlineStr">
        <is>
          <t>Modular / portable power</t>
        </is>
      </c>
      <c r="D5475" s="12" t="inlineStr">
        <is>
          <t>Motor 7 of 10, 30 kW</t>
        </is>
      </c>
      <c r="E5475" s="12" t="inlineStr"/>
      <c r="F5475" s="12" t="inlineStr">
        <is>
          <t>SC-2 PCM + 15 kV GCB</t>
        </is>
      </c>
      <c r="G5475" s="12" t="inlineStr">
        <is>
          <t>SC-2</t>
        </is>
      </c>
      <c r="H5475" s="12" t="inlineStr">
        <is>
          <t>SC-2: aeroderivative simple-cycle unit (LM6000 class)</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30</v>
      </c>
      <c r="R5475" s="12" t="n">
        <v>42.5</v>
      </c>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VD 0.6 %</t>
        </is>
      </c>
      <c r="AA5475" s="12">
        <f>N5475*O5475</f>
        <v/>
      </c>
    </row>
    <row r="5476">
      <c r="A5476" s="12" t="inlineStr">
        <is>
          <t>I-P-0312</t>
        </is>
      </c>
      <c r="B5476" s="12" t="inlineStr">
        <is>
          <t>I</t>
        </is>
      </c>
      <c r="C5476" s="12" t="inlineStr">
        <is>
          <t>Modular / portable power</t>
        </is>
      </c>
      <c r="D5476" s="12" t="inlineStr">
        <is>
          <t>Motor 8 of 10, 30 kW</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LV|3/C+G|6</t>
        </is>
      </c>
      <c r="L5476" s="12" t="inlineStr">
        <is>
          <t>3/C+G</t>
        </is>
      </c>
      <c r="M5476" s="12" t="inlineStr">
        <is>
          <t>6</t>
        </is>
      </c>
      <c r="N5476" s="12" t="n">
        <v>1</v>
      </c>
      <c r="O5476" s="12" t="n">
        <v>1</v>
      </c>
      <c r="P5476" s="12" t="n">
        <v>480</v>
      </c>
      <c r="Q5476" s="12" t="n">
        <v>30</v>
      </c>
      <c r="R5476" s="12" t="n">
        <v>42.5</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VD 0.6 %</t>
        </is>
      </c>
      <c r="AA5476" s="12">
        <f>N5476*O5476</f>
        <v/>
      </c>
    </row>
    <row r="5477">
      <c r="A5477" s="12" t="inlineStr">
        <is>
          <t>I-P-0313</t>
        </is>
      </c>
      <c r="B5477" s="12" t="inlineStr">
        <is>
          <t>I</t>
        </is>
      </c>
      <c r="C5477" s="12" t="inlineStr">
        <is>
          <t>Modular / portable power</t>
        </is>
      </c>
      <c r="D5477" s="12" t="inlineStr">
        <is>
          <t>Motor 9 of 10, 30 kW</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LV|3/C+G|6</t>
        </is>
      </c>
      <c r="L5477" s="12" t="inlineStr">
        <is>
          <t>3/C+G</t>
        </is>
      </c>
      <c r="M5477" s="12" t="inlineStr">
        <is>
          <t>6</t>
        </is>
      </c>
      <c r="N5477" s="12" t="n">
        <v>1</v>
      </c>
      <c r="O5477" s="12" t="n">
        <v>1</v>
      </c>
      <c r="P5477" s="12" t="n">
        <v>480</v>
      </c>
      <c r="Q5477" s="12" t="n">
        <v>30</v>
      </c>
      <c r="R5477" s="12" t="n">
        <v>42.5</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0.6 %</t>
        </is>
      </c>
      <c r="AA5477" s="12">
        <f>N5477*O5477</f>
        <v/>
      </c>
    </row>
    <row r="5478">
      <c r="A5478" s="12" t="inlineStr">
        <is>
          <t>I-P-0314</t>
        </is>
      </c>
      <c r="B5478" s="12" t="inlineStr">
        <is>
          <t>I</t>
        </is>
      </c>
      <c r="C5478" s="12" t="inlineStr">
        <is>
          <t>Modular / portable power</t>
        </is>
      </c>
      <c r="D5478" s="12" t="inlineStr">
        <is>
          <t>Motor 10 of 10, 30 kW</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LV|3/C+G|6</t>
        </is>
      </c>
      <c r="L5478" s="12" t="inlineStr">
        <is>
          <t>3/C+G</t>
        </is>
      </c>
      <c r="M5478" s="12" t="inlineStr">
        <is>
          <t>6</t>
        </is>
      </c>
      <c r="N5478" s="12" t="n">
        <v>1</v>
      </c>
      <c r="O5478" s="12" t="n">
        <v>1</v>
      </c>
      <c r="P5478" s="12" t="n">
        <v>480</v>
      </c>
      <c r="Q5478" s="12" t="n">
        <v>30</v>
      </c>
      <c r="R5478" s="12" t="n">
        <v>42.5</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0.6 %</t>
        </is>
      </c>
      <c r="AA5478" s="12">
        <f>N5478*O5478</f>
        <v/>
      </c>
    </row>
    <row r="5479">
      <c r="A5479" s="12" t="inlineStr">
        <is>
          <t>I-P-0315</t>
        </is>
      </c>
      <c r="B5479" s="12" t="inlineStr">
        <is>
          <t>I</t>
        </is>
      </c>
      <c r="C5479" s="12" t="inlineStr">
        <is>
          <t>Modular / portable power</t>
        </is>
      </c>
      <c r="D5479" s="12" t="inlineStr">
        <is>
          <t>Area / platform lighting circuit 1 (8 fixtures)</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3</v>
      </c>
      <c r="R5479" s="12" t="n">
        <v>5</v>
      </c>
      <c r="S5479" s="12" t="inlineStr">
        <is>
          <t>Duct bank</t>
        </is>
      </c>
      <c r="T5479" s="15" t="n">
        <v>335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fixture-to-fixture run included</t>
        </is>
      </c>
      <c r="AA5479" s="12">
        <f>N5479*O5479</f>
        <v/>
      </c>
    </row>
    <row r="5480">
      <c r="A5480" s="12" t="inlineStr">
        <is>
          <t>I-P-0316</t>
        </is>
      </c>
      <c r="B5480" s="12" t="inlineStr">
        <is>
          <t>I</t>
        </is>
      </c>
      <c r="C5480" s="12" t="inlineStr">
        <is>
          <t>Modular / portable power</t>
        </is>
      </c>
      <c r="D5480" s="12" t="inlineStr">
        <is>
          <t>SWG-MY station service from its internal 480 V aux transformer: charger, heaters, HVAC</t>
        </is>
      </c>
      <c r="E5480" s="12" t="inlineStr">
        <is>
          <t>SWG-MY</t>
        </is>
      </c>
      <c r="F5480" s="12" t="inlineStr">
        <is>
          <t xml:space="preserve">SWG-MY: 35 kV switchgear lineup for the modular blocks (group breaker </t>
        </is>
      </c>
      <c r="G5480" s="12" t="inlineStr">
        <is>
          <t>SWG-MY</t>
        </is>
      </c>
      <c r="H5480" s="12" t="inlineStr">
        <is>
          <t xml:space="preserve">SWG-MY: 35 kV switchgear lineup for the modular blocks (group breaker </t>
        </is>
      </c>
      <c r="I5480" s="12" t="inlineStr">
        <is>
          <t>LV 600 V</t>
        </is>
      </c>
      <c r="J5480" s="12" t="inlineStr">
        <is>
          <t>Type TC-ER 600 V 3/C Cu XHHW-2 + ground, PVC jacket</t>
        </is>
      </c>
      <c r="K5480" s="12" t="inlineStr">
        <is>
          <t>LV|3/C+G|2</t>
        </is>
      </c>
      <c r="L5480" s="12" t="inlineStr">
        <is>
          <t>3/C+G</t>
        </is>
      </c>
      <c r="M5480" s="12" t="inlineStr">
        <is>
          <t>2</t>
        </is>
      </c>
      <c r="N5480" s="12" t="n">
        <v>1</v>
      </c>
      <c r="O5480" s="12" t="n">
        <v>1</v>
      </c>
      <c r="P5480" s="12" t="n">
        <v>480</v>
      </c>
      <c r="Q5480" s="12" t="n">
        <v>45</v>
      </c>
      <c r="R5480" s="12" t="n">
        <v>60</v>
      </c>
      <c r="S5480" s="12" t="inlineStr">
        <is>
          <t>Tray</t>
        </is>
      </c>
      <c r="T5480" s="15" t="n">
        <v>40</v>
      </c>
      <c r="U5480" s="15" t="n">
        <v>10</v>
      </c>
      <c r="V5480" s="15">
        <f>ROUNDUP((T5480+U5480+2*'Read Me'!$B$13)*(1+'Read Me'!$B$12),-1)</f>
        <v/>
      </c>
      <c r="W5480" s="15">
        <f>V5480*N5480*O5480</f>
        <v/>
      </c>
      <c r="X5480" s="12">
        <f>IF(LEFT(I5480,2)="MV",2*N5480*IF(L5480="1/C",O5480,1),0)</f>
        <v/>
      </c>
      <c r="Y5480" s="12">
        <f>IF(OR(LEFT(K5480,4)="LVAX",LEFT(K5480,6)="MV15AX",LEFT(K5480,4)="CTAX",LEFT(K5480,2)="W|"),2*N5480*O5480,0)</f>
        <v/>
      </c>
      <c r="Z5480" s="12" t="inlineStr">
        <is>
          <t>internal to the lineup</t>
        </is>
      </c>
      <c r="AA5480" s="12">
        <f>N5480*O5480</f>
        <v/>
      </c>
    </row>
    <row r="5481">
      <c r="A5481" s="12" t="inlineStr">
        <is>
          <t>I-P-0317</t>
        </is>
      </c>
      <c r="B5481" s="12" t="inlineStr">
        <is>
          <t>I</t>
        </is>
      </c>
      <c r="C5481" s="12" t="inlineStr">
        <is>
          <t>Modular / portable power</t>
        </is>
      </c>
      <c r="D5481" s="12" t="inlineStr">
        <is>
          <t>SWG-PK station service, HVAC, lighting, DC charger (station-service transformer inside)</t>
        </is>
      </c>
      <c r="E5481" s="12" t="inlineStr">
        <is>
          <t>SWG-PK</t>
        </is>
      </c>
      <c r="F5481" s="12" t="inlineStr">
        <is>
          <t>SWG-PK: 34.5 kV park collector switchgear (2 bus sections, tie; 8 feed</t>
        </is>
      </c>
      <c r="G5481" s="12" t="inlineStr">
        <is>
          <t>SWG-PK</t>
        </is>
      </c>
      <c r="H5481" s="12" t="inlineStr">
        <is>
          <t>SWG-PK: 34.5 kV park collector switchgear (2 bus sections, tie; 8 feed</t>
        </is>
      </c>
      <c r="I5481" s="12" t="inlineStr">
        <is>
          <t>LV 600 V</t>
        </is>
      </c>
      <c r="J5481" s="12" t="inlineStr">
        <is>
          <t>Type TC-ER 600 V 3/C Cu XHHW-2 + ground, PVC jacket</t>
        </is>
      </c>
      <c r="K5481" s="12" t="inlineStr">
        <is>
          <t>LV|3/C+G|2</t>
        </is>
      </c>
      <c r="L5481" s="12" t="inlineStr">
        <is>
          <t>3/C+G</t>
        </is>
      </c>
      <c r="M5481" s="12" t="inlineStr">
        <is>
          <t>2</t>
        </is>
      </c>
      <c r="N5481" s="12" t="n">
        <v>1</v>
      </c>
      <c r="O5481" s="12" t="n">
        <v>1</v>
      </c>
      <c r="P5481" s="12" t="n">
        <v>480</v>
      </c>
      <c r="Q5481" s="12" t="n">
        <v>60</v>
      </c>
      <c r="R5481" s="12" t="n">
        <v>85</v>
      </c>
      <c r="S5481" s="12" t="inlineStr">
        <is>
          <t>Tray</t>
        </is>
      </c>
      <c r="T5481" s="15" t="n">
        <v>100</v>
      </c>
      <c r="U5481" s="15" t="n">
        <v>10</v>
      </c>
      <c r="V5481" s="15">
        <f>ROUNDUP((T5481+U5481+2*'Read Me'!$B$13)*(1+'Read Me'!$B$12),-1)</f>
        <v/>
      </c>
      <c r="W5481" s="15">
        <f>V5481*N5481*O5481</f>
        <v/>
      </c>
      <c r="X5481" s="12">
        <f>IF(LEFT(I5481,2)="MV",2*N5481*IF(L5481="1/C",O5481,1),0)</f>
        <v/>
      </c>
      <c r="Y5481" s="12">
        <f>IF(OR(LEFT(K5481,4)="LVAX",LEFT(K5481,6)="MV15AX",LEFT(K5481,4)="CTAX",LEFT(K5481,2)="W|"),2*N5481*O5481,0)</f>
        <v/>
      </c>
      <c r="Z5481" s="12" t="inlineStr">
        <is>
          <t>internal to the e-house</t>
        </is>
      </c>
      <c r="AA5481" s="12">
        <f>N5481*O5481</f>
        <v/>
      </c>
    </row>
    <row r="5482">
      <c r="A5482" s="12" t="inlineStr">
        <is>
          <t>I-P-0318</t>
        </is>
      </c>
      <c r="B5482" s="12" t="inlineStr">
        <is>
          <t>I</t>
        </is>
      </c>
      <c r="C5482" s="12" t="inlineStr">
        <is>
          <t>Modular / portable power</t>
        </is>
      </c>
      <c r="D5482" s="12" t="inlineStr">
        <is>
          <t>Motor 1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I-P-0319</t>
        </is>
      </c>
      <c r="B5483" s="12" t="inlineStr">
        <is>
          <t>I</t>
        </is>
      </c>
      <c r="C5483" s="12" t="inlineStr">
        <is>
          <t>Modular / portable power</t>
        </is>
      </c>
      <c r="D5483" s="12" t="inlineStr">
        <is>
          <t>Motor 2 of 6, 2 kW</t>
        </is>
      </c>
      <c r="E5483" s="12" t="inlineStr"/>
      <c r="F5483" s="12" t="inlineStr">
        <is>
          <t>MOD-LV 480 V board + 480 V : 13.8 kV step-up</t>
        </is>
      </c>
      <c r="G5483" s="12" t="inlineStr"/>
      <c r="H5483" s="12" t="inlineStr">
        <is>
          <t>T-MOD 230 kV take-off gantry with arresters</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290</v>
      </c>
      <c r="U5483" s="15" t="n">
        <v>47</v>
      </c>
      <c r="V5483" s="15">
        <f>ROUNDUP((T5483+U5483+2*'Read Me'!$B$13)*(1+'Read Me'!$B$12),-1)</f>
        <v/>
      </c>
      <c r="W5483" s="15">
        <f>V5483*N5483*O5483</f>
        <v/>
      </c>
      <c r="X5483" s="12">
        <f>IF(LEFT(I5483,2)="MV",2*N5483*IF(L5483="1/C",O5483,1),0)</f>
        <v/>
      </c>
      <c r="Y5483" s="12">
        <f>IF(OR(LEFT(K5483,4)="LVAX",LEFT(K5483,6)="MV15AX",LEFT(K5483,4)="CTAX",LEFT(K5483,2)="W|"),2*N5483*O5483,0)</f>
        <v/>
      </c>
      <c r="Z5483" s="12" t="inlineStr">
        <is>
          <t>VD 0.5 %</t>
        </is>
      </c>
      <c r="AA5483" s="12">
        <f>N5483*O5483</f>
        <v/>
      </c>
    </row>
    <row r="5484">
      <c r="A5484" s="12" t="inlineStr">
        <is>
          <t>I-P-0320</t>
        </is>
      </c>
      <c r="B5484" s="12" t="inlineStr">
        <is>
          <t>I</t>
        </is>
      </c>
      <c r="C5484" s="12" t="inlineStr">
        <is>
          <t>Modular / portable power</t>
        </is>
      </c>
      <c r="D5484" s="12" t="inlineStr">
        <is>
          <t>Motor 3 of 6, 2 kW</t>
        </is>
      </c>
      <c r="E5484" s="12" t="inlineStr"/>
      <c r="F5484" s="12" t="inlineStr">
        <is>
          <t>MOD-LV 480 V board + 480 V : 13.8 kV step-up</t>
        </is>
      </c>
      <c r="G5484" s="12" t="inlineStr"/>
      <c r="H5484" s="12" t="inlineStr">
        <is>
          <t>T-MOD 230 kV take-off gantry with arresters</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290</v>
      </c>
      <c r="U5484" s="15" t="n">
        <v>47</v>
      </c>
      <c r="V5484" s="15">
        <f>ROUNDUP((T5484+U5484+2*'Read Me'!$B$13)*(1+'Read Me'!$B$12),-1)</f>
        <v/>
      </c>
      <c r="W5484" s="15">
        <f>V5484*N5484*O5484</f>
        <v/>
      </c>
      <c r="X5484" s="12">
        <f>IF(LEFT(I5484,2)="MV",2*N5484*IF(L5484="1/C",O5484,1),0)</f>
        <v/>
      </c>
      <c r="Y5484" s="12">
        <f>IF(OR(LEFT(K5484,4)="LVAX",LEFT(K5484,6)="MV15AX",LEFT(K5484,4)="CTAX",LEFT(K5484,2)="W|"),2*N5484*O5484,0)</f>
        <v/>
      </c>
      <c r="Z5484" s="12" t="inlineStr">
        <is>
          <t>VD 0.5 %</t>
        </is>
      </c>
      <c r="AA5484" s="12">
        <f>N5484*O5484</f>
        <v/>
      </c>
    </row>
    <row r="5485">
      <c r="A5485" s="12" t="inlineStr">
        <is>
          <t>I-P-0321</t>
        </is>
      </c>
      <c r="B5485" s="12" t="inlineStr">
        <is>
          <t>I</t>
        </is>
      </c>
      <c r="C5485" s="12" t="inlineStr">
        <is>
          <t>Modular / portable power</t>
        </is>
      </c>
      <c r="D5485" s="12" t="inlineStr">
        <is>
          <t>Motor 4 of 6, 2 kW</t>
        </is>
      </c>
      <c r="E5485" s="12" t="inlineStr"/>
      <c r="F5485" s="12" t="inlineStr">
        <is>
          <t>MOD-LV 480 V board + 480 V : 13.8 kV step-up</t>
        </is>
      </c>
      <c r="G5485" s="12" t="inlineStr"/>
      <c r="H5485" s="12" t="inlineStr">
        <is>
          <t>T-MOD 230 kV take-off gantry with arresters</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290</v>
      </c>
      <c r="U5485" s="15" t="n">
        <v>47</v>
      </c>
      <c r="V5485" s="15">
        <f>ROUNDUP((T5485+U5485+2*'Read Me'!$B$13)*(1+'Read Me'!$B$12),-1)</f>
        <v/>
      </c>
      <c r="W5485" s="15">
        <f>V5485*N5485*O5485</f>
        <v/>
      </c>
      <c r="X5485" s="12">
        <f>IF(LEFT(I5485,2)="MV",2*N5485*IF(L5485="1/C",O5485,1),0)</f>
        <v/>
      </c>
      <c r="Y5485" s="12">
        <f>IF(OR(LEFT(K5485,4)="LVAX",LEFT(K5485,6)="MV15AX",LEFT(K5485,4)="CTAX",LEFT(K5485,2)="W|"),2*N5485*O5485,0)</f>
        <v/>
      </c>
      <c r="Z5485" s="12" t="inlineStr">
        <is>
          <t>VD 0.5 %</t>
        </is>
      </c>
      <c r="AA5485" s="12">
        <f>N5485*O5485</f>
        <v/>
      </c>
    </row>
    <row r="5486">
      <c r="A5486" s="12" t="inlineStr">
        <is>
          <t>I-P-0322</t>
        </is>
      </c>
      <c r="B5486" s="12" t="inlineStr">
        <is>
          <t>I</t>
        </is>
      </c>
      <c r="C5486" s="12" t="inlineStr">
        <is>
          <t>Modular / portable power</t>
        </is>
      </c>
      <c r="D5486" s="12" t="inlineStr">
        <is>
          <t>Motor 5 of 6, 2 kW</t>
        </is>
      </c>
      <c r="E5486" s="12" t="inlineStr"/>
      <c r="F5486" s="12" t="inlineStr">
        <is>
          <t>MOD-LV 480 V board + 480 V : 13.8 kV step-up</t>
        </is>
      </c>
      <c r="G5486" s="12" t="inlineStr"/>
      <c r="H5486" s="12" t="inlineStr">
        <is>
          <t>T-MOD 230 kV take-off gantry with arresters</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290</v>
      </c>
      <c r="U5486" s="15" t="n">
        <v>47</v>
      </c>
      <c r="V5486" s="15">
        <f>ROUNDUP((T5486+U5486+2*'Read Me'!$B$13)*(1+'Read Me'!$B$12),-1)</f>
        <v/>
      </c>
      <c r="W5486" s="15">
        <f>V5486*N5486*O5486</f>
        <v/>
      </c>
      <c r="X5486" s="12">
        <f>IF(LEFT(I5486,2)="MV",2*N5486*IF(L5486="1/C",O5486,1),0)</f>
        <v/>
      </c>
      <c r="Y5486" s="12">
        <f>IF(OR(LEFT(K5486,4)="LVAX",LEFT(K5486,6)="MV15AX",LEFT(K5486,4)="CTAX",LEFT(K5486,2)="W|"),2*N5486*O5486,0)</f>
        <v/>
      </c>
      <c r="Z5486" s="12" t="inlineStr">
        <is>
          <t>VD 0.5 %</t>
        </is>
      </c>
      <c r="AA5486" s="12">
        <f>N5486*O5486</f>
        <v/>
      </c>
    </row>
    <row r="5487">
      <c r="A5487" s="12" t="inlineStr">
        <is>
          <t>I-P-0323</t>
        </is>
      </c>
      <c r="B5487" s="12" t="inlineStr">
        <is>
          <t>I</t>
        </is>
      </c>
      <c r="C5487" s="12" t="inlineStr">
        <is>
          <t>Modular / portable power</t>
        </is>
      </c>
      <c r="D5487" s="12" t="inlineStr">
        <is>
          <t>Motor 6 of 6, 2 kW</t>
        </is>
      </c>
      <c r="E5487" s="12" t="inlineStr"/>
      <c r="F5487" s="12" t="inlineStr">
        <is>
          <t>MOD-LV 480 V board + 480 V : 13.8 kV step-up</t>
        </is>
      </c>
      <c r="G5487" s="12" t="inlineStr"/>
      <c r="H5487" s="12" t="inlineStr">
        <is>
          <t>T-MOD 230 kV take-off gantry with arresters</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290</v>
      </c>
      <c r="U5487" s="15" t="n">
        <v>47</v>
      </c>
      <c r="V5487" s="15">
        <f>ROUNDUP((T5487+U5487+2*'Read Me'!$B$13)*(1+'Read Me'!$B$12),-1)</f>
        <v/>
      </c>
      <c r="W5487" s="15">
        <f>V5487*N5487*O5487</f>
        <v/>
      </c>
      <c r="X5487" s="12">
        <f>IF(LEFT(I5487,2)="MV",2*N5487*IF(L5487="1/C",O5487,1),0)</f>
        <v/>
      </c>
      <c r="Y5487" s="12">
        <f>IF(OR(LEFT(K5487,4)="LVAX",LEFT(K5487,6)="MV15AX",LEFT(K5487,4)="CTAX",LEFT(K5487,2)="W|"),2*N5487*O5487,0)</f>
        <v/>
      </c>
      <c r="Z5487" s="12" t="inlineStr">
        <is>
          <t>VD 0.5 %</t>
        </is>
      </c>
      <c r="AA5487" s="12">
        <f>N5487*O5487</f>
        <v/>
      </c>
    </row>
    <row r="5488">
      <c r="A5488" s="12" t="inlineStr">
        <is>
          <t>I-P-0324</t>
        </is>
      </c>
      <c r="B5488" s="12" t="inlineStr">
        <is>
          <t>I</t>
        </is>
      </c>
      <c r="C5488" s="12" t="inlineStr">
        <is>
          <t>Modular / portable power</t>
        </is>
      </c>
      <c r="D5488" s="12" t="inlineStr">
        <is>
          <t>Motor 1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I-P-0325</t>
        </is>
      </c>
      <c r="B5489" s="12" t="inlineStr">
        <is>
          <t>I</t>
        </is>
      </c>
      <c r="C5489" s="12" t="inlineStr">
        <is>
          <t>Modular / portable power</t>
        </is>
      </c>
      <c r="D5489" s="12" t="inlineStr">
        <is>
          <t>Motor 2 of 6, 2 kW</t>
        </is>
      </c>
      <c r="E5489" s="12" t="inlineStr"/>
      <c r="F5489" s="12" t="inlineStr">
        <is>
          <t>MOD-LV 480 V board + 480 V : 13.8 kV step-up</t>
        </is>
      </c>
      <c r="G5489" s="12" t="inlineStr"/>
      <c r="H5489" s="12" t="inlineStr">
        <is>
          <t>T-MOD-1 / T-MOD-2 firewall</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91</v>
      </c>
      <c r="V5489" s="15">
        <f>ROUNDUP((T5489+U5489+2*'Read Me'!$B$13)*(1+'Read Me'!$B$12),-1)</f>
        <v/>
      </c>
      <c r="W5489" s="15">
        <f>V5489*N5489*O5489</f>
        <v/>
      </c>
      <c r="X5489" s="12">
        <f>IF(LEFT(I5489,2)="MV",2*N5489*IF(L5489="1/C",O5489,1),0)</f>
        <v/>
      </c>
      <c r="Y5489" s="12">
        <f>IF(OR(LEFT(K5489,4)="LVAX",LEFT(K5489,6)="MV15AX",LEFT(K5489,4)="CTAX",LEFT(K5489,2)="W|"),2*N5489*O5489,0)</f>
        <v/>
      </c>
      <c r="Z5489" s="12" t="inlineStr">
        <is>
          <t>VD 0.7 %</t>
        </is>
      </c>
      <c r="AA5489" s="12">
        <f>N5489*O5489</f>
        <v/>
      </c>
    </row>
    <row r="5490">
      <c r="A5490" s="12" t="inlineStr">
        <is>
          <t>I-P-0326</t>
        </is>
      </c>
      <c r="B5490" s="12" t="inlineStr">
        <is>
          <t>I</t>
        </is>
      </c>
      <c r="C5490" s="12" t="inlineStr">
        <is>
          <t>Modular / portable power</t>
        </is>
      </c>
      <c r="D5490" s="12" t="inlineStr">
        <is>
          <t>Motor 3 of 6, 2 kW</t>
        </is>
      </c>
      <c r="E5490" s="12" t="inlineStr"/>
      <c r="F5490" s="12" t="inlineStr">
        <is>
          <t>MOD-LV 480 V board + 480 V : 13.8 kV step-up</t>
        </is>
      </c>
      <c r="G5490" s="12" t="inlineStr"/>
      <c r="H5490" s="12" t="inlineStr">
        <is>
          <t>T-MOD-1 / T-MOD-2 firewall</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91</v>
      </c>
      <c r="V5490" s="15">
        <f>ROUNDUP((T5490+U5490+2*'Read Me'!$B$13)*(1+'Read Me'!$B$12),-1)</f>
        <v/>
      </c>
      <c r="W5490" s="15">
        <f>V5490*N5490*O5490</f>
        <v/>
      </c>
      <c r="X5490" s="12">
        <f>IF(LEFT(I5490,2)="MV",2*N5490*IF(L5490="1/C",O5490,1),0)</f>
        <v/>
      </c>
      <c r="Y5490" s="12">
        <f>IF(OR(LEFT(K5490,4)="LVAX",LEFT(K5490,6)="MV15AX",LEFT(K5490,4)="CTAX",LEFT(K5490,2)="W|"),2*N5490*O5490,0)</f>
        <v/>
      </c>
      <c r="Z5490" s="12" t="inlineStr">
        <is>
          <t>VD 0.7 %</t>
        </is>
      </c>
      <c r="AA5490" s="12">
        <f>N5490*O5490</f>
        <v/>
      </c>
    </row>
    <row r="5491">
      <c r="A5491" s="12" t="inlineStr">
        <is>
          <t>I-P-0327</t>
        </is>
      </c>
      <c r="B5491" s="12" t="inlineStr">
        <is>
          <t>I</t>
        </is>
      </c>
      <c r="C5491" s="12" t="inlineStr">
        <is>
          <t>Modular / portable power</t>
        </is>
      </c>
      <c r="D5491" s="12" t="inlineStr">
        <is>
          <t>Motor 4 of 6, 2 kW</t>
        </is>
      </c>
      <c r="E5491" s="12" t="inlineStr"/>
      <c r="F5491" s="12" t="inlineStr">
        <is>
          <t>MOD-LV 480 V board + 480 V : 13.8 kV step-up</t>
        </is>
      </c>
      <c r="G5491" s="12" t="inlineStr"/>
      <c r="H5491" s="12" t="inlineStr">
        <is>
          <t>T-MOD-1 / T-MOD-2 firewall</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91</v>
      </c>
      <c r="V5491" s="15">
        <f>ROUNDUP((T5491+U5491+2*'Read Me'!$B$13)*(1+'Read Me'!$B$12),-1)</f>
        <v/>
      </c>
      <c r="W5491" s="15">
        <f>V5491*N5491*O5491</f>
        <v/>
      </c>
      <c r="X5491" s="12">
        <f>IF(LEFT(I5491,2)="MV",2*N5491*IF(L5491="1/C",O5491,1),0)</f>
        <v/>
      </c>
      <c r="Y5491" s="12">
        <f>IF(OR(LEFT(K5491,4)="LVAX",LEFT(K5491,6)="MV15AX",LEFT(K5491,4)="CTAX",LEFT(K5491,2)="W|"),2*N5491*O5491,0)</f>
        <v/>
      </c>
      <c r="Z5491" s="12" t="inlineStr">
        <is>
          <t>VD 0.7 %</t>
        </is>
      </c>
      <c r="AA5491" s="12">
        <f>N5491*O5491</f>
        <v/>
      </c>
    </row>
    <row r="5492">
      <c r="A5492" s="12" t="inlineStr">
        <is>
          <t>I-P-0328</t>
        </is>
      </c>
      <c r="B5492" s="12" t="inlineStr">
        <is>
          <t>I</t>
        </is>
      </c>
      <c r="C5492" s="12" t="inlineStr">
        <is>
          <t>Modular / portable power</t>
        </is>
      </c>
      <c r="D5492" s="12" t="inlineStr">
        <is>
          <t>Motor 5 of 6, 2 kW</t>
        </is>
      </c>
      <c r="E5492" s="12" t="inlineStr"/>
      <c r="F5492" s="12" t="inlineStr">
        <is>
          <t>MOD-LV 480 V board + 480 V : 13.8 kV step-up</t>
        </is>
      </c>
      <c r="G5492" s="12" t="inlineStr"/>
      <c r="H5492" s="12" t="inlineStr">
        <is>
          <t>T-MOD-1 / T-MOD-2 firewall</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91</v>
      </c>
      <c r="V5492" s="15">
        <f>ROUNDUP((T5492+U5492+2*'Read Me'!$B$13)*(1+'Read Me'!$B$12),-1)</f>
        <v/>
      </c>
      <c r="W5492" s="15">
        <f>V5492*N5492*O5492</f>
        <v/>
      </c>
      <c r="X5492" s="12">
        <f>IF(LEFT(I5492,2)="MV",2*N5492*IF(L5492="1/C",O5492,1),0)</f>
        <v/>
      </c>
      <c r="Y5492" s="12">
        <f>IF(OR(LEFT(K5492,4)="LVAX",LEFT(K5492,6)="MV15AX",LEFT(K5492,4)="CTAX",LEFT(K5492,2)="W|"),2*N5492*O5492,0)</f>
        <v/>
      </c>
      <c r="Z5492" s="12" t="inlineStr">
        <is>
          <t>VD 0.7 %</t>
        </is>
      </c>
      <c r="AA5492" s="12">
        <f>N5492*O5492</f>
        <v/>
      </c>
    </row>
    <row r="5493">
      <c r="A5493" s="12" t="inlineStr">
        <is>
          <t>I-P-0329</t>
        </is>
      </c>
      <c r="B5493" s="12" t="inlineStr">
        <is>
          <t>I</t>
        </is>
      </c>
      <c r="C5493" s="12" t="inlineStr">
        <is>
          <t>Modular / portable power</t>
        </is>
      </c>
      <c r="D5493" s="12" t="inlineStr">
        <is>
          <t>Motor 6 of 6, 2 kW</t>
        </is>
      </c>
      <c r="E5493" s="12" t="inlineStr"/>
      <c r="F5493" s="12" t="inlineStr">
        <is>
          <t>MOD-LV 480 V board + 480 V : 13.8 kV step-up</t>
        </is>
      </c>
      <c r="G5493" s="12" t="inlineStr"/>
      <c r="H5493" s="12" t="inlineStr">
        <is>
          <t>T-MOD-1 / T-MOD-2 firewall</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91</v>
      </c>
      <c r="V5493" s="15">
        <f>ROUNDUP((T5493+U5493+2*'Read Me'!$B$13)*(1+'Read Me'!$B$12),-1)</f>
        <v/>
      </c>
      <c r="W5493" s="15">
        <f>V5493*N5493*O5493</f>
        <v/>
      </c>
      <c r="X5493" s="12">
        <f>IF(LEFT(I5493,2)="MV",2*N5493*IF(L5493="1/C",O5493,1),0)</f>
        <v/>
      </c>
      <c r="Y5493" s="12">
        <f>IF(OR(LEFT(K5493,4)="LVAX",LEFT(K5493,6)="MV15AX",LEFT(K5493,4)="CTAX",LEFT(K5493,2)="W|"),2*N5493*O5493,0)</f>
        <v/>
      </c>
      <c r="Z5493" s="12" t="inlineStr">
        <is>
          <t>VD 0.7 %</t>
        </is>
      </c>
      <c r="AA5493" s="12">
        <f>N5493*O5493</f>
        <v/>
      </c>
    </row>
    <row r="5494">
      <c r="A5494" s="12" t="inlineStr">
        <is>
          <t>I-P-0330</t>
        </is>
      </c>
      <c r="B5494" s="12" t="inlineStr">
        <is>
          <t>I</t>
        </is>
      </c>
      <c r="C5494" s="12" t="inlineStr">
        <is>
          <t>Modular / portable power</t>
        </is>
      </c>
      <c r="D5494" s="12" t="inlineStr">
        <is>
          <t>Motor 1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I-P-0331</t>
        </is>
      </c>
      <c r="B5495" s="12" t="inlineStr">
        <is>
          <t>I</t>
        </is>
      </c>
      <c r="C5495" s="12" t="inlineStr">
        <is>
          <t>Modular / portable power</t>
        </is>
      </c>
      <c r="D5495" s="12" t="inlineStr">
        <is>
          <t>Motor 2 of 6, 2 kW</t>
        </is>
      </c>
      <c r="E5495" s="12" t="inlineStr"/>
      <c r="F5495" s="12" t="inlineStr">
        <is>
          <t>MOD-LV 480 V board + 480 V : 13.8 kV step-up</t>
        </is>
      </c>
      <c r="G5495" s="12" t="inlineStr">
        <is>
          <t>T-MOD-1</t>
        </is>
      </c>
      <c r="H5495" s="12" t="inlineStr">
        <is>
          <t>T-MOD-1: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404</v>
      </c>
      <c r="U5495" s="15" t="n">
        <v>43</v>
      </c>
      <c r="V5495" s="15">
        <f>ROUNDUP((T5495+U5495+2*'Read Me'!$B$13)*(1+'Read Me'!$B$12),-1)</f>
        <v/>
      </c>
      <c r="W5495" s="15">
        <f>V5495*N5495*O5495</f>
        <v/>
      </c>
      <c r="X5495" s="12">
        <f>IF(LEFT(I5495,2)="MV",2*N5495*IF(L5495="1/C",O5495,1),0)</f>
        <v/>
      </c>
      <c r="Y5495" s="12">
        <f>IF(OR(LEFT(K5495,4)="LVAX",LEFT(K5495,6)="MV15AX",LEFT(K5495,4)="CTAX",LEFT(K5495,2)="W|"),2*N5495*O5495,0)</f>
        <v/>
      </c>
      <c r="Z5495" s="12" t="inlineStr">
        <is>
          <t>VD 0.6 %</t>
        </is>
      </c>
      <c r="AA5495" s="12">
        <f>N5495*O5495</f>
        <v/>
      </c>
    </row>
    <row r="5496">
      <c r="A5496" s="12" t="inlineStr">
        <is>
          <t>I-P-0332</t>
        </is>
      </c>
      <c r="B5496" s="12" t="inlineStr">
        <is>
          <t>I</t>
        </is>
      </c>
      <c r="C5496" s="12" t="inlineStr">
        <is>
          <t>Modular / portable power</t>
        </is>
      </c>
      <c r="D5496" s="12" t="inlineStr">
        <is>
          <t>Motor 3 of 6, 2 kW</t>
        </is>
      </c>
      <c r="E5496" s="12" t="inlineStr"/>
      <c r="F5496" s="12" t="inlineStr">
        <is>
          <t>MOD-LV 480 V board + 480 V : 13.8 kV step-up</t>
        </is>
      </c>
      <c r="G5496" s="12" t="inlineStr">
        <is>
          <t>T-MOD-1</t>
        </is>
      </c>
      <c r="H5496" s="12" t="inlineStr">
        <is>
          <t>T-MOD-1: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404</v>
      </c>
      <c r="U5496" s="15" t="n">
        <v>43</v>
      </c>
      <c r="V5496" s="15">
        <f>ROUNDUP((T5496+U5496+2*'Read Me'!$B$13)*(1+'Read Me'!$B$12),-1)</f>
        <v/>
      </c>
      <c r="W5496" s="15">
        <f>V5496*N5496*O5496</f>
        <v/>
      </c>
      <c r="X5496" s="12">
        <f>IF(LEFT(I5496,2)="MV",2*N5496*IF(L5496="1/C",O5496,1),0)</f>
        <v/>
      </c>
      <c r="Y5496" s="12">
        <f>IF(OR(LEFT(K5496,4)="LVAX",LEFT(K5496,6)="MV15AX",LEFT(K5496,4)="CTAX",LEFT(K5496,2)="W|"),2*N5496*O5496,0)</f>
        <v/>
      </c>
      <c r="Z5496" s="12" t="inlineStr">
        <is>
          <t>VD 0.6 %</t>
        </is>
      </c>
      <c r="AA5496" s="12">
        <f>N5496*O5496</f>
        <v/>
      </c>
    </row>
    <row r="5497">
      <c r="A5497" s="12" t="inlineStr">
        <is>
          <t>I-P-0333</t>
        </is>
      </c>
      <c r="B5497" s="12" t="inlineStr">
        <is>
          <t>I</t>
        </is>
      </c>
      <c r="C5497" s="12" t="inlineStr">
        <is>
          <t>Modular / portable power</t>
        </is>
      </c>
      <c r="D5497" s="12" t="inlineStr">
        <is>
          <t>Motor 4 of 6, 2 kW</t>
        </is>
      </c>
      <c r="E5497" s="12" t="inlineStr"/>
      <c r="F5497" s="12" t="inlineStr">
        <is>
          <t>MOD-LV 480 V board + 480 V : 13.8 kV step-up</t>
        </is>
      </c>
      <c r="G5497" s="12" t="inlineStr">
        <is>
          <t>T-MOD-1</t>
        </is>
      </c>
      <c r="H5497" s="12" t="inlineStr">
        <is>
          <t>T-MOD-1: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404</v>
      </c>
      <c r="U5497" s="15" t="n">
        <v>43</v>
      </c>
      <c r="V5497" s="15">
        <f>ROUNDUP((T5497+U5497+2*'Read Me'!$B$13)*(1+'Read Me'!$B$12),-1)</f>
        <v/>
      </c>
      <c r="W5497" s="15">
        <f>V5497*N5497*O5497</f>
        <v/>
      </c>
      <c r="X5497" s="12">
        <f>IF(LEFT(I5497,2)="MV",2*N5497*IF(L5497="1/C",O5497,1),0)</f>
        <v/>
      </c>
      <c r="Y5497" s="12">
        <f>IF(OR(LEFT(K5497,4)="LVAX",LEFT(K5497,6)="MV15AX",LEFT(K5497,4)="CTAX",LEFT(K5497,2)="W|"),2*N5497*O5497,0)</f>
        <v/>
      </c>
      <c r="Z5497" s="12" t="inlineStr">
        <is>
          <t>VD 0.6 %</t>
        </is>
      </c>
      <c r="AA5497" s="12">
        <f>N5497*O5497</f>
        <v/>
      </c>
    </row>
    <row r="5498">
      <c r="A5498" s="12" t="inlineStr">
        <is>
          <t>I-P-0334</t>
        </is>
      </c>
      <c r="B5498" s="12" t="inlineStr">
        <is>
          <t>I</t>
        </is>
      </c>
      <c r="C5498" s="12" t="inlineStr">
        <is>
          <t>Modular / portable power</t>
        </is>
      </c>
      <c r="D5498" s="12" t="inlineStr">
        <is>
          <t>Motor 5 of 6, 2 kW</t>
        </is>
      </c>
      <c r="E5498" s="12" t="inlineStr"/>
      <c r="F5498" s="12" t="inlineStr">
        <is>
          <t>MOD-LV 480 V board + 480 V : 13.8 kV step-up</t>
        </is>
      </c>
      <c r="G5498" s="12" t="inlineStr">
        <is>
          <t>T-MOD-1</t>
        </is>
      </c>
      <c r="H5498" s="12" t="inlineStr">
        <is>
          <t>T-MOD-1: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404</v>
      </c>
      <c r="U5498" s="15" t="n">
        <v>43</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I-P-0335</t>
        </is>
      </c>
      <c r="B5499" s="12" t="inlineStr">
        <is>
          <t>I</t>
        </is>
      </c>
      <c r="C5499" s="12" t="inlineStr">
        <is>
          <t>Modular / portable power</t>
        </is>
      </c>
      <c r="D5499" s="12" t="inlineStr">
        <is>
          <t>Motor 6 of 6, 2 kW</t>
        </is>
      </c>
      <c r="E5499" s="12" t="inlineStr"/>
      <c r="F5499" s="12" t="inlineStr">
        <is>
          <t>MOD-LV 480 V board + 480 V : 13.8 kV step-up</t>
        </is>
      </c>
      <c r="G5499" s="12" t="inlineStr">
        <is>
          <t>T-MOD-1</t>
        </is>
      </c>
      <c r="H5499" s="12" t="inlineStr">
        <is>
          <t>T-MOD-1: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404</v>
      </c>
      <c r="U5499" s="15" t="n">
        <v>43</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I-P-0336</t>
        </is>
      </c>
      <c r="B5500" s="12" t="inlineStr">
        <is>
          <t>I</t>
        </is>
      </c>
      <c r="C5500" s="12" t="inlineStr">
        <is>
          <t>Modular / portable power</t>
        </is>
      </c>
      <c r="D5500" s="12" t="inlineStr">
        <is>
          <t>Motor 1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I-P-0337</t>
        </is>
      </c>
      <c r="B5501" s="12" t="inlineStr">
        <is>
          <t>I</t>
        </is>
      </c>
      <c r="C5501" s="12" t="inlineStr">
        <is>
          <t>Modular / portable power</t>
        </is>
      </c>
      <c r="D5501" s="12" t="inlineStr">
        <is>
          <t>Motor 2 of 6, 2 kW</t>
        </is>
      </c>
      <c r="E5501" s="12" t="inlineStr"/>
      <c r="F5501" s="12" t="inlineStr">
        <is>
          <t>MOD-LV 480 V board + 480 V : 13.8 kV step-up</t>
        </is>
      </c>
      <c r="G5501" s="12" t="inlineStr">
        <is>
          <t>T-MOD-2</t>
        </is>
      </c>
      <c r="H5501" s="12" t="inlineStr">
        <is>
          <t>T-MOD-2: 230 / 34.5 kV</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61</v>
      </c>
      <c r="V5501" s="15">
        <f>ROUNDUP((T5501+U5501+2*'Read Me'!$B$13)*(1+'Read Me'!$B$12),-1)</f>
        <v/>
      </c>
      <c r="W5501" s="15">
        <f>V5501*N5501*O5501</f>
        <v/>
      </c>
      <c r="X5501" s="12">
        <f>IF(LEFT(I5501,2)="MV",2*N5501*IF(L5501="1/C",O5501,1),0)</f>
        <v/>
      </c>
      <c r="Y5501" s="12">
        <f>IF(OR(LEFT(K5501,4)="LVAX",LEFT(K5501,6)="MV15AX",LEFT(K5501,4)="CTAX",LEFT(K5501,2)="W|"),2*N5501*O5501,0)</f>
        <v/>
      </c>
      <c r="Z5501" s="12" t="inlineStr">
        <is>
          <t>VD 0.5 %</t>
        </is>
      </c>
      <c r="AA5501" s="12">
        <f>N5501*O5501</f>
        <v/>
      </c>
    </row>
    <row r="5502">
      <c r="A5502" s="12" t="inlineStr">
        <is>
          <t>I-P-0338</t>
        </is>
      </c>
      <c r="B5502" s="12" t="inlineStr">
        <is>
          <t>I</t>
        </is>
      </c>
      <c r="C5502" s="12" t="inlineStr">
        <is>
          <t>Modular / portable power</t>
        </is>
      </c>
      <c r="D5502" s="12" t="inlineStr">
        <is>
          <t>Motor 3 of 6, 2 kW</t>
        </is>
      </c>
      <c r="E5502" s="12" t="inlineStr"/>
      <c r="F5502" s="12" t="inlineStr">
        <is>
          <t>MOD-LV 480 V board + 480 V : 13.8 kV step-up</t>
        </is>
      </c>
      <c r="G5502" s="12" t="inlineStr">
        <is>
          <t>T-MOD-2</t>
        </is>
      </c>
      <c r="H5502" s="12" t="inlineStr">
        <is>
          <t>T-MOD-2: 230 / 34.5 kV</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61</v>
      </c>
      <c r="V5502" s="15">
        <f>ROUNDUP((T5502+U5502+2*'Read Me'!$B$13)*(1+'Read Me'!$B$12),-1)</f>
        <v/>
      </c>
      <c r="W5502" s="15">
        <f>V5502*N5502*O5502</f>
        <v/>
      </c>
      <c r="X5502" s="12">
        <f>IF(LEFT(I5502,2)="MV",2*N5502*IF(L5502="1/C",O5502,1),0)</f>
        <v/>
      </c>
      <c r="Y5502" s="12">
        <f>IF(OR(LEFT(K5502,4)="LVAX",LEFT(K5502,6)="MV15AX",LEFT(K5502,4)="CTAX",LEFT(K5502,2)="W|"),2*N5502*O5502,0)</f>
        <v/>
      </c>
      <c r="Z5502" s="12" t="inlineStr">
        <is>
          <t>VD 0.5 %</t>
        </is>
      </c>
      <c r="AA5502" s="12">
        <f>N5502*O5502</f>
        <v/>
      </c>
    </row>
    <row r="5503">
      <c r="A5503" s="12" t="inlineStr">
        <is>
          <t>I-P-0339</t>
        </is>
      </c>
      <c r="B5503" s="12" t="inlineStr">
        <is>
          <t>I</t>
        </is>
      </c>
      <c r="C5503" s="12" t="inlineStr">
        <is>
          <t>Modular / portable power</t>
        </is>
      </c>
      <c r="D5503" s="12" t="inlineStr">
        <is>
          <t>Motor 4 of 6, 2 kW</t>
        </is>
      </c>
      <c r="E5503" s="12" t="inlineStr"/>
      <c r="F5503" s="12" t="inlineStr">
        <is>
          <t>MOD-LV 480 V board + 480 V : 13.8 kV step-up</t>
        </is>
      </c>
      <c r="G5503" s="12" t="inlineStr">
        <is>
          <t>T-MOD-2</t>
        </is>
      </c>
      <c r="H5503" s="12" t="inlineStr">
        <is>
          <t>T-MOD-2: 230 / 34.5 kV</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61</v>
      </c>
      <c r="V5503" s="15">
        <f>ROUNDUP((T5503+U5503+2*'Read Me'!$B$13)*(1+'Read Me'!$B$12),-1)</f>
        <v/>
      </c>
      <c r="W5503" s="15">
        <f>V5503*N5503*O5503</f>
        <v/>
      </c>
      <c r="X5503" s="12">
        <f>IF(LEFT(I5503,2)="MV",2*N5503*IF(L5503="1/C",O5503,1),0)</f>
        <v/>
      </c>
      <c r="Y5503" s="12">
        <f>IF(OR(LEFT(K5503,4)="LVAX",LEFT(K5503,6)="MV15AX",LEFT(K5503,4)="CTAX",LEFT(K5503,2)="W|"),2*N5503*O5503,0)</f>
        <v/>
      </c>
      <c r="Z5503" s="12" t="inlineStr">
        <is>
          <t>VD 0.5 %</t>
        </is>
      </c>
      <c r="AA5503" s="12">
        <f>N5503*O5503</f>
        <v/>
      </c>
    </row>
    <row r="5504">
      <c r="A5504" s="12" t="inlineStr">
        <is>
          <t>I-P-0340</t>
        </is>
      </c>
      <c r="B5504" s="12" t="inlineStr">
        <is>
          <t>I</t>
        </is>
      </c>
      <c r="C5504" s="12" t="inlineStr">
        <is>
          <t>Modular / portable power</t>
        </is>
      </c>
      <c r="D5504" s="12" t="inlineStr">
        <is>
          <t>Motor 5 of 6, 2 kW</t>
        </is>
      </c>
      <c r="E5504" s="12" t="inlineStr"/>
      <c r="F5504" s="12" t="inlineStr">
        <is>
          <t>MOD-LV 480 V board + 480 V : 13.8 kV step-up</t>
        </is>
      </c>
      <c r="G5504" s="12" t="inlineStr">
        <is>
          <t>T-MOD-2</t>
        </is>
      </c>
      <c r="H5504" s="12" t="inlineStr">
        <is>
          <t>T-MOD-2: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61</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I-P-0341</t>
        </is>
      </c>
      <c r="B5505" s="12" t="inlineStr">
        <is>
          <t>I</t>
        </is>
      </c>
      <c r="C5505" s="12" t="inlineStr">
        <is>
          <t>Modular / portable power</t>
        </is>
      </c>
      <c r="D5505" s="12" t="inlineStr">
        <is>
          <t>Motor 6 of 6, 2 kW</t>
        </is>
      </c>
      <c r="E5505" s="12" t="inlineStr"/>
      <c r="F5505" s="12" t="inlineStr">
        <is>
          <t>MOD-LV 480 V board + 480 V : 13.8 kV step-up</t>
        </is>
      </c>
      <c r="G5505" s="12" t="inlineStr">
        <is>
          <t>T-MOD-2</t>
        </is>
      </c>
      <c r="H5505" s="12" t="inlineStr">
        <is>
          <t>T-MOD-2: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61</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I-P-0342</t>
        </is>
      </c>
      <c r="B5506" s="12" t="inlineStr">
        <is>
          <t>I</t>
        </is>
      </c>
      <c r="C5506" s="12" t="inlineStr">
        <is>
          <t>Modular / portable power</t>
        </is>
      </c>
      <c r="D5506" s="12" t="inlineStr">
        <is>
          <t>Motor 1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I-P-0343</t>
        </is>
      </c>
      <c r="B5507" s="12" t="inlineStr">
        <is>
          <t>I</t>
        </is>
      </c>
      <c r="C5507" s="12" t="inlineStr">
        <is>
          <t>Modular / portable power</t>
        </is>
      </c>
      <c r="D5507" s="12" t="inlineStr">
        <is>
          <t>Motor 2 of 6, 2 kW</t>
        </is>
      </c>
      <c r="E5507" s="12" t="inlineStr"/>
      <c r="F5507" s="12" t="inlineStr">
        <is>
          <t>MOD-LV 480 V board + 480 V : 13.8 kV step-up</t>
        </is>
      </c>
      <c r="G5507" s="12" t="inlineStr"/>
      <c r="H5507" s="12" t="inlineStr">
        <is>
          <t>T-MOD-3 230 kV gantry extension with arresters</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290</v>
      </c>
      <c r="U5507" s="15" t="n">
        <v>36</v>
      </c>
      <c r="V5507" s="15">
        <f>ROUNDUP((T5507+U5507+2*'Read Me'!$B$13)*(1+'Read Me'!$B$12),-1)</f>
        <v/>
      </c>
      <c r="W5507" s="15">
        <f>V5507*N5507*O5507</f>
        <v/>
      </c>
      <c r="X5507" s="12">
        <f>IF(LEFT(I5507,2)="MV",2*N5507*IF(L5507="1/C",O5507,1),0)</f>
        <v/>
      </c>
      <c r="Y5507" s="12">
        <f>IF(OR(LEFT(K5507,4)="LVAX",LEFT(K5507,6)="MV15AX",LEFT(K5507,4)="CTAX",LEFT(K5507,2)="W|"),2*N5507*O5507,0)</f>
        <v/>
      </c>
      <c r="Z5507" s="12" t="inlineStr">
        <is>
          <t>VD 0.4 %</t>
        </is>
      </c>
      <c r="AA5507" s="12">
        <f>N5507*O5507</f>
        <v/>
      </c>
    </row>
    <row r="5508">
      <c r="A5508" s="12" t="inlineStr">
        <is>
          <t>I-P-0344</t>
        </is>
      </c>
      <c r="B5508" s="12" t="inlineStr">
        <is>
          <t>I</t>
        </is>
      </c>
      <c r="C5508" s="12" t="inlineStr">
        <is>
          <t>Modular / portable power</t>
        </is>
      </c>
      <c r="D5508" s="12" t="inlineStr">
        <is>
          <t>Motor 3 of 6, 2 kW</t>
        </is>
      </c>
      <c r="E5508" s="12" t="inlineStr"/>
      <c r="F5508" s="12" t="inlineStr">
        <is>
          <t>MOD-LV 480 V board + 480 V : 13.8 kV step-up</t>
        </is>
      </c>
      <c r="G5508" s="12" t="inlineStr"/>
      <c r="H5508" s="12" t="inlineStr">
        <is>
          <t>T-MOD-3 230 kV gantry extension with arresters</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290</v>
      </c>
      <c r="U5508" s="15" t="n">
        <v>36</v>
      </c>
      <c r="V5508" s="15">
        <f>ROUNDUP((T5508+U5508+2*'Read Me'!$B$13)*(1+'Read Me'!$B$12),-1)</f>
        <v/>
      </c>
      <c r="W5508" s="15">
        <f>V5508*N5508*O5508</f>
        <v/>
      </c>
      <c r="X5508" s="12">
        <f>IF(LEFT(I5508,2)="MV",2*N5508*IF(L5508="1/C",O5508,1),0)</f>
        <v/>
      </c>
      <c r="Y5508" s="12">
        <f>IF(OR(LEFT(K5508,4)="LVAX",LEFT(K5508,6)="MV15AX",LEFT(K5508,4)="CTAX",LEFT(K5508,2)="W|"),2*N5508*O5508,0)</f>
        <v/>
      </c>
      <c r="Z5508" s="12" t="inlineStr">
        <is>
          <t>VD 0.4 %</t>
        </is>
      </c>
      <c r="AA5508" s="12">
        <f>N5508*O5508</f>
        <v/>
      </c>
    </row>
    <row r="5509">
      <c r="A5509" s="12" t="inlineStr">
        <is>
          <t>I-P-0345</t>
        </is>
      </c>
      <c r="B5509" s="12" t="inlineStr">
        <is>
          <t>I</t>
        </is>
      </c>
      <c r="C5509" s="12" t="inlineStr">
        <is>
          <t>Modular / portable power</t>
        </is>
      </c>
      <c r="D5509" s="12" t="inlineStr">
        <is>
          <t>Motor 4 of 6, 2 kW</t>
        </is>
      </c>
      <c r="E5509" s="12" t="inlineStr"/>
      <c r="F5509" s="12" t="inlineStr">
        <is>
          <t>MOD-LV 480 V board + 480 V : 13.8 kV step-up</t>
        </is>
      </c>
      <c r="G5509" s="12" t="inlineStr"/>
      <c r="H5509" s="12" t="inlineStr">
        <is>
          <t>T-MOD-3 230 kV gantry extension with arresters</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290</v>
      </c>
      <c r="U5509" s="15" t="n">
        <v>36</v>
      </c>
      <c r="V5509" s="15">
        <f>ROUNDUP((T5509+U5509+2*'Read Me'!$B$13)*(1+'Read Me'!$B$12),-1)</f>
        <v/>
      </c>
      <c r="W5509" s="15">
        <f>V5509*N5509*O5509</f>
        <v/>
      </c>
      <c r="X5509" s="12">
        <f>IF(LEFT(I5509,2)="MV",2*N5509*IF(L5509="1/C",O5509,1),0)</f>
        <v/>
      </c>
      <c r="Y5509" s="12">
        <f>IF(OR(LEFT(K5509,4)="LVAX",LEFT(K5509,6)="MV15AX",LEFT(K5509,4)="CTAX",LEFT(K5509,2)="W|"),2*N5509*O5509,0)</f>
        <v/>
      </c>
      <c r="Z5509" s="12" t="inlineStr">
        <is>
          <t>VD 0.4 %</t>
        </is>
      </c>
      <c r="AA5509" s="12">
        <f>N5509*O5509</f>
        <v/>
      </c>
    </row>
    <row r="5510">
      <c r="A5510" s="12" t="inlineStr">
        <is>
          <t>I-P-0346</t>
        </is>
      </c>
      <c r="B5510" s="12" t="inlineStr">
        <is>
          <t>I</t>
        </is>
      </c>
      <c r="C5510" s="12" t="inlineStr">
        <is>
          <t>Modular / portable power</t>
        </is>
      </c>
      <c r="D5510" s="12" t="inlineStr">
        <is>
          <t>Motor 5 of 6, 2 kW</t>
        </is>
      </c>
      <c r="E5510" s="12" t="inlineStr"/>
      <c r="F5510" s="12" t="inlineStr">
        <is>
          <t>MOD-LV 480 V board + 480 V : 13.8 kV step-up</t>
        </is>
      </c>
      <c r="G5510" s="12" t="inlineStr"/>
      <c r="H5510" s="12" t="inlineStr">
        <is>
          <t>T-MOD-3 230 kV gantry extension with arresters</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is>
          <t>VD 0.4 %</t>
        </is>
      </c>
      <c r="AA5510" s="12">
        <f>N5510*O5510</f>
        <v/>
      </c>
    </row>
    <row r="5511">
      <c r="A5511" s="12" t="inlineStr">
        <is>
          <t>I-P-0347</t>
        </is>
      </c>
      <c r="B5511" s="12" t="inlineStr">
        <is>
          <t>I</t>
        </is>
      </c>
      <c r="C5511" s="12" t="inlineStr">
        <is>
          <t>Modular / portable power</t>
        </is>
      </c>
      <c r="D5511" s="12" t="inlineStr">
        <is>
          <t>Motor 6 of 6, 2 kW</t>
        </is>
      </c>
      <c r="E5511" s="12" t="inlineStr"/>
      <c r="F5511" s="12" t="inlineStr">
        <is>
          <t>MOD-LV 480 V board + 480 V : 13.8 kV step-up</t>
        </is>
      </c>
      <c r="G5511" s="12" t="inlineStr"/>
      <c r="H5511" s="12" t="inlineStr">
        <is>
          <t>T-MOD-3 230 kV gantry extension with arresters</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36</v>
      </c>
      <c r="V5511" s="15">
        <f>ROUNDUP((T5511+U5511+2*'Read Me'!$B$13)*(1+'Read Me'!$B$12),-1)</f>
        <v/>
      </c>
      <c r="W5511" s="15">
        <f>V5511*N5511*O5511</f>
        <v/>
      </c>
      <c r="X5511" s="12">
        <f>IF(LEFT(I5511,2)="MV",2*N5511*IF(L5511="1/C",O5511,1),0)</f>
        <v/>
      </c>
      <c r="Y5511" s="12">
        <f>IF(OR(LEFT(K5511,4)="LVAX",LEFT(K5511,6)="MV15AX",LEFT(K5511,4)="CTAX",LEFT(K5511,2)="W|"),2*N5511*O5511,0)</f>
        <v/>
      </c>
      <c r="Z5511" s="12" t="inlineStr">
        <is>
          <t>VD 0.4 %</t>
        </is>
      </c>
      <c r="AA5511" s="12">
        <f>N5511*O5511</f>
        <v/>
      </c>
    </row>
    <row r="5512">
      <c r="A5512" s="12" t="inlineStr">
        <is>
          <t>I-P-0348</t>
        </is>
      </c>
      <c r="B5512" s="12" t="inlineStr">
        <is>
          <t>I</t>
        </is>
      </c>
      <c r="C5512" s="12" t="inlineStr">
        <is>
          <t>Modular / portable power</t>
        </is>
      </c>
      <c r="D5512" s="12" t="inlineStr">
        <is>
          <t>TGF-SWG station service from its internal 480 V aux transformer: charger, heaters, HVAC</t>
        </is>
      </c>
      <c r="E5512" s="12" t="inlineStr">
        <is>
          <t>TGF-SWG</t>
        </is>
      </c>
      <c r="F5512" s="12" t="inlineStr">
        <is>
          <t>TGF-SWG: mobile 13.8 kV switchgear trailer (fleet collector)</t>
        </is>
      </c>
      <c r="G5512" s="12" t="inlineStr">
        <is>
          <t>TGF-SWG</t>
        </is>
      </c>
      <c r="H5512" s="12" t="inlineStr">
        <is>
          <t>TGF-SWG: mobile 13.8 kV switchgear trailer (fleet collector)</t>
        </is>
      </c>
      <c r="I5512" s="12" t="inlineStr">
        <is>
          <t>LV 600 V</t>
        </is>
      </c>
      <c r="J5512" s="12" t="inlineStr">
        <is>
          <t>Type TC-ER 600 V 3/C Cu XHHW-2 + ground, PVC jacket</t>
        </is>
      </c>
      <c r="K5512" s="12" t="inlineStr">
        <is>
          <t>LV|3/C+G|2</t>
        </is>
      </c>
      <c r="L5512" s="12" t="inlineStr">
        <is>
          <t>3/C+G</t>
        </is>
      </c>
      <c r="M5512" s="12" t="inlineStr">
        <is>
          <t>2</t>
        </is>
      </c>
      <c r="N5512" s="12" t="n">
        <v>1</v>
      </c>
      <c r="O5512" s="12" t="n">
        <v>1</v>
      </c>
      <c r="P5512" s="12" t="n">
        <v>480</v>
      </c>
      <c r="Q5512" s="12" t="n">
        <v>45</v>
      </c>
      <c r="R5512" s="12" t="n">
        <v>60</v>
      </c>
      <c r="S5512" s="12" t="inlineStr">
        <is>
          <t>Tray</t>
        </is>
      </c>
      <c r="T5512" s="15" t="n">
        <v>40</v>
      </c>
      <c r="U5512" s="15" t="n">
        <v>10</v>
      </c>
      <c r="V5512" s="15">
        <f>ROUNDUP((T5512+U5512+2*'Read Me'!$B$13)*(1+'Read Me'!$B$12),-1)</f>
        <v/>
      </c>
      <c r="W5512" s="15">
        <f>V5512*N5512*O5512</f>
        <v/>
      </c>
      <c r="X5512" s="12">
        <f>IF(LEFT(I5512,2)="MV",2*N5512*IF(L5512="1/C",O5512,1),0)</f>
        <v/>
      </c>
      <c r="Y5512" s="12">
        <f>IF(OR(LEFT(K5512,4)="LVAX",LEFT(K5512,6)="MV15AX",LEFT(K5512,4)="CTAX",LEFT(K5512,2)="W|"),2*N5512*O5512,0)</f>
        <v/>
      </c>
      <c r="Z5512" s="12" t="inlineStr">
        <is>
          <t>internal to the lineup</t>
        </is>
      </c>
      <c r="AA5512" s="12">
        <f>N5512*O5512</f>
        <v/>
      </c>
    </row>
    <row r="5513">
      <c r="A5513" s="12" t="inlineStr">
        <is>
          <t>I-P-0349</t>
        </is>
      </c>
      <c r="B5513" s="12" t="inlineStr">
        <is>
          <t>I</t>
        </is>
      </c>
      <c r="C5513" s="12" t="inlineStr">
        <is>
          <t>Modular / portable power</t>
        </is>
      </c>
      <c r="D5513" s="12" t="inlineStr">
        <is>
          <t>Motor 1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I-P-0350</t>
        </is>
      </c>
      <c r="B5514" s="12" t="inlineStr">
        <is>
          <t>I</t>
        </is>
      </c>
      <c r="C5514" s="12" t="inlineStr">
        <is>
          <t>Modular / portable power</t>
        </is>
      </c>
      <c r="D5514" s="12" t="inlineStr">
        <is>
          <t>Motor 2 of 6, 22 kW</t>
        </is>
      </c>
      <c r="E5514" s="12" t="inlineStr"/>
      <c r="F5514" s="12" t="inlineStr">
        <is>
          <t>MOD-LV 480 V board + 480 V : 13.8 kV step-up</t>
        </is>
      </c>
      <c r="G5514" s="12" t="inlineStr">
        <is>
          <t>TM-1</t>
        </is>
      </c>
      <c r="H5514" s="12" t="inlineStr">
        <is>
          <t>TM-1: trailer-mounted aeroderivative GT (TM2500 class, ~35 MW)</t>
        </is>
      </c>
      <c r="I5514" s="12" t="inlineStr">
        <is>
          <t>LV 600 V</t>
        </is>
      </c>
      <c r="J5514" s="12" t="inlineStr">
        <is>
          <t>Type TC-ER 600 V 3/C Cu XHHW-2 + ground, PVC jacket</t>
        </is>
      </c>
      <c r="K5514" s="12" t="inlineStr">
        <is>
          <t>LV|3/C+G|6</t>
        </is>
      </c>
      <c r="L5514" s="12" t="inlineStr">
        <is>
          <t>3/C+G</t>
        </is>
      </c>
      <c r="M5514" s="12" t="inlineStr">
        <is>
          <t>6</t>
        </is>
      </c>
      <c r="N5514" s="12" t="n">
        <v>1</v>
      </c>
      <c r="O5514" s="12" t="n">
        <v>1</v>
      </c>
      <c r="P5514" s="12" t="n">
        <v>480</v>
      </c>
      <c r="Q5514" s="12" t="n">
        <v>22</v>
      </c>
      <c r="R5514" s="12" t="n">
        <v>31.1</v>
      </c>
      <c r="S5514" s="12" t="inlineStr">
        <is>
          <t>Duct bank</t>
        </is>
      </c>
      <c r="T5514" s="15" t="n">
        <v>323</v>
      </c>
      <c r="U5514" s="15" t="n">
        <v>38</v>
      </c>
      <c r="V5514" s="15">
        <f>ROUNDUP((T5514+U5514+2*'Read Me'!$B$13)*(1+'Read Me'!$B$12),-1)</f>
        <v/>
      </c>
      <c r="W5514" s="15">
        <f>V5514*N5514*O5514</f>
        <v/>
      </c>
      <c r="X5514" s="12">
        <f>IF(LEFT(I5514,2)="MV",2*N5514*IF(L5514="1/C",O5514,1),0)</f>
        <v/>
      </c>
      <c r="Y5514" s="12">
        <f>IF(OR(LEFT(K5514,4)="LVAX",LEFT(K5514,6)="MV15AX",LEFT(K5514,4)="CTAX",LEFT(K5514,2)="W|"),2*N5514*O5514,0)</f>
        <v/>
      </c>
      <c r="Z5514" s="12" t="inlineStr">
        <is>
          <t>VD 2.2 %</t>
        </is>
      </c>
      <c r="AA5514" s="12">
        <f>N5514*O5514</f>
        <v/>
      </c>
    </row>
    <row r="5515">
      <c r="A5515" s="12" t="inlineStr">
        <is>
          <t>I-P-0351</t>
        </is>
      </c>
      <c r="B5515" s="12" t="inlineStr">
        <is>
          <t>I</t>
        </is>
      </c>
      <c r="C5515" s="12" t="inlineStr">
        <is>
          <t>Modular / portable power</t>
        </is>
      </c>
      <c r="D5515" s="12" t="inlineStr">
        <is>
          <t>Motor 3 of 6, 22 kW</t>
        </is>
      </c>
      <c r="E5515" s="12" t="inlineStr"/>
      <c r="F5515" s="12" t="inlineStr">
        <is>
          <t>MOD-LV 480 V board + 480 V : 13.8 kV step-up</t>
        </is>
      </c>
      <c r="G5515" s="12" t="inlineStr">
        <is>
          <t>TM-1</t>
        </is>
      </c>
      <c r="H5515" s="12" t="inlineStr">
        <is>
          <t>TM-1: trailer-mounted aeroderivative GT (TM2500 class, ~35 MW)</t>
        </is>
      </c>
      <c r="I5515" s="12" t="inlineStr">
        <is>
          <t>LV 600 V</t>
        </is>
      </c>
      <c r="J5515" s="12" t="inlineStr">
        <is>
          <t>Type TC-ER 600 V 3/C Cu XHHW-2 + ground, PVC jacket</t>
        </is>
      </c>
      <c r="K5515" s="12" t="inlineStr">
        <is>
          <t>LV|3/C+G|6</t>
        </is>
      </c>
      <c r="L5515" s="12" t="inlineStr">
        <is>
          <t>3/C+G</t>
        </is>
      </c>
      <c r="M5515" s="12" t="inlineStr">
        <is>
          <t>6</t>
        </is>
      </c>
      <c r="N5515" s="12" t="n">
        <v>1</v>
      </c>
      <c r="O5515" s="12" t="n">
        <v>1</v>
      </c>
      <c r="P5515" s="12" t="n">
        <v>480</v>
      </c>
      <c r="Q5515" s="12" t="n">
        <v>22</v>
      </c>
      <c r="R5515" s="12" t="n">
        <v>31.1</v>
      </c>
      <c r="S5515" s="12" t="inlineStr">
        <is>
          <t>Duct bank</t>
        </is>
      </c>
      <c r="T5515" s="15" t="n">
        <v>323</v>
      </c>
      <c r="U5515" s="15" t="n">
        <v>38</v>
      </c>
      <c r="V5515" s="15">
        <f>ROUNDUP((T5515+U5515+2*'Read Me'!$B$13)*(1+'Read Me'!$B$12),-1)</f>
        <v/>
      </c>
      <c r="W5515" s="15">
        <f>V5515*N5515*O5515</f>
        <v/>
      </c>
      <c r="X5515" s="12">
        <f>IF(LEFT(I5515,2)="MV",2*N5515*IF(L5515="1/C",O5515,1),0)</f>
        <v/>
      </c>
      <c r="Y5515" s="12">
        <f>IF(OR(LEFT(K5515,4)="LVAX",LEFT(K5515,6)="MV15AX",LEFT(K5515,4)="CTAX",LEFT(K5515,2)="W|"),2*N5515*O5515,0)</f>
        <v/>
      </c>
      <c r="Z5515" s="12" t="inlineStr">
        <is>
          <t>VD 2.2 %</t>
        </is>
      </c>
      <c r="AA5515" s="12">
        <f>N5515*O5515</f>
        <v/>
      </c>
    </row>
    <row r="5516">
      <c r="A5516" s="12" t="inlineStr">
        <is>
          <t>I-P-0352</t>
        </is>
      </c>
      <c r="B5516" s="12" t="inlineStr">
        <is>
          <t>I</t>
        </is>
      </c>
      <c r="C5516" s="12" t="inlineStr">
        <is>
          <t>Modular / portable power</t>
        </is>
      </c>
      <c r="D5516" s="12" t="inlineStr">
        <is>
          <t>Motor 4 of 6, 22 kW</t>
        </is>
      </c>
      <c r="E5516" s="12" t="inlineStr"/>
      <c r="F5516" s="12" t="inlineStr">
        <is>
          <t>MOD-LV 480 V board + 480 V : 13.8 kV step-up</t>
        </is>
      </c>
      <c r="G5516" s="12" t="inlineStr">
        <is>
          <t>TM-1</t>
        </is>
      </c>
      <c r="H5516" s="12" t="inlineStr">
        <is>
          <t>TM-1: trailer-mounted aeroderivative GT (TM2500 class, ~35 MW)</t>
        </is>
      </c>
      <c r="I5516" s="12" t="inlineStr">
        <is>
          <t>LV 600 V</t>
        </is>
      </c>
      <c r="J5516" s="12" t="inlineStr">
        <is>
          <t>Type TC-ER 600 V 3/C Cu XHHW-2 + ground, PVC jacket</t>
        </is>
      </c>
      <c r="K5516" s="12" t="inlineStr">
        <is>
          <t>LV|3/C+G|6</t>
        </is>
      </c>
      <c r="L5516" s="12" t="inlineStr">
        <is>
          <t>3/C+G</t>
        </is>
      </c>
      <c r="M5516" s="12" t="inlineStr">
        <is>
          <t>6</t>
        </is>
      </c>
      <c r="N5516" s="12" t="n">
        <v>1</v>
      </c>
      <c r="O5516" s="12" t="n">
        <v>1</v>
      </c>
      <c r="P5516" s="12" t="n">
        <v>480</v>
      </c>
      <c r="Q5516" s="12" t="n">
        <v>22</v>
      </c>
      <c r="R5516" s="12" t="n">
        <v>31.1</v>
      </c>
      <c r="S5516" s="12" t="inlineStr">
        <is>
          <t>Duct bank</t>
        </is>
      </c>
      <c r="T5516" s="15" t="n">
        <v>323</v>
      </c>
      <c r="U5516" s="15" t="n">
        <v>38</v>
      </c>
      <c r="V5516" s="15">
        <f>ROUNDUP((T5516+U5516+2*'Read Me'!$B$13)*(1+'Read Me'!$B$12),-1)</f>
        <v/>
      </c>
      <c r="W5516" s="15">
        <f>V5516*N5516*O5516</f>
        <v/>
      </c>
      <c r="X5516" s="12">
        <f>IF(LEFT(I5516,2)="MV",2*N5516*IF(L5516="1/C",O5516,1),0)</f>
        <v/>
      </c>
      <c r="Y5516" s="12">
        <f>IF(OR(LEFT(K5516,4)="LVAX",LEFT(K5516,6)="MV15AX",LEFT(K5516,4)="CTAX",LEFT(K5516,2)="W|"),2*N5516*O5516,0)</f>
        <v/>
      </c>
      <c r="Z5516" s="12" t="inlineStr">
        <is>
          <t>VD 2.2 %</t>
        </is>
      </c>
      <c r="AA5516" s="12">
        <f>N5516*O5516</f>
        <v/>
      </c>
    </row>
    <row r="5517">
      <c r="A5517" s="12" t="inlineStr">
        <is>
          <t>I-P-0353</t>
        </is>
      </c>
      <c r="B5517" s="12" t="inlineStr">
        <is>
          <t>I</t>
        </is>
      </c>
      <c r="C5517" s="12" t="inlineStr">
        <is>
          <t>Modular / portable power</t>
        </is>
      </c>
      <c r="D5517" s="12" t="inlineStr">
        <is>
          <t>Motor 5 of 6, 22 kW</t>
        </is>
      </c>
      <c r="E5517" s="12" t="inlineStr"/>
      <c r="F5517" s="12" t="inlineStr">
        <is>
          <t>MOD-LV 480 V board + 480 V : 13.8 kV step-up</t>
        </is>
      </c>
      <c r="G5517" s="12" t="inlineStr">
        <is>
          <t>TM-1</t>
        </is>
      </c>
      <c r="H5517" s="12" t="inlineStr">
        <is>
          <t>TM-1: trailer-mounted aeroderivative GT (TM2500 class, ~35 MW)</t>
        </is>
      </c>
      <c r="I5517" s="12" t="inlineStr">
        <is>
          <t>LV 600 V</t>
        </is>
      </c>
      <c r="J5517" s="12" t="inlineStr">
        <is>
          <t>Type TC-ER 600 V 3/C Cu XHHW-2 + ground, PVC jacket</t>
        </is>
      </c>
      <c r="K5517" s="12" t="inlineStr">
        <is>
          <t>LV|3/C+G|6</t>
        </is>
      </c>
      <c r="L5517" s="12" t="inlineStr">
        <is>
          <t>3/C+G</t>
        </is>
      </c>
      <c r="M5517" s="12" t="inlineStr">
        <is>
          <t>6</t>
        </is>
      </c>
      <c r="N5517" s="12" t="n">
        <v>1</v>
      </c>
      <c r="O5517" s="12" t="n">
        <v>1</v>
      </c>
      <c r="P5517" s="12" t="n">
        <v>480</v>
      </c>
      <c r="Q5517" s="12" t="n">
        <v>22</v>
      </c>
      <c r="R5517" s="12" t="n">
        <v>31.1</v>
      </c>
      <c r="S5517" s="12" t="inlineStr">
        <is>
          <t>Duct bank</t>
        </is>
      </c>
      <c r="T5517" s="15" t="n">
        <v>323</v>
      </c>
      <c r="U5517" s="15" t="n">
        <v>38</v>
      </c>
      <c r="V5517" s="15">
        <f>ROUNDUP((T5517+U5517+2*'Read Me'!$B$13)*(1+'Read Me'!$B$12),-1)</f>
        <v/>
      </c>
      <c r="W5517" s="15">
        <f>V5517*N5517*O5517</f>
        <v/>
      </c>
      <c r="X5517" s="12">
        <f>IF(LEFT(I5517,2)="MV",2*N5517*IF(L5517="1/C",O5517,1),0)</f>
        <v/>
      </c>
      <c r="Y5517" s="12">
        <f>IF(OR(LEFT(K5517,4)="LVAX",LEFT(K5517,6)="MV15AX",LEFT(K5517,4)="CTAX",LEFT(K5517,2)="W|"),2*N5517*O5517,0)</f>
        <v/>
      </c>
      <c r="Z5517" s="12" t="inlineStr">
        <is>
          <t>VD 2.2 %</t>
        </is>
      </c>
      <c r="AA5517" s="12">
        <f>N5517*O5517</f>
        <v/>
      </c>
    </row>
    <row r="5518">
      <c r="A5518" s="12" t="inlineStr">
        <is>
          <t>I-P-0354</t>
        </is>
      </c>
      <c r="B5518" s="12" t="inlineStr">
        <is>
          <t>I</t>
        </is>
      </c>
      <c r="C5518" s="12" t="inlineStr">
        <is>
          <t>Modular / portable power</t>
        </is>
      </c>
      <c r="D5518" s="12" t="inlineStr">
        <is>
          <t>Motor 6 of 6, 22 kW</t>
        </is>
      </c>
      <c r="E5518" s="12" t="inlineStr"/>
      <c r="F5518" s="12" t="inlineStr">
        <is>
          <t>MOD-LV 480 V board + 480 V : 13.8 kV step-up</t>
        </is>
      </c>
      <c r="G5518" s="12" t="inlineStr">
        <is>
          <t>TM-1</t>
        </is>
      </c>
      <c r="H5518" s="12" t="inlineStr">
        <is>
          <t>TM-1: trailer-mounted aeroderivative GT (TM2500 class, ~35 MW)</t>
        </is>
      </c>
      <c r="I5518" s="12" t="inlineStr">
        <is>
          <t>LV 600 V</t>
        </is>
      </c>
      <c r="J5518" s="12" t="inlineStr">
        <is>
          <t>Type TC-ER 600 V 3/C Cu XHHW-2 + ground, PVC jacket</t>
        </is>
      </c>
      <c r="K5518" s="12" t="inlineStr">
        <is>
          <t>LV|3/C+G|6</t>
        </is>
      </c>
      <c r="L5518" s="12" t="inlineStr">
        <is>
          <t>3/C+G</t>
        </is>
      </c>
      <c r="M5518" s="12" t="inlineStr">
        <is>
          <t>6</t>
        </is>
      </c>
      <c r="N5518" s="12" t="n">
        <v>1</v>
      </c>
      <c r="O5518" s="12" t="n">
        <v>1</v>
      </c>
      <c r="P5518" s="12" t="n">
        <v>480</v>
      </c>
      <c r="Q5518" s="12" t="n">
        <v>22</v>
      </c>
      <c r="R5518" s="12" t="n">
        <v>31.1</v>
      </c>
      <c r="S5518" s="12" t="inlineStr">
        <is>
          <t>Duct bank</t>
        </is>
      </c>
      <c r="T5518" s="15" t="n">
        <v>323</v>
      </c>
      <c r="U5518" s="15" t="n">
        <v>38</v>
      </c>
      <c r="V5518" s="15">
        <f>ROUNDUP((T5518+U5518+2*'Read Me'!$B$13)*(1+'Read Me'!$B$12),-1)</f>
        <v/>
      </c>
      <c r="W5518" s="15">
        <f>V5518*N5518*O5518</f>
        <v/>
      </c>
      <c r="X5518" s="12">
        <f>IF(LEFT(I5518,2)="MV",2*N5518*IF(L5518="1/C",O5518,1),0)</f>
        <v/>
      </c>
      <c r="Y5518" s="12">
        <f>IF(OR(LEFT(K5518,4)="LVAX",LEFT(K5518,6)="MV15AX",LEFT(K5518,4)="CTAX",LEFT(K5518,2)="W|"),2*N5518*O5518,0)</f>
        <v/>
      </c>
      <c r="Z5518" s="12" t="inlineStr">
        <is>
          <t>VD 2.2 %</t>
        </is>
      </c>
      <c r="AA5518" s="12">
        <f>N5518*O5518</f>
        <v/>
      </c>
    </row>
    <row r="5519">
      <c r="A5519" s="12" t="inlineStr">
        <is>
          <t>I-P-0355</t>
        </is>
      </c>
      <c r="B5519" s="12" t="inlineStr">
        <is>
          <t>I</t>
        </is>
      </c>
      <c r="C5519" s="12" t="inlineStr">
        <is>
          <t>Modular / portable power</t>
        </is>
      </c>
      <c r="D5519" s="12" t="inlineStr">
        <is>
          <t>Motor 1 of 2, 75 kW</t>
        </is>
      </c>
      <c r="E5519" s="12" t="inlineStr"/>
      <c r="F5519" s="12" t="inlineStr">
        <is>
          <t>SC-2 PCM + 15 kV GCB</t>
        </is>
      </c>
      <c r="G5519" s="12" t="inlineStr"/>
      <c r="H5519" s="12" t="inlineStr">
        <is>
          <t>Water-injection skid</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75</v>
      </c>
      <c r="R5519" s="12" t="n">
        <v>106.1</v>
      </c>
      <c r="S5519" s="12" t="inlineStr">
        <is>
          <t>Duct bank</t>
        </is>
      </c>
      <c r="T5519" s="15" t="n">
        <v>0</v>
      </c>
      <c r="U5519" s="15" t="n">
        <v>60</v>
      </c>
      <c r="V5519" s="15">
        <f>ROUNDUP((T5519+U5519+2*'Read Me'!$B$13)*(1+'Read Me'!$B$12),-1)</f>
        <v/>
      </c>
      <c r="W5519" s="15">
        <f>V5519*N5519*O5519</f>
        <v/>
      </c>
      <c r="X5519" s="12">
        <f>IF(LEFT(I5519,2)="MV",2*N5519*IF(L5519="1/C",O5519,1),0)</f>
        <v/>
      </c>
      <c r="Y5519" s="12">
        <f>IF(OR(LEFT(K5519,4)="LVAX",LEFT(K5519,6)="MV15AX",LEFT(K5519,4)="CTAX",LEFT(K5519,2)="W|"),2*N5519*O5519,0)</f>
        <v/>
      </c>
      <c r="Z5519" s="12" t="inlineStr">
        <is>
          <t>VD 0.3 %</t>
        </is>
      </c>
      <c r="AA5519" s="12">
        <f>N5519*O5519</f>
        <v/>
      </c>
    </row>
    <row r="5520">
      <c r="A5520" s="12" t="inlineStr">
        <is>
          <t>I-P-0356</t>
        </is>
      </c>
      <c r="B5520" s="12" t="inlineStr">
        <is>
          <t>I</t>
        </is>
      </c>
      <c r="C5520" s="12" t="inlineStr">
        <is>
          <t>Modular / portable power</t>
        </is>
      </c>
      <c r="D5520" s="12" t="inlineStr">
        <is>
          <t>Motor 2 of 2, 75 kW</t>
        </is>
      </c>
      <c r="E5520" s="12" t="inlineStr"/>
      <c r="F5520" s="12" t="inlineStr">
        <is>
          <t>SC-2 PCM + 15 kV GCB</t>
        </is>
      </c>
      <c r="G5520" s="12" t="inlineStr"/>
      <c r="H5520" s="12" t="inlineStr">
        <is>
          <t>Water-injection skid</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75</v>
      </c>
      <c r="R5520" s="12" t="n">
        <v>106.1</v>
      </c>
      <c r="S5520" s="12" t="inlineStr">
        <is>
          <t>Duct bank</t>
        </is>
      </c>
      <c r="T5520" s="15" t="n">
        <v>0</v>
      </c>
      <c r="U5520" s="15" t="n">
        <v>60</v>
      </c>
      <c r="V5520" s="15">
        <f>ROUNDUP((T5520+U5520+2*'Read Me'!$B$13)*(1+'Read Me'!$B$12),-1)</f>
        <v/>
      </c>
      <c r="W5520" s="15">
        <f>V5520*N5520*O5520</f>
        <v/>
      </c>
      <c r="X5520" s="12">
        <f>IF(LEFT(I5520,2)="MV",2*N5520*IF(L5520="1/C",O5520,1),0)</f>
        <v/>
      </c>
      <c r="Y5520" s="12">
        <f>IF(OR(LEFT(K5520,4)="LVAX",LEFT(K5520,6)="MV15AX",LEFT(K5520,4)="CTAX",LEFT(K5520,2)="W|"),2*N5520*O5520,0)</f>
        <v/>
      </c>
      <c r="Z5520" s="12" t="inlineStr">
        <is>
          <t>VD 0.3 %</t>
        </is>
      </c>
      <c r="AA5520" s="12">
        <f>N5520*O5520</f>
        <v/>
      </c>
    </row>
    <row r="5521">
      <c r="A5521" s="12" t="inlineStr">
        <is>
          <t>I-MV-0001</t>
        </is>
      </c>
      <c r="B5521" s="12" t="inlineStr">
        <is>
          <t>I</t>
        </is>
      </c>
      <c r="C5521" s="12" t="inlineStr">
        <is>
          <t>Modular / portable power</t>
        </is>
      </c>
      <c r="D5521" s="12" t="inlineStr">
        <is>
          <t>AX-1 generator neutral to its high-resistance grounding resistor (in the package)</t>
        </is>
      </c>
      <c r="E5521" s="12" t="inlineStr">
        <is>
          <t>AX-1</t>
        </is>
      </c>
      <c r="F5521" s="12" t="inlineStr">
        <is>
          <t xml:space="preserve">AX-1: compact modular aeroderivative installation, LM2500XPRESS class </t>
        </is>
      </c>
      <c r="G5521" s="12" t="inlineStr">
        <is>
          <t>AX-1</t>
        </is>
      </c>
      <c r="H5521" s="12" t="inlineStr">
        <is>
          <t xml:space="preserve">AX-1: compact modular aeroderivative installation, LM2500XPRESS class </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I-MV-0002</t>
        </is>
      </c>
      <c r="B5522" s="12" t="inlineStr">
        <is>
          <t>I</t>
        </is>
      </c>
      <c r="C5522" s="12" t="inlineStr">
        <is>
          <t>Modular / portable power</t>
        </is>
      </c>
      <c r="D5522" s="12" t="inlineStr">
        <is>
          <t>AX-1 13.8 kV generator leads to AX-GSU</t>
        </is>
      </c>
      <c r="E5522" s="12" t="inlineStr">
        <is>
          <t>AX-1</t>
        </is>
      </c>
      <c r="F5522" s="12" t="inlineStr">
        <is>
          <t xml:space="preserve">AX-1: compact modular aeroderivative installation, LM2500XPRESS class </t>
        </is>
      </c>
      <c r="G5522" s="12" t="inlineStr">
        <is>
          <t>AX-GSU</t>
        </is>
      </c>
      <c r="H5522" s="12" t="inlineStr">
        <is>
          <t>AX-GSU: 13.8 / 34.5 kV step-up, ~45 MVA (AX-1 unit step-up)</t>
        </is>
      </c>
      <c r="I5522" s="12" t="inlineStr">
        <is>
          <t>MV 15 kV</t>
        </is>
      </c>
      <c r="J5522" s="12" t="inlineStr">
        <is>
          <t>MV-105 15 kV 1/C Cu, EPR 133%, Cu tape shield, PVC jacket (triplexed)</t>
        </is>
      </c>
      <c r="K5522" s="12" t="inlineStr">
        <is>
          <t>MV15|1/C|750</t>
        </is>
      </c>
      <c r="L5522" s="12" t="inlineStr">
        <is>
          <t>1/C</t>
        </is>
      </c>
      <c r="M5522" s="12" t="inlineStr">
        <is>
          <t>750 kcmil</t>
        </is>
      </c>
      <c r="N5522" s="12" t="n">
        <v>4</v>
      </c>
      <c r="O5522" s="12" t="n">
        <v>3</v>
      </c>
      <c r="P5522" s="12" t="n">
        <v>13800</v>
      </c>
      <c r="Q5522" s="12" t="n">
        <v>35000</v>
      </c>
      <c r="R5522" s="12" t="n">
        <v>1627</v>
      </c>
      <c r="S5522" s="12" t="inlineStr">
        <is>
          <t>Duct bank</t>
        </is>
      </c>
      <c r="T5522" s="15" t="n">
        <v>28</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is>
          <t>4 sets per phase</t>
        </is>
      </c>
      <c r="AA5522" s="12">
        <f>N5522*O5522</f>
        <v/>
      </c>
    </row>
    <row r="5523">
      <c r="A5523" s="12" t="inlineStr">
        <is>
          <t>I-MV-0003</t>
        </is>
      </c>
      <c r="B5523" s="12" t="inlineStr">
        <is>
          <t>I</t>
        </is>
      </c>
      <c r="C5523" s="12" t="inlineStr">
        <is>
          <t>Modular / portable power</t>
        </is>
      </c>
      <c r="D5523" s="12" t="inlineStr">
        <is>
          <t>CGE-1 generator neutral to its high-resistance grounding resistor (in the package)</t>
        </is>
      </c>
      <c r="E5523" s="12" t="inlineStr">
        <is>
          <t>CGE-1</t>
        </is>
      </c>
      <c r="F5523" s="12" t="inlineStr">
        <is>
          <t>CGE-1: containerized gas-engine generator ~4.4 MW, 13.8 kV (40 ft engi</t>
        </is>
      </c>
      <c r="G5523" s="12" t="inlineStr">
        <is>
          <t>CGE-1</t>
        </is>
      </c>
      <c r="H5523" s="12" t="inlineStr">
        <is>
          <t>CGE-1: containerized gas-engine generator ~4.4 MW, 13.8 kV (40 ft engi</t>
        </is>
      </c>
      <c r="I5523" s="12" t="inlineStr">
        <is>
          <t>MV 15 kV</t>
        </is>
      </c>
      <c r="J5523" s="12" t="inlineStr">
        <is>
          <t>MV-105 15 kV 1/C Cu, EPR 133%, Cu tape shield, PVC jacket (triplexed)</t>
        </is>
      </c>
      <c r="K5523" s="12" t="inlineStr">
        <is>
          <t>MV15|1/C|2</t>
        </is>
      </c>
      <c r="L5523" s="12" t="inlineStr">
        <is>
          <t>1/C</t>
        </is>
      </c>
      <c r="M5523" s="12" t="inlineStr">
        <is>
          <t>2</t>
        </is>
      </c>
      <c r="N5523" s="12" t="n">
        <v>1</v>
      </c>
      <c r="O5523" s="12" t="n">
        <v>1</v>
      </c>
      <c r="P5523" s="12" t="n">
        <v>13800</v>
      </c>
      <c r="Q5523" s="12" t="n"/>
      <c r="R5523" s="12" t="n"/>
      <c r="S5523" s="12" t="inlineStr">
        <is>
          <t>Conduit</t>
        </is>
      </c>
      <c r="T5523" s="15" t="n">
        <v>15</v>
      </c>
      <c r="U5523" s="15" t="n">
        <v>5</v>
      </c>
      <c r="V5523" s="15">
        <f>ROUNDUP((T5523+U5523+2*'Read Me'!$B$13)*(1+'Read Me'!$B$12),-1)</f>
        <v/>
      </c>
      <c r="W5523" s="15">
        <f>V5523*N5523*O5523</f>
        <v/>
      </c>
      <c r="X5523" s="12">
        <f>IF(LEFT(I5523,2)="MV",2*N5523*IF(L5523="1/C",O5523,1),0)</f>
        <v/>
      </c>
      <c r="Y5523" s="12">
        <f>IF(OR(LEFT(K5523,4)="LVAX",LEFT(K5523,6)="MV15AX",LEFT(K5523,4)="CTAX",LEFT(K5523,2)="W|"),2*N5523*O5523,0)</f>
        <v/>
      </c>
      <c r="Z5523" s="12" t="inlineStr">
        <is>
          <t>NGR in the generator / terminal-box enclosure</t>
        </is>
      </c>
      <c r="AA5523" s="12">
        <f>N5523*O5523</f>
        <v/>
      </c>
    </row>
    <row r="5524">
      <c r="A5524" s="12" t="inlineStr">
        <is>
          <t>I-MV-0004</t>
        </is>
      </c>
      <c r="B5524" s="12" t="inlineStr">
        <is>
          <t>I</t>
        </is>
      </c>
      <c r="C5524" s="12" t="inlineStr">
        <is>
          <t>Modular / portable power</t>
        </is>
      </c>
      <c r="D5524" s="12" t="inlineStr">
        <is>
          <t>CGE-2 generator neutral to its high-resistance grounding resistor (in the package)</t>
        </is>
      </c>
      <c r="E5524" s="12" t="inlineStr">
        <is>
          <t>CGE-2</t>
        </is>
      </c>
      <c r="F5524" s="12" t="inlineStr">
        <is>
          <t>CGE-2: containerized gas-engine generator ~4.4 MW, 13.8 kV (40 ft engi</t>
        </is>
      </c>
      <c r="G5524" s="12" t="inlineStr">
        <is>
          <t>CGE-2</t>
        </is>
      </c>
      <c r="H5524" s="12" t="inlineStr">
        <is>
          <t>CGE-2: containerized gas-engine generator ~4.4 MW, 13.8 kV (40 ft engi</t>
        </is>
      </c>
      <c r="I5524" s="12" t="inlineStr">
        <is>
          <t>MV 15 kV</t>
        </is>
      </c>
      <c r="J5524" s="12" t="inlineStr">
        <is>
          <t>MV-105 15 kV 1/C Cu, EPR 133%, Cu tape shield, PVC jacket (triplexed)</t>
        </is>
      </c>
      <c r="K5524" s="12" t="inlineStr">
        <is>
          <t>MV15|1/C|2</t>
        </is>
      </c>
      <c r="L5524" s="12" t="inlineStr">
        <is>
          <t>1/C</t>
        </is>
      </c>
      <c r="M5524" s="12" t="inlineStr">
        <is>
          <t>2</t>
        </is>
      </c>
      <c r="N5524" s="12" t="n">
        <v>1</v>
      </c>
      <c r="O5524" s="12" t="n">
        <v>1</v>
      </c>
      <c r="P5524" s="12" t="n">
        <v>13800</v>
      </c>
      <c r="Q5524" s="12" t="n"/>
      <c r="R5524" s="12" t="n"/>
      <c r="S5524" s="12" t="inlineStr">
        <is>
          <t>Conduit</t>
        </is>
      </c>
      <c r="T5524" s="15" t="n">
        <v>15</v>
      </c>
      <c r="U5524" s="15" t="n">
        <v>5</v>
      </c>
      <c r="V5524" s="15">
        <f>ROUNDUP((T5524+U5524+2*'Read Me'!$B$13)*(1+'Read Me'!$B$12),-1)</f>
        <v/>
      </c>
      <c r="W5524" s="15">
        <f>V5524*N5524*O5524</f>
        <v/>
      </c>
      <c r="X5524" s="12">
        <f>IF(LEFT(I5524,2)="MV",2*N5524*IF(L5524="1/C",O5524,1),0)</f>
        <v/>
      </c>
      <c r="Y5524" s="12">
        <f>IF(OR(LEFT(K5524,4)="LVAX",LEFT(K5524,6)="MV15AX",LEFT(K5524,4)="CTAX",LEFT(K5524,2)="W|"),2*N5524*O5524,0)</f>
        <v/>
      </c>
      <c r="Z5524" s="12" t="inlineStr">
        <is>
          <t>NGR in the generator / terminal-box enclosure</t>
        </is>
      </c>
      <c r="AA5524" s="12">
        <f>N5524*O5524</f>
        <v/>
      </c>
    </row>
    <row r="5525">
      <c r="A5525" s="12" t="inlineStr">
        <is>
          <t>I-MV-0005</t>
        </is>
      </c>
      <c r="B5525" s="12" t="inlineStr">
        <is>
          <t>I</t>
        </is>
      </c>
      <c r="C5525" s="12" t="inlineStr">
        <is>
          <t>Modular / portable power</t>
        </is>
      </c>
      <c r="D5525" s="12" t="inlineStr">
        <is>
          <t>CGE-3 generator neutral to its high-resistance grounding resistor (in the package)</t>
        </is>
      </c>
      <c r="E5525" s="12" t="inlineStr">
        <is>
          <t>CGE-3</t>
        </is>
      </c>
      <c r="F5525" s="12" t="inlineStr">
        <is>
          <t>CGE-3: containerized gas-engine generator ~4.4 MW, 13.8 kV (40 ft engi</t>
        </is>
      </c>
      <c r="G5525" s="12" t="inlineStr">
        <is>
          <t>CGE-3</t>
        </is>
      </c>
      <c r="H5525" s="12" t="inlineStr">
        <is>
          <t>CGE-3: containerized gas-engine generator ~4.4 MW, 13.8 kV (40 ft engi</t>
        </is>
      </c>
      <c r="I5525" s="12" t="inlineStr">
        <is>
          <t>MV 15 kV</t>
        </is>
      </c>
      <c r="J5525" s="12" t="inlineStr">
        <is>
          <t>MV-105 15 kV 1/C Cu, EPR 133%, Cu tape shield, PVC jacket (triplexed)</t>
        </is>
      </c>
      <c r="K5525" s="12" t="inlineStr">
        <is>
          <t>MV15|1/C|2</t>
        </is>
      </c>
      <c r="L5525" s="12" t="inlineStr">
        <is>
          <t>1/C</t>
        </is>
      </c>
      <c r="M5525" s="12" t="inlineStr">
        <is>
          <t>2</t>
        </is>
      </c>
      <c r="N5525" s="12" t="n">
        <v>1</v>
      </c>
      <c r="O5525" s="12" t="n">
        <v>1</v>
      </c>
      <c r="P5525" s="12" t="n">
        <v>13800</v>
      </c>
      <c r="Q5525" s="12" t="n"/>
      <c r="R5525" s="12" t="n"/>
      <c r="S5525" s="12" t="inlineStr">
        <is>
          <t>Conduit</t>
        </is>
      </c>
      <c r="T5525" s="15" t="n">
        <v>15</v>
      </c>
      <c r="U5525" s="15" t="n">
        <v>5</v>
      </c>
      <c r="V5525" s="15">
        <f>ROUNDUP((T5525+U5525+2*'Read Me'!$B$13)*(1+'Read Me'!$B$12),-1)</f>
        <v/>
      </c>
      <c r="W5525" s="15">
        <f>V5525*N5525*O5525</f>
        <v/>
      </c>
      <c r="X5525" s="12">
        <f>IF(LEFT(I5525,2)="MV",2*N5525*IF(L5525="1/C",O5525,1),0)</f>
        <v/>
      </c>
      <c r="Y5525" s="12">
        <f>IF(OR(LEFT(K5525,4)="LVAX",LEFT(K5525,6)="MV15AX",LEFT(K5525,4)="CTAX",LEFT(K5525,2)="W|"),2*N5525*O5525,0)</f>
        <v/>
      </c>
      <c r="Z5525" s="12" t="inlineStr">
        <is>
          <t>NGR in the generator / terminal-box enclosure</t>
        </is>
      </c>
      <c r="AA5525" s="12">
        <f>N5525*O5525</f>
        <v/>
      </c>
    </row>
    <row r="5526">
      <c r="A5526" s="12" t="inlineStr">
        <is>
          <t>I-MV-0006</t>
        </is>
      </c>
      <c r="B5526" s="12" t="inlineStr">
        <is>
          <t>I</t>
        </is>
      </c>
      <c r="C5526" s="12" t="inlineStr">
        <is>
          <t>Modular / portable power</t>
        </is>
      </c>
      <c r="D5526" s="12" t="inlineStr">
        <is>
          <t>CGE-4 generator neutral to its high-resistance grounding resistor (in the package)</t>
        </is>
      </c>
      <c r="E5526" s="12" t="inlineStr">
        <is>
          <t>CGE-4</t>
        </is>
      </c>
      <c r="F5526" s="12" t="inlineStr">
        <is>
          <t>CGE-4: containerized gas-engine generator ~4.4 MW, 13.8 kV (40 ft engi</t>
        </is>
      </c>
      <c r="G5526" s="12" t="inlineStr">
        <is>
          <t>CGE-4</t>
        </is>
      </c>
      <c r="H5526" s="12" t="inlineStr">
        <is>
          <t>CGE-4: containerized gas-engine generator ~4.4 MW, 13.8 kV (40 ft engi</t>
        </is>
      </c>
      <c r="I5526" s="12" t="inlineStr">
        <is>
          <t>MV 15 kV</t>
        </is>
      </c>
      <c r="J5526" s="12" t="inlineStr">
        <is>
          <t>MV-105 15 kV 1/C Cu, EPR 133%, Cu tape shield, PVC jacket (triplexed)</t>
        </is>
      </c>
      <c r="K5526" s="12" t="inlineStr">
        <is>
          <t>MV15|1/C|2</t>
        </is>
      </c>
      <c r="L5526" s="12" t="inlineStr">
        <is>
          <t>1/C</t>
        </is>
      </c>
      <c r="M5526" s="12" t="inlineStr">
        <is>
          <t>2</t>
        </is>
      </c>
      <c r="N5526" s="12" t="n">
        <v>1</v>
      </c>
      <c r="O5526" s="12" t="n">
        <v>1</v>
      </c>
      <c r="P5526" s="12" t="n">
        <v>13800</v>
      </c>
      <c r="Q5526" s="12" t="n"/>
      <c r="R5526" s="12" t="n"/>
      <c r="S5526" s="12" t="inlineStr">
        <is>
          <t>Conduit</t>
        </is>
      </c>
      <c r="T5526" s="15" t="n">
        <v>15</v>
      </c>
      <c r="U5526" s="15" t="n">
        <v>5</v>
      </c>
      <c r="V5526" s="15">
        <f>ROUNDUP((T5526+U5526+2*'Read Me'!$B$13)*(1+'Read Me'!$B$12),-1)</f>
        <v/>
      </c>
      <c r="W5526" s="15">
        <f>V5526*N5526*O5526</f>
        <v/>
      </c>
      <c r="X5526" s="12">
        <f>IF(LEFT(I5526,2)="MV",2*N5526*IF(L5526="1/C",O5526,1),0)</f>
        <v/>
      </c>
      <c r="Y5526" s="12">
        <f>IF(OR(LEFT(K5526,4)="LVAX",LEFT(K5526,6)="MV15AX",LEFT(K5526,4)="CTAX",LEFT(K5526,2)="W|"),2*N5526*O5526,0)</f>
        <v/>
      </c>
      <c r="Z5526" s="12" t="inlineStr">
        <is>
          <t>NGR in the generator / terminal-box enclosure</t>
        </is>
      </c>
      <c r="AA5526" s="12">
        <f>N5526*O5526</f>
        <v/>
      </c>
    </row>
    <row r="5527">
      <c r="A5527" s="12" t="inlineStr">
        <is>
          <t>I-MV-0007</t>
        </is>
      </c>
      <c r="B5527" s="12" t="inlineStr">
        <is>
          <t>I</t>
        </is>
      </c>
      <c r="C5527" s="12" t="inlineStr">
        <is>
          <t>Modular / portable power</t>
        </is>
      </c>
      <c r="D5527" s="12" t="inlineStr">
        <is>
          <t>CGE-AUX 13.8 kV primary</t>
        </is>
      </c>
      <c r="E5527" s="12" t="inlineStr">
        <is>
          <t>CGE-SWG</t>
        </is>
      </c>
      <c r="F5527" s="12" t="inlineStr">
        <is>
          <t>CGE-SWG: 13.8 kV switchgear container (engine breakers, site feeder)</t>
        </is>
      </c>
      <c r="G5527" s="12" t="inlineStr">
        <is>
          <t>CGE-AUX</t>
        </is>
      </c>
      <c r="H5527" s="12" t="inlineStr">
        <is>
          <t>CGE-AUX: 13.8 / 0.48 kV auxiliary transformer (cooling containers, rad</t>
        </is>
      </c>
      <c r="I5527" s="12" t="inlineStr">
        <is>
          <t>MV 15 kV</t>
        </is>
      </c>
      <c r="J5527" s="12" t="inlineStr">
        <is>
          <t>MV-105 15 kV 1/C Cu, EPR 133%, Cu tape shield, PVC jacket (triplexed)</t>
        </is>
      </c>
      <c r="K5527" s="12" t="inlineStr">
        <is>
          <t>MV15|1/C|2</t>
        </is>
      </c>
      <c r="L5527" s="12" t="inlineStr">
        <is>
          <t>1/C</t>
        </is>
      </c>
      <c r="M5527" s="12" t="inlineStr">
        <is>
          <t>2</t>
        </is>
      </c>
      <c r="N5527" s="12" t="n">
        <v>1</v>
      </c>
      <c r="O5527" s="12" t="n">
        <v>3</v>
      </c>
      <c r="P5527" s="12" t="n">
        <v>13800</v>
      </c>
      <c r="Q5527" s="12" t="n">
        <v>600</v>
      </c>
      <c r="R5527" s="12" t="n">
        <v>25</v>
      </c>
      <c r="S5527" s="12" t="inlineStr">
        <is>
          <t>Duct bank</t>
        </is>
      </c>
      <c r="T5527" s="15" t="n">
        <v>12</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c r="AA5527" s="12">
        <f>N5527*O5527</f>
        <v/>
      </c>
    </row>
    <row r="5528">
      <c r="A5528" s="12" t="inlineStr">
        <is>
          <t>I-MV-0008</t>
        </is>
      </c>
      <c r="B5528" s="12" t="inlineStr">
        <is>
          <t>I</t>
        </is>
      </c>
      <c r="C5528" s="12" t="inlineStr">
        <is>
          <t>Modular / portable power</t>
        </is>
      </c>
      <c r="D5528" s="12" t="inlineStr">
        <is>
          <t>CGE-SWG 13.8 kV to CGE-GSU</t>
        </is>
      </c>
      <c r="E5528" s="12" t="inlineStr">
        <is>
          <t>CGE-SWG</t>
        </is>
      </c>
      <c r="F5528" s="12" t="inlineStr">
        <is>
          <t>CGE-SWG: 13.8 kV switchgear container (engine breakers, site feeder)</t>
        </is>
      </c>
      <c r="G5528" s="12" t="inlineStr">
        <is>
          <t>CGE-GSU</t>
        </is>
      </c>
      <c r="H5528" s="12" t="inlineStr">
        <is>
          <t>CGE-GSU: 13.8 / 34.5 kV step-up, ~20 MVA (containerized engines)</t>
        </is>
      </c>
      <c r="I5528" s="12" t="inlineStr">
        <is>
          <t>MV 15 kV</t>
        </is>
      </c>
      <c r="J5528" s="12" t="inlineStr">
        <is>
          <t>MV-105 15 kV 1/C Cu, EPR 133%, Cu tape shield, PVC jacket (triplexed)</t>
        </is>
      </c>
      <c r="K5528" s="12" t="inlineStr">
        <is>
          <t>MV15|1/C|750</t>
        </is>
      </c>
      <c r="L5528" s="12" t="inlineStr">
        <is>
          <t>1/C</t>
        </is>
      </c>
      <c r="M5528" s="12" t="inlineStr">
        <is>
          <t>750 kcmil</t>
        </is>
      </c>
      <c r="N5528" s="12" t="n">
        <v>2</v>
      </c>
      <c r="O5528" s="12" t="n">
        <v>3</v>
      </c>
      <c r="P5528" s="12" t="n">
        <v>13800</v>
      </c>
      <c r="Q5528" s="12" t="n">
        <v>17600</v>
      </c>
      <c r="R5528" s="12" t="n">
        <v>818</v>
      </c>
      <c r="S5528" s="12" t="inlineStr">
        <is>
          <t>Duct bank</t>
        </is>
      </c>
      <c r="T5528" s="15" t="n">
        <v>10</v>
      </c>
      <c r="U5528" s="15" t="n">
        <v>32</v>
      </c>
      <c r="V5528" s="15">
        <f>ROUNDUP((T5528+U5528+2*'Read Me'!$B$13)*(1+'Read Me'!$B$12),-1)</f>
        <v/>
      </c>
      <c r="W5528" s="15">
        <f>V5528*N5528*O5528</f>
        <v/>
      </c>
      <c r="X5528" s="12">
        <f>IF(LEFT(I5528,2)="MV",2*N5528*IF(L5528="1/C",O5528,1),0)</f>
        <v/>
      </c>
      <c r="Y5528" s="12">
        <f>IF(OR(LEFT(K5528,4)="LVAX",LEFT(K5528,6)="MV15AX",LEFT(K5528,4)="CTAX",LEFT(K5528,2)="W|"),2*N5528*O5528,0)</f>
        <v/>
      </c>
      <c r="Z5528" s="12" t="inlineStr">
        <is>
          <t>2 sets per phase</t>
        </is>
      </c>
      <c r="AA5528" s="12">
        <f>N5528*O5528</f>
        <v/>
      </c>
    </row>
    <row r="5529">
      <c r="A5529" s="12" t="inlineStr">
        <is>
          <t>I-MV-0009</t>
        </is>
      </c>
      <c r="B5529" s="12" t="inlineStr">
        <is>
          <t>I</t>
        </is>
      </c>
      <c r="C5529" s="12" t="inlineStr">
        <is>
          <t>Modular / portable power</t>
        </is>
      </c>
      <c r="D5529" s="12" t="inlineStr">
        <is>
          <t>CGE-1 13.8 kV generator leads to the switchgear container</t>
        </is>
      </c>
      <c r="E5529" s="12" t="inlineStr">
        <is>
          <t>CGE-1</t>
        </is>
      </c>
      <c r="F5529" s="12" t="inlineStr">
        <is>
          <t>CGE-1: containerized gas-engine generator ~4.4 MW, 13.8 kV (40 ft engi</t>
        </is>
      </c>
      <c r="G5529" s="12" t="inlineStr">
        <is>
          <t>CGE-SWG</t>
        </is>
      </c>
      <c r="H5529" s="12" t="inlineStr">
        <is>
          <t>CGE-SWG: 13.8 kV switchgear container (engine breakers, site feeder)</t>
        </is>
      </c>
      <c r="I5529" s="12" t="inlineStr">
        <is>
          <t>MV 15 kV</t>
        </is>
      </c>
      <c r="J5529" s="12" t="inlineStr">
        <is>
          <t>MV-105 15 kV 1/C Cu, EPR 133%, Cu tape shield, PVC jacket (triplexed)</t>
        </is>
      </c>
      <c r="K5529" s="12" t="inlineStr">
        <is>
          <t>MV15|1/C|4/0</t>
        </is>
      </c>
      <c r="L5529" s="12" t="inlineStr">
        <is>
          <t>1/C</t>
        </is>
      </c>
      <c r="M5529" s="12" t="inlineStr">
        <is>
          <t>4/0</t>
        </is>
      </c>
      <c r="N5529" s="12" t="n">
        <v>1</v>
      </c>
      <c r="O5529" s="12" t="n">
        <v>3</v>
      </c>
      <c r="P5529" s="12" t="n">
        <v>13800</v>
      </c>
      <c r="Q5529" s="12" t="n">
        <v>4400</v>
      </c>
      <c r="R5529" s="12" t="n">
        <v>205</v>
      </c>
      <c r="S5529" s="12" t="inlineStr">
        <is>
          <t>Duct bank</t>
        </is>
      </c>
      <c r="T5529" s="15" t="n">
        <v>79</v>
      </c>
      <c r="U5529" s="15" t="n">
        <v>32</v>
      </c>
      <c r="V5529" s="15">
        <f>ROUNDUP((T5529+U5529+2*'Read Me'!$B$13)*(1+'Read Me'!$B$12),-1)</f>
        <v/>
      </c>
      <c r="W5529" s="15">
        <f>V5529*N5529*O5529</f>
        <v/>
      </c>
      <c r="X5529" s="12">
        <f>IF(LEFT(I5529,2)="MV",2*N5529*IF(L5529="1/C",O5529,1),0)</f>
        <v/>
      </c>
      <c r="Y5529" s="12">
        <f>IF(OR(LEFT(K5529,4)="LVAX",LEFT(K5529,6)="MV15AX",LEFT(K5529,4)="CTAX",LEFT(K5529,2)="W|"),2*N5529*O5529,0)</f>
        <v/>
      </c>
      <c r="Z5529" s="12" t="inlineStr">
        <is>
          <t>1 set per phase</t>
        </is>
      </c>
      <c r="AA5529" s="12">
        <f>N5529*O5529</f>
        <v/>
      </c>
    </row>
    <row r="5530">
      <c r="A5530" s="12" t="inlineStr">
        <is>
          <t>I-MV-0010</t>
        </is>
      </c>
      <c r="B5530" s="12" t="inlineStr">
        <is>
          <t>I</t>
        </is>
      </c>
      <c r="C5530" s="12" t="inlineStr">
        <is>
          <t>Modular / portable power</t>
        </is>
      </c>
      <c r="D5530" s="12" t="inlineStr">
        <is>
          <t>CGE-2 13.8 kV generator leads to the switchgear container</t>
        </is>
      </c>
      <c r="E5530" s="12" t="inlineStr">
        <is>
          <t>CGE-2</t>
        </is>
      </c>
      <c r="F5530" s="12" t="inlineStr">
        <is>
          <t>CGE-2: containerized gas-engine generator ~4.4 MW, 13.8 kV (40 ft engi</t>
        </is>
      </c>
      <c r="G5530" s="12" t="inlineStr">
        <is>
          <t>CGE-SWG</t>
        </is>
      </c>
      <c r="H5530" s="12" t="inlineStr">
        <is>
          <t>CGE-SWG: 13.8 kV switchgear container (engine breakers, site feeder)</t>
        </is>
      </c>
      <c r="I5530" s="12" t="inlineStr">
        <is>
          <t>MV 15 kV</t>
        </is>
      </c>
      <c r="J5530" s="12" t="inlineStr">
        <is>
          <t>MV-105 15 kV 1/C Cu, EPR 133%, Cu tape shield, PVC jacket (triplexed)</t>
        </is>
      </c>
      <c r="K5530" s="12" t="inlineStr">
        <is>
          <t>MV15|1/C|4/0</t>
        </is>
      </c>
      <c r="L5530" s="12" t="inlineStr">
        <is>
          <t>1/C</t>
        </is>
      </c>
      <c r="M5530" s="12" t="inlineStr">
        <is>
          <t>4/0</t>
        </is>
      </c>
      <c r="N5530" s="12" t="n">
        <v>1</v>
      </c>
      <c r="O5530" s="12" t="n">
        <v>3</v>
      </c>
      <c r="P5530" s="12" t="n">
        <v>13800</v>
      </c>
      <c r="Q5530" s="12" t="n">
        <v>4400</v>
      </c>
      <c r="R5530" s="12" t="n">
        <v>205</v>
      </c>
      <c r="S5530" s="12" t="inlineStr">
        <is>
          <t>Duct bank</t>
        </is>
      </c>
      <c r="T5530" s="15" t="n">
        <v>61</v>
      </c>
      <c r="U5530" s="15" t="n">
        <v>32</v>
      </c>
      <c r="V5530" s="15">
        <f>ROUNDUP((T5530+U5530+2*'Read Me'!$B$13)*(1+'Read Me'!$B$12),-1)</f>
        <v/>
      </c>
      <c r="W5530" s="15">
        <f>V5530*N5530*O5530</f>
        <v/>
      </c>
      <c r="X5530" s="12">
        <f>IF(LEFT(I5530,2)="MV",2*N5530*IF(L5530="1/C",O5530,1),0)</f>
        <v/>
      </c>
      <c r="Y5530" s="12">
        <f>IF(OR(LEFT(K5530,4)="LVAX",LEFT(K5530,6)="MV15AX",LEFT(K5530,4)="CTAX",LEFT(K5530,2)="W|"),2*N5530*O5530,0)</f>
        <v/>
      </c>
      <c r="Z5530" s="12" t="inlineStr">
        <is>
          <t>1 set per phase</t>
        </is>
      </c>
      <c r="AA5530" s="12">
        <f>N5530*O5530</f>
        <v/>
      </c>
    </row>
    <row r="5531">
      <c r="A5531" s="12" t="inlineStr">
        <is>
          <t>I-MV-0011</t>
        </is>
      </c>
      <c r="B5531" s="12" t="inlineStr">
        <is>
          <t>I</t>
        </is>
      </c>
      <c r="C5531" s="12" t="inlineStr">
        <is>
          <t>Modular / portable power</t>
        </is>
      </c>
      <c r="D5531" s="12" t="inlineStr">
        <is>
          <t>CGE-3 13.8 kV generator leads to the switchgear container</t>
        </is>
      </c>
      <c r="E5531" s="12" t="inlineStr">
        <is>
          <t>CGE-3</t>
        </is>
      </c>
      <c r="F5531" s="12" t="inlineStr">
        <is>
          <t>CGE-3: containerized gas-engine generator ~4.4 MW, 13.8 kV (40 ft engi</t>
        </is>
      </c>
      <c r="G5531" s="12" t="inlineStr">
        <is>
          <t>CGE-SWG</t>
        </is>
      </c>
      <c r="H5531" s="12" t="inlineStr">
        <is>
          <t>CGE-SWG: 13.8 kV switchgear container (engine breakers, site feeder)</t>
        </is>
      </c>
      <c r="I5531" s="12" t="inlineStr">
        <is>
          <t>MV 15 kV</t>
        </is>
      </c>
      <c r="J5531" s="12" t="inlineStr">
        <is>
          <t>MV-105 15 kV 1/C Cu, EPR 133%, Cu tape shield, PVC jacket (triplexed)</t>
        </is>
      </c>
      <c r="K5531" s="12" t="inlineStr">
        <is>
          <t>MV15|1/C|4/0</t>
        </is>
      </c>
      <c r="L5531" s="12" t="inlineStr">
        <is>
          <t>1/C</t>
        </is>
      </c>
      <c r="M5531" s="12" t="inlineStr">
        <is>
          <t>4/0</t>
        </is>
      </c>
      <c r="N5531" s="12" t="n">
        <v>1</v>
      </c>
      <c r="O5531" s="12" t="n">
        <v>3</v>
      </c>
      <c r="P5531" s="12" t="n">
        <v>13800</v>
      </c>
      <c r="Q5531" s="12" t="n">
        <v>4400</v>
      </c>
      <c r="R5531" s="12" t="n">
        <v>205</v>
      </c>
      <c r="S5531" s="12" t="inlineStr">
        <is>
          <t>Duct bank</t>
        </is>
      </c>
      <c r="T5531" s="15" t="n">
        <v>43</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is>
          <t>1 set per phase</t>
        </is>
      </c>
      <c r="AA5531" s="12">
        <f>N5531*O5531</f>
        <v/>
      </c>
    </row>
    <row r="5532">
      <c r="A5532" s="12" t="inlineStr">
        <is>
          <t>I-MV-0012</t>
        </is>
      </c>
      <c r="B5532" s="12" t="inlineStr">
        <is>
          <t>I</t>
        </is>
      </c>
      <c r="C5532" s="12" t="inlineStr">
        <is>
          <t>Modular / portable power</t>
        </is>
      </c>
      <c r="D5532" s="12" t="inlineStr">
        <is>
          <t>CGE-4 13.8 kV generator leads to the switchgear container</t>
        </is>
      </c>
      <c r="E5532" s="12" t="inlineStr">
        <is>
          <t>CGE-4</t>
        </is>
      </c>
      <c r="F5532" s="12" t="inlineStr">
        <is>
          <t>CGE-4: containerized gas-engine generator ~4.4 MW, 13.8 kV (40 ft engi</t>
        </is>
      </c>
      <c r="G5532" s="12" t="inlineStr">
        <is>
          <t>CGE-SWG</t>
        </is>
      </c>
      <c r="H5532" s="12" t="inlineStr">
        <is>
          <t>CGE-SWG: 13.8 kV switchgear container (engine breakers, site feeder)</t>
        </is>
      </c>
      <c r="I5532" s="12" t="inlineStr">
        <is>
          <t>MV 15 kV</t>
        </is>
      </c>
      <c r="J5532" s="12" t="inlineStr">
        <is>
          <t>MV-105 15 kV 1/C Cu, EPR 133%, Cu tape shield, PVC jacket (triplexed)</t>
        </is>
      </c>
      <c r="K5532" s="12" t="inlineStr">
        <is>
          <t>MV15|1/C|4/0</t>
        </is>
      </c>
      <c r="L5532" s="12" t="inlineStr">
        <is>
          <t>1/C</t>
        </is>
      </c>
      <c r="M5532" s="12" t="inlineStr">
        <is>
          <t>4/0</t>
        </is>
      </c>
      <c r="N5532" s="12" t="n">
        <v>1</v>
      </c>
      <c r="O5532" s="12" t="n">
        <v>3</v>
      </c>
      <c r="P5532" s="12" t="n">
        <v>13800</v>
      </c>
      <c r="Q5532" s="12" t="n">
        <v>4400</v>
      </c>
      <c r="R5532" s="12" t="n">
        <v>205</v>
      </c>
      <c r="S5532" s="12" t="inlineStr">
        <is>
          <t>Duct bank</t>
        </is>
      </c>
      <c r="T5532" s="15" t="n">
        <v>29</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is>
          <t>1 set per phase</t>
        </is>
      </c>
      <c r="AA5532" s="12">
        <f>N5532*O5532</f>
        <v/>
      </c>
    </row>
    <row r="5533">
      <c r="A5533" s="12" t="inlineStr">
        <is>
          <t>I-MV-0013</t>
        </is>
      </c>
      <c r="B5533" s="12" t="inlineStr">
        <is>
          <t>I</t>
        </is>
      </c>
      <c r="C5533" s="12" t="inlineStr">
        <is>
          <t>Modular / portable power</t>
        </is>
      </c>
      <c r="D5533" s="12" t="inlineStr">
        <is>
          <t>CHP-1 generator neutral to its high-resistance grounding resistor (in the package)</t>
        </is>
      </c>
      <c r="E5533" s="12" t="inlineStr">
        <is>
          <t>CHP-1</t>
        </is>
      </c>
      <c r="F5533" s="12" t="inlineStr">
        <is>
          <t>CHP-1: gas-engine generator ~2.5 MW with exhaust heat recovery, 13.8 k</t>
        </is>
      </c>
      <c r="G5533" s="12" t="inlineStr">
        <is>
          <t>CHP-1</t>
        </is>
      </c>
      <c r="H5533" s="12" t="inlineStr">
        <is>
          <t>CHP-1: gas-engine generator ~2.5 MW with exhaust heat recovery, 13.8 k</t>
        </is>
      </c>
      <c r="I5533" s="12" t="inlineStr">
        <is>
          <t>MV 15 kV</t>
        </is>
      </c>
      <c r="J5533" s="12" t="inlineStr">
        <is>
          <t>MV-105 15 kV 1/C Cu, EPR 133%, Cu tape shield, PVC jacket (triplexed)</t>
        </is>
      </c>
      <c r="K5533" s="12" t="inlineStr">
        <is>
          <t>MV15|1/C|2</t>
        </is>
      </c>
      <c r="L5533" s="12" t="inlineStr">
        <is>
          <t>1/C</t>
        </is>
      </c>
      <c r="M5533" s="12" t="inlineStr">
        <is>
          <t>2</t>
        </is>
      </c>
      <c r="N5533" s="12" t="n">
        <v>1</v>
      </c>
      <c r="O5533" s="12" t="n">
        <v>1</v>
      </c>
      <c r="P5533" s="12" t="n">
        <v>13800</v>
      </c>
      <c r="Q5533" s="12" t="n"/>
      <c r="R5533" s="12" t="n"/>
      <c r="S5533" s="12" t="inlineStr">
        <is>
          <t>Conduit</t>
        </is>
      </c>
      <c r="T5533" s="15" t="n">
        <v>15</v>
      </c>
      <c r="U5533" s="15" t="n">
        <v>5</v>
      </c>
      <c r="V5533" s="15">
        <f>ROUNDUP((T5533+U5533+2*'Read Me'!$B$13)*(1+'Read Me'!$B$12),-1)</f>
        <v/>
      </c>
      <c r="W5533" s="15">
        <f>V5533*N5533*O5533</f>
        <v/>
      </c>
      <c r="X5533" s="12">
        <f>IF(LEFT(I5533,2)="MV",2*N5533*IF(L5533="1/C",O5533,1),0)</f>
        <v/>
      </c>
      <c r="Y5533" s="12">
        <f>IF(OR(LEFT(K5533,4)="LVAX",LEFT(K5533,6)="MV15AX",LEFT(K5533,4)="CTAX",LEFT(K5533,2)="W|"),2*N5533*O5533,0)</f>
        <v/>
      </c>
      <c r="Z5533" s="12" t="inlineStr">
        <is>
          <t>NGR in the generator / terminal-box enclosure</t>
        </is>
      </c>
      <c r="AA5533" s="12">
        <f>N5533*O5533</f>
        <v/>
      </c>
    </row>
    <row r="5534">
      <c r="A5534" s="12" t="inlineStr">
        <is>
          <t>I-MV-0014</t>
        </is>
      </c>
      <c r="B5534" s="12" t="inlineStr">
        <is>
          <t>I</t>
        </is>
      </c>
      <c r="C5534" s="12" t="inlineStr">
        <is>
          <t>Modular / portable power</t>
        </is>
      </c>
      <c r="D5534" s="12" t="inlineStr">
        <is>
          <t>CHP-2 generator neutral to its high-resistance grounding resistor (in the package)</t>
        </is>
      </c>
      <c r="E5534" s="12" t="inlineStr">
        <is>
          <t>CHP-2</t>
        </is>
      </c>
      <c r="F5534" s="12" t="inlineStr">
        <is>
          <t>CHP-2: gas-engine generator ~2.5 MW with exhaust heat recovery, 13.8 k</t>
        </is>
      </c>
      <c r="G5534" s="12" t="inlineStr">
        <is>
          <t>CHP-2</t>
        </is>
      </c>
      <c r="H5534" s="12" t="inlineStr">
        <is>
          <t>CHP-2: gas-engine generator ~2.5 MW with exhaust heat recovery, 13.8 k</t>
        </is>
      </c>
      <c r="I5534" s="12" t="inlineStr">
        <is>
          <t>MV 15 kV</t>
        </is>
      </c>
      <c r="J5534" s="12" t="inlineStr">
        <is>
          <t>MV-105 15 kV 1/C Cu, EPR 133%, Cu tape shield, PVC jacket (triplexed)</t>
        </is>
      </c>
      <c r="K5534" s="12" t="inlineStr">
        <is>
          <t>MV15|1/C|2</t>
        </is>
      </c>
      <c r="L5534" s="12" t="inlineStr">
        <is>
          <t>1/C</t>
        </is>
      </c>
      <c r="M5534" s="12" t="inlineStr">
        <is>
          <t>2</t>
        </is>
      </c>
      <c r="N5534" s="12" t="n">
        <v>1</v>
      </c>
      <c r="O5534" s="12" t="n">
        <v>1</v>
      </c>
      <c r="P5534" s="12" t="n">
        <v>13800</v>
      </c>
      <c r="Q5534" s="12" t="n"/>
      <c r="R5534" s="12" t="n"/>
      <c r="S5534" s="12" t="inlineStr">
        <is>
          <t>Conduit</t>
        </is>
      </c>
      <c r="T5534" s="15" t="n">
        <v>15</v>
      </c>
      <c r="U5534" s="15" t="n">
        <v>5</v>
      </c>
      <c r="V5534" s="15">
        <f>ROUNDUP((T5534+U5534+2*'Read Me'!$B$13)*(1+'Read Me'!$B$12),-1)</f>
        <v/>
      </c>
      <c r="W5534" s="15">
        <f>V5534*N5534*O5534</f>
        <v/>
      </c>
      <c r="X5534" s="12">
        <f>IF(LEFT(I5534,2)="MV",2*N5534*IF(L5534="1/C",O5534,1),0)</f>
        <v/>
      </c>
      <c r="Y5534" s="12">
        <f>IF(OR(LEFT(K5534,4)="LVAX",LEFT(K5534,6)="MV15AX",LEFT(K5534,4)="CTAX",LEFT(K5534,2)="W|"),2*N5534*O5534,0)</f>
        <v/>
      </c>
      <c r="Z5534" s="12" t="inlineStr">
        <is>
          <t>NGR in the generator / terminal-box enclosure</t>
        </is>
      </c>
      <c r="AA5534" s="12">
        <f>N5534*O5534</f>
        <v/>
      </c>
    </row>
    <row r="5535">
      <c r="A5535" s="12" t="inlineStr">
        <is>
          <t>I-MV-0015</t>
        </is>
      </c>
      <c r="B5535" s="12" t="inlineStr">
        <is>
          <t>I</t>
        </is>
      </c>
      <c r="C5535" s="12" t="inlineStr">
        <is>
          <t>Modular / portable power</t>
        </is>
      </c>
      <c r="D5535" s="12" t="inlineStr">
        <is>
          <t>CHP-3 generator neutral to its high-resistance grounding resistor (in the package)</t>
        </is>
      </c>
      <c r="E5535" s="12" t="inlineStr">
        <is>
          <t>CHP-3</t>
        </is>
      </c>
      <c r="F5535" s="12" t="inlineStr">
        <is>
          <t>CHP-3: gas-engine generator ~2.5 MW with exhaust heat recovery, 13.8 k</t>
        </is>
      </c>
      <c r="G5535" s="12" t="inlineStr">
        <is>
          <t>CHP-3</t>
        </is>
      </c>
      <c r="H5535" s="12" t="inlineStr">
        <is>
          <t>CHP-3: gas-engine generator ~2.5 MW with exhaust heat recovery, 13.8 k</t>
        </is>
      </c>
      <c r="I5535" s="12" t="inlineStr">
        <is>
          <t>MV 15 kV</t>
        </is>
      </c>
      <c r="J5535" s="12" t="inlineStr">
        <is>
          <t>MV-105 15 kV 1/C Cu, EPR 133%, Cu tape shield, PVC jacket (triplexed)</t>
        </is>
      </c>
      <c r="K5535" s="12" t="inlineStr">
        <is>
          <t>MV15|1/C|2</t>
        </is>
      </c>
      <c r="L5535" s="12" t="inlineStr">
        <is>
          <t>1/C</t>
        </is>
      </c>
      <c r="M5535" s="12" t="inlineStr">
        <is>
          <t>2</t>
        </is>
      </c>
      <c r="N5535" s="12" t="n">
        <v>1</v>
      </c>
      <c r="O5535" s="12" t="n">
        <v>1</v>
      </c>
      <c r="P5535" s="12" t="n">
        <v>13800</v>
      </c>
      <c r="Q5535" s="12" t="n"/>
      <c r="R5535" s="12" t="n"/>
      <c r="S5535" s="12" t="inlineStr">
        <is>
          <t>Conduit</t>
        </is>
      </c>
      <c r="T5535" s="15" t="n">
        <v>15</v>
      </c>
      <c r="U5535" s="15" t="n">
        <v>5</v>
      </c>
      <c r="V5535" s="15">
        <f>ROUNDUP((T5535+U5535+2*'Read Me'!$B$13)*(1+'Read Me'!$B$12),-1)</f>
        <v/>
      </c>
      <c r="W5535" s="15">
        <f>V5535*N5535*O5535</f>
        <v/>
      </c>
      <c r="X5535" s="12">
        <f>IF(LEFT(I5535,2)="MV",2*N5535*IF(L5535="1/C",O5535,1),0)</f>
        <v/>
      </c>
      <c r="Y5535" s="12">
        <f>IF(OR(LEFT(K5535,4)="LVAX",LEFT(K5535,6)="MV15AX",LEFT(K5535,4)="CTAX",LEFT(K5535,2)="W|"),2*N5535*O5535,0)</f>
        <v/>
      </c>
      <c r="Z5535" s="12" t="inlineStr">
        <is>
          <t>NGR in the generator / terminal-box enclosure</t>
        </is>
      </c>
      <c r="AA5535" s="12">
        <f>N5535*O5535</f>
        <v/>
      </c>
    </row>
    <row r="5536">
      <c r="A5536" s="12" t="inlineStr">
        <is>
          <t>I-MV-0016</t>
        </is>
      </c>
      <c r="B5536" s="12" t="inlineStr">
        <is>
          <t>I</t>
        </is>
      </c>
      <c r="C5536" s="12" t="inlineStr">
        <is>
          <t>Modular / portable power</t>
        </is>
      </c>
      <c r="D5536" s="12" t="inlineStr">
        <is>
          <t>CHP-4 generator neutral to its high-resistance grounding resistor (in the package)</t>
        </is>
      </c>
      <c r="E5536" s="12" t="inlineStr">
        <is>
          <t>CHP-4</t>
        </is>
      </c>
      <c r="F5536" s="12" t="inlineStr">
        <is>
          <t>CHP-4: gas-engine generator ~2.5 MW with exhaust heat recovery, 13.8 k</t>
        </is>
      </c>
      <c r="G5536" s="12" t="inlineStr">
        <is>
          <t>CHP-4</t>
        </is>
      </c>
      <c r="H5536" s="12" t="inlineStr">
        <is>
          <t>CHP-4: gas-engine generator ~2.5 MW with exhaust heat recovery, 13.8 k</t>
        </is>
      </c>
      <c r="I5536" s="12" t="inlineStr">
        <is>
          <t>MV 15 kV</t>
        </is>
      </c>
      <c r="J5536" s="12" t="inlineStr">
        <is>
          <t>MV-105 15 kV 1/C Cu, EPR 133%, Cu tape shield, PVC jacket (triplexed)</t>
        </is>
      </c>
      <c r="K5536" s="12" t="inlineStr">
        <is>
          <t>MV15|1/C|2</t>
        </is>
      </c>
      <c r="L5536" s="12" t="inlineStr">
        <is>
          <t>1/C</t>
        </is>
      </c>
      <c r="M5536" s="12" t="inlineStr">
        <is>
          <t>2</t>
        </is>
      </c>
      <c r="N5536" s="12" t="n">
        <v>1</v>
      </c>
      <c r="O5536" s="12" t="n">
        <v>1</v>
      </c>
      <c r="P5536" s="12" t="n">
        <v>13800</v>
      </c>
      <c r="Q5536" s="12" t="n"/>
      <c r="R5536" s="12" t="n"/>
      <c r="S5536" s="12" t="inlineStr">
        <is>
          <t>Conduit</t>
        </is>
      </c>
      <c r="T5536" s="15" t="n">
        <v>15</v>
      </c>
      <c r="U5536" s="15" t="n">
        <v>5</v>
      </c>
      <c r="V5536" s="15">
        <f>ROUNDUP((T5536+U5536+2*'Read Me'!$B$13)*(1+'Read Me'!$B$12),-1)</f>
        <v/>
      </c>
      <c r="W5536" s="15">
        <f>V5536*N5536*O5536</f>
        <v/>
      </c>
      <c r="X5536" s="12">
        <f>IF(LEFT(I5536,2)="MV",2*N5536*IF(L5536="1/C",O5536,1),0)</f>
        <v/>
      </c>
      <c r="Y5536" s="12">
        <f>IF(OR(LEFT(K5536,4)="LVAX",LEFT(K5536,6)="MV15AX",LEFT(K5536,4)="CTAX",LEFT(K5536,2)="W|"),2*N5536*O5536,0)</f>
        <v/>
      </c>
      <c r="Z5536" s="12" t="inlineStr">
        <is>
          <t>NGR in the generator / terminal-box enclosure</t>
        </is>
      </c>
      <c r="AA5536" s="12">
        <f>N5536*O5536</f>
        <v/>
      </c>
    </row>
    <row r="5537">
      <c r="A5537" s="12" t="inlineStr">
        <is>
          <t>I-MV-0017</t>
        </is>
      </c>
      <c r="B5537" s="12" t="inlineStr">
        <is>
          <t>I</t>
        </is>
      </c>
      <c r="C5537" s="12" t="inlineStr">
        <is>
          <t>Modular / portable power</t>
        </is>
      </c>
      <c r="D5537" s="12" t="inlineStr">
        <is>
          <t>CHP-AUX 13.8 kV primary</t>
        </is>
      </c>
      <c r="E5537" s="12" t="inlineStr">
        <is>
          <t>CHP-SWG</t>
        </is>
      </c>
      <c r="F5537" s="12" t="inlineStr">
        <is>
          <t>CHP-SWG: 13.8 kV switchgear container (4 engine breakers, site feeder)</t>
        </is>
      </c>
      <c r="G5537" s="12" t="inlineStr">
        <is>
          <t>CHP-AUX</t>
        </is>
      </c>
      <c r="H5537" s="12" t="inlineStr">
        <is>
          <t>CHP-AUX: 13.8 / 0.48 kV, 750 kVA auxiliary pad-mount (engine auxiliari</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3</v>
      </c>
      <c r="P5537" s="12" t="n">
        <v>13800</v>
      </c>
      <c r="Q5537" s="12" t="n">
        <v>750</v>
      </c>
      <c r="R5537" s="12" t="n">
        <v>31</v>
      </c>
      <c r="S5537" s="12" t="inlineStr">
        <is>
          <t>Duct bank</t>
        </is>
      </c>
      <c r="T5537" s="15" t="n">
        <v>4</v>
      </c>
      <c r="U5537" s="15" t="n">
        <v>32</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I-MV-0018</t>
        </is>
      </c>
      <c r="B5538" s="12" t="inlineStr">
        <is>
          <t>I</t>
        </is>
      </c>
      <c r="C5538" s="12" t="inlineStr">
        <is>
          <t>Modular / portable power</t>
        </is>
      </c>
      <c r="D5538" s="12" t="inlineStr">
        <is>
          <t>CHP-1 13.8 kV generator leads to the switchgear container</t>
        </is>
      </c>
      <c r="E5538" s="12" t="inlineStr">
        <is>
          <t>CHP-1</t>
        </is>
      </c>
      <c r="F5538" s="12" t="inlineStr">
        <is>
          <t>CHP-1: gas-engine generator ~2.5 MW with exhaust heat recovery, 13.8 k</t>
        </is>
      </c>
      <c r="G5538" s="12" t="inlineStr">
        <is>
          <t>CHP-SWG</t>
        </is>
      </c>
      <c r="H5538" s="12" t="inlineStr">
        <is>
          <t>CHP-SWG: 13.8 kV switchgear container (4 engine breakers, site feeder)</t>
        </is>
      </c>
      <c r="I5538" s="12" t="inlineStr">
        <is>
          <t>MV 15 kV</t>
        </is>
      </c>
      <c r="J5538" s="12" t="inlineStr">
        <is>
          <t>MV-105 15 kV 1/C Cu, EPR 133%, Cu tape shield, PVC jacket (triplexed)</t>
        </is>
      </c>
      <c r="K5538" s="12" t="inlineStr">
        <is>
          <t>MV15|1/C|1/0</t>
        </is>
      </c>
      <c r="L5538" s="12" t="inlineStr">
        <is>
          <t>1/C</t>
        </is>
      </c>
      <c r="M5538" s="12" t="inlineStr">
        <is>
          <t>1/0</t>
        </is>
      </c>
      <c r="N5538" s="12" t="n">
        <v>1</v>
      </c>
      <c r="O5538" s="12" t="n">
        <v>3</v>
      </c>
      <c r="P5538" s="12" t="n">
        <v>13800</v>
      </c>
      <c r="Q5538" s="12" t="n">
        <v>2500</v>
      </c>
      <c r="R5538" s="12" t="n">
        <v>116</v>
      </c>
      <c r="S5538" s="12" t="inlineStr">
        <is>
          <t>Duct bank</t>
        </is>
      </c>
      <c r="T5538" s="15" t="n">
        <v>72</v>
      </c>
      <c r="U5538" s="15" t="n">
        <v>32</v>
      </c>
      <c r="V5538" s="15">
        <f>ROUNDUP((T5538+U5538+2*'Read Me'!$B$13)*(1+'Read Me'!$B$12),-1)</f>
        <v/>
      </c>
      <c r="W5538" s="15">
        <f>V5538*N5538*O5538</f>
        <v/>
      </c>
      <c r="X5538" s="12">
        <f>IF(LEFT(I5538,2)="MV",2*N5538*IF(L5538="1/C",O5538,1),0)</f>
        <v/>
      </c>
      <c r="Y5538" s="12">
        <f>IF(OR(LEFT(K5538,4)="LVAX",LEFT(K5538,6)="MV15AX",LEFT(K5538,4)="CTAX",LEFT(K5538,2)="W|"),2*N5538*O5538,0)</f>
        <v/>
      </c>
      <c r="Z5538" s="12" t="inlineStr">
        <is>
          <t>1 set per phase</t>
        </is>
      </c>
      <c r="AA5538" s="12">
        <f>N5538*O5538</f>
        <v/>
      </c>
    </row>
    <row r="5539">
      <c r="A5539" s="12" t="inlineStr">
        <is>
          <t>I-MV-0019</t>
        </is>
      </c>
      <c r="B5539" s="12" t="inlineStr">
        <is>
          <t>I</t>
        </is>
      </c>
      <c r="C5539" s="12" t="inlineStr">
        <is>
          <t>Modular / portable power</t>
        </is>
      </c>
      <c r="D5539" s="12" t="inlineStr">
        <is>
          <t>CHP-2 13.8 kV generator leads to the switchgear container</t>
        </is>
      </c>
      <c r="E5539" s="12" t="inlineStr">
        <is>
          <t>CHP-2</t>
        </is>
      </c>
      <c r="F5539" s="12" t="inlineStr">
        <is>
          <t>CHP-2: gas-engine generator ~2.5 MW with exhaust heat recovery, 13.8 k</t>
        </is>
      </c>
      <c r="G5539" s="12" t="inlineStr">
        <is>
          <t>CHP-SWG</t>
        </is>
      </c>
      <c r="H5539" s="12" t="inlineStr">
        <is>
          <t>CHP-SWG: 13.8 kV switchgear container (4 engine breakers, site feeder)</t>
        </is>
      </c>
      <c r="I5539" s="12" t="inlineStr">
        <is>
          <t>MV 15 kV</t>
        </is>
      </c>
      <c r="J5539" s="12" t="inlineStr">
        <is>
          <t>MV-105 15 kV 1/C Cu, EPR 133%, Cu tape shield, PVC jacket (triplexed)</t>
        </is>
      </c>
      <c r="K5539" s="12" t="inlineStr">
        <is>
          <t>MV15|1/C|1/0</t>
        </is>
      </c>
      <c r="L5539" s="12" t="inlineStr">
        <is>
          <t>1/C</t>
        </is>
      </c>
      <c r="M5539" s="12" t="inlineStr">
        <is>
          <t>1/0</t>
        </is>
      </c>
      <c r="N5539" s="12" t="n">
        <v>1</v>
      </c>
      <c r="O5539" s="12" t="n">
        <v>3</v>
      </c>
      <c r="P5539" s="12" t="n">
        <v>13800</v>
      </c>
      <c r="Q5539" s="12" t="n">
        <v>2500</v>
      </c>
      <c r="R5539" s="12" t="n">
        <v>116</v>
      </c>
      <c r="S5539" s="12" t="inlineStr">
        <is>
          <t>Duct bank</t>
        </is>
      </c>
      <c r="T5539" s="15" t="n">
        <v>58</v>
      </c>
      <c r="U5539" s="15" t="n">
        <v>32</v>
      </c>
      <c r="V5539" s="15">
        <f>ROUNDUP((T5539+U5539+2*'Read Me'!$B$13)*(1+'Read Me'!$B$12),-1)</f>
        <v/>
      </c>
      <c r="W5539" s="15">
        <f>V5539*N5539*O5539</f>
        <v/>
      </c>
      <c r="X5539" s="12">
        <f>IF(LEFT(I5539,2)="MV",2*N5539*IF(L5539="1/C",O5539,1),0)</f>
        <v/>
      </c>
      <c r="Y5539" s="12">
        <f>IF(OR(LEFT(K5539,4)="LVAX",LEFT(K5539,6)="MV15AX",LEFT(K5539,4)="CTAX",LEFT(K5539,2)="W|"),2*N5539*O5539,0)</f>
        <v/>
      </c>
      <c r="Z5539" s="12" t="inlineStr">
        <is>
          <t>1 set per phase</t>
        </is>
      </c>
      <c r="AA5539" s="12">
        <f>N5539*O5539</f>
        <v/>
      </c>
    </row>
    <row r="5540">
      <c r="A5540" s="12" t="inlineStr">
        <is>
          <t>I-MV-0020</t>
        </is>
      </c>
      <c r="B5540" s="12" t="inlineStr">
        <is>
          <t>I</t>
        </is>
      </c>
      <c r="C5540" s="12" t="inlineStr">
        <is>
          <t>Modular / portable power</t>
        </is>
      </c>
      <c r="D5540" s="12" t="inlineStr">
        <is>
          <t>CHP-3 13.8 kV generator leads to the switchgear container</t>
        </is>
      </c>
      <c r="E5540" s="12" t="inlineStr">
        <is>
          <t>CHP-3</t>
        </is>
      </c>
      <c r="F5540" s="12" t="inlineStr">
        <is>
          <t>CHP-3: gas-engine generator ~2.5 MW with exhaust heat recovery, 13.8 k</t>
        </is>
      </c>
      <c r="G5540" s="12" t="inlineStr">
        <is>
          <t>CHP-SWG</t>
        </is>
      </c>
      <c r="H5540" s="12" t="inlineStr">
        <is>
          <t>CHP-SWG: 13.8 kV switchgear container (4 engine breakers, site feeder)</t>
        </is>
      </c>
      <c r="I5540" s="12" t="inlineStr">
        <is>
          <t>MV 15 kV</t>
        </is>
      </c>
      <c r="J5540" s="12" t="inlineStr">
        <is>
          <t>MV-105 15 kV 1/C Cu, EPR 133%, Cu tape shield, PVC jacket (triplexed)</t>
        </is>
      </c>
      <c r="K5540" s="12" t="inlineStr">
        <is>
          <t>MV15|1/C|1/0</t>
        </is>
      </c>
      <c r="L5540" s="12" t="inlineStr">
        <is>
          <t>1/C</t>
        </is>
      </c>
      <c r="M5540" s="12" t="inlineStr">
        <is>
          <t>1/0</t>
        </is>
      </c>
      <c r="N5540" s="12" t="n">
        <v>1</v>
      </c>
      <c r="O5540" s="12" t="n">
        <v>3</v>
      </c>
      <c r="P5540" s="12" t="n">
        <v>13800</v>
      </c>
      <c r="Q5540" s="12" t="n">
        <v>2500</v>
      </c>
      <c r="R5540" s="12" t="n">
        <v>116</v>
      </c>
      <c r="S5540" s="12" t="inlineStr">
        <is>
          <t>Duct bank</t>
        </is>
      </c>
      <c r="T5540" s="15" t="n">
        <v>34</v>
      </c>
      <c r="U5540" s="15" t="n">
        <v>32</v>
      </c>
      <c r="V5540" s="15">
        <f>ROUNDUP((T5540+U5540+2*'Read Me'!$B$13)*(1+'Read Me'!$B$12),-1)</f>
        <v/>
      </c>
      <c r="W5540" s="15">
        <f>V5540*N5540*O5540</f>
        <v/>
      </c>
      <c r="X5540" s="12">
        <f>IF(LEFT(I5540,2)="MV",2*N5540*IF(L5540="1/C",O5540,1),0)</f>
        <v/>
      </c>
      <c r="Y5540" s="12">
        <f>IF(OR(LEFT(K5540,4)="LVAX",LEFT(K5540,6)="MV15AX",LEFT(K5540,4)="CTAX",LEFT(K5540,2)="W|"),2*N5540*O5540,0)</f>
        <v/>
      </c>
      <c r="Z5540" s="12" t="inlineStr">
        <is>
          <t>1 set per phase</t>
        </is>
      </c>
      <c r="AA5540" s="12">
        <f>N5540*O5540</f>
        <v/>
      </c>
    </row>
    <row r="5541">
      <c r="A5541" s="12" t="inlineStr">
        <is>
          <t>I-MV-0021</t>
        </is>
      </c>
      <c r="B5541" s="12" t="inlineStr">
        <is>
          <t>I</t>
        </is>
      </c>
      <c r="C5541" s="12" t="inlineStr">
        <is>
          <t>Modular / portable power</t>
        </is>
      </c>
      <c r="D5541" s="12" t="inlineStr">
        <is>
          <t>CHP-4 13.8 kV generator leads to the switchgear container</t>
        </is>
      </c>
      <c r="E5541" s="12" t="inlineStr">
        <is>
          <t>CHP-4</t>
        </is>
      </c>
      <c r="F5541" s="12" t="inlineStr">
        <is>
          <t>CHP-4: gas-engine generator ~2.5 MW with exhaust heat recovery, 13.8 k</t>
        </is>
      </c>
      <c r="G5541" s="12" t="inlineStr">
        <is>
          <t>CHP-SWG</t>
        </is>
      </c>
      <c r="H5541" s="12" t="inlineStr">
        <is>
          <t>CHP-SWG: 13.8 kV switchgear container (4 engine breakers, site feeder)</t>
        </is>
      </c>
      <c r="I5541" s="12" t="inlineStr">
        <is>
          <t>MV 15 kV</t>
        </is>
      </c>
      <c r="J5541" s="12" t="inlineStr">
        <is>
          <t>MV-105 15 kV 1/C Cu, EPR 133%, Cu tape shield, PVC jacket (triplexed)</t>
        </is>
      </c>
      <c r="K5541" s="12" t="inlineStr">
        <is>
          <t>MV15|1/C|1/0</t>
        </is>
      </c>
      <c r="L5541" s="12" t="inlineStr">
        <is>
          <t>1/C</t>
        </is>
      </c>
      <c r="M5541" s="12" t="inlineStr">
        <is>
          <t>1/0</t>
        </is>
      </c>
      <c r="N5541" s="12" t="n">
        <v>1</v>
      </c>
      <c r="O5541" s="12" t="n">
        <v>3</v>
      </c>
      <c r="P5541" s="12" t="n">
        <v>13800</v>
      </c>
      <c r="Q5541" s="12" t="n">
        <v>2500</v>
      </c>
      <c r="R5541" s="12" t="n">
        <v>116</v>
      </c>
      <c r="S5541" s="12" t="inlineStr">
        <is>
          <t>Duct bank</t>
        </is>
      </c>
      <c r="T5541" s="15" t="n">
        <v>20</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1 set per phase</t>
        </is>
      </c>
      <c r="AA5541" s="12">
        <f>N5541*O5541</f>
        <v/>
      </c>
    </row>
    <row r="5542">
      <c r="A5542" s="12" t="inlineStr">
        <is>
          <t>I-MV-0022</t>
        </is>
      </c>
      <c r="B5542" s="12" t="inlineStr">
        <is>
          <t>I</t>
        </is>
      </c>
      <c r="C5542" s="12" t="inlineStr">
        <is>
          <t>Modular / portable power</t>
        </is>
      </c>
      <c r="D5542" s="12" t="inlineStr">
        <is>
          <t>Modular-yard fuel-gas compressor</t>
        </is>
      </c>
      <c r="E5542" s="12" t="inlineStr">
        <is>
          <t>MOD-EH</t>
        </is>
      </c>
      <c r="F5542" s="12" t="inlineStr">
        <is>
          <t>MOD-EH: 34.5 kV modular collector e-house (2 bus sections + 13.8 kV st</t>
        </is>
      </c>
      <c r="G5542" s="12" t="inlineStr"/>
      <c r="H5542" s="12" t="inlineStr">
        <is>
          <t>Fuel-gas compressors 3 x 100% electric</t>
        </is>
      </c>
      <c r="I5542" s="12" t="inlineStr">
        <is>
          <t>MV 15 kV</t>
        </is>
      </c>
      <c r="J5542" s="12" t="inlineStr">
        <is>
          <t>ARMOR-X MC-HL / MV-105 15 kV 3/C Cu, EPR 133%, tape shield, gnd, CWA, red PVC</t>
        </is>
      </c>
      <c r="K5542" s="12" t="inlineStr">
        <is>
          <t>MV15AX|3/C|2</t>
        </is>
      </c>
      <c r="L5542" s="12" t="inlineStr">
        <is>
          <t>3/C</t>
        </is>
      </c>
      <c r="M5542" s="12" t="inlineStr">
        <is>
          <t>2</t>
        </is>
      </c>
      <c r="N5542" s="12" t="n">
        <v>1</v>
      </c>
      <c r="O5542" s="12" t="n">
        <v>1</v>
      </c>
      <c r="P5542" s="12" t="n">
        <v>13800</v>
      </c>
      <c r="Q5542" s="12" t="n">
        <v>1500</v>
      </c>
      <c r="R5542" s="12" t="n">
        <v>70</v>
      </c>
      <c r="S5542" s="12" t="inlineStr">
        <is>
          <t>Duct bank</t>
        </is>
      </c>
      <c r="T5542" s="15" t="n">
        <v>841</v>
      </c>
      <c r="U5542" s="15" t="n">
        <v>108</v>
      </c>
      <c r="V5542" s="15">
        <f>ROUNDUP((T5542+U5542+2*'Read Me'!$B$13)*(1+'Read Me'!$B$12),-1)</f>
        <v/>
      </c>
      <c r="W5542" s="15">
        <f>V5542*N5542*O5542</f>
        <v/>
      </c>
      <c r="X5542" s="12">
        <f>IF(LEFT(I5542,2)="MV",2*N5542*IF(L5542="1/C",O5542,1),0)</f>
        <v/>
      </c>
      <c r="Y5542" s="12">
        <f>IF(OR(LEFT(K5542,4)="LVAX",LEFT(K5542,6)="MV15AX",LEFT(K5542,4)="CTAX",LEFT(K5542,2)="W|"),2*N5542*O5542,0)</f>
        <v/>
      </c>
      <c r="Z5542" s="12" t="inlineStr"/>
      <c r="AA5542" s="12">
        <f>N5542*O5542</f>
        <v/>
      </c>
    </row>
    <row r="5543">
      <c r="A5543" s="12" t="inlineStr">
        <is>
          <t>I-MV-0023</t>
        </is>
      </c>
      <c r="B5543" s="12" t="inlineStr">
        <is>
          <t>I</t>
        </is>
      </c>
      <c r="C5543" s="12" t="inlineStr">
        <is>
          <t>Modular / portable power</t>
        </is>
      </c>
      <c r="D5543" s="12" t="inlineStr">
        <is>
          <t>Modular-yard fuel-gas compressor</t>
        </is>
      </c>
      <c r="E5543" s="12" t="inlineStr">
        <is>
          <t>MOD-EH</t>
        </is>
      </c>
      <c r="F5543" s="12" t="inlineStr">
        <is>
          <t>MOD-EH: 34.5 kV modular collector e-house (2 bus sections + 13.8 kV st</t>
        </is>
      </c>
      <c r="G5543" s="12" t="inlineStr"/>
      <c r="H5543" s="12" t="inlineStr">
        <is>
          <t>Fuel-gas compressors 3 x 100% electric</t>
        </is>
      </c>
      <c r="I5543" s="12" t="inlineStr">
        <is>
          <t>MV 15 kV</t>
        </is>
      </c>
      <c r="J5543" s="12" t="inlineStr">
        <is>
          <t>ARMOR-X MC-HL / MV-105 15 kV 3/C Cu, EPR 133%, tape shield, gnd, CWA, red PVC</t>
        </is>
      </c>
      <c r="K5543" s="12" t="inlineStr">
        <is>
          <t>MV15AX|3/C|2</t>
        </is>
      </c>
      <c r="L5543" s="12" t="inlineStr">
        <is>
          <t>3/C</t>
        </is>
      </c>
      <c r="M5543" s="12" t="inlineStr">
        <is>
          <t>2</t>
        </is>
      </c>
      <c r="N5543" s="12" t="n">
        <v>1</v>
      </c>
      <c r="O5543" s="12" t="n">
        <v>1</v>
      </c>
      <c r="P5543" s="12" t="n">
        <v>13800</v>
      </c>
      <c r="Q5543" s="12" t="n">
        <v>1500</v>
      </c>
      <c r="R5543" s="12" t="n">
        <v>70</v>
      </c>
      <c r="S5543" s="12" t="inlineStr">
        <is>
          <t>Duct bank</t>
        </is>
      </c>
      <c r="T5543" s="15" t="n">
        <v>841</v>
      </c>
      <c r="U5543" s="15" t="n">
        <v>108</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I-MV-0024</t>
        </is>
      </c>
      <c r="B5544" s="12" t="inlineStr">
        <is>
          <t>I</t>
        </is>
      </c>
      <c r="C5544" s="12" t="inlineStr">
        <is>
          <t>Modular / portable power</t>
        </is>
      </c>
      <c r="D5544" s="12" t="inlineStr">
        <is>
          <t>Modular-yard fuel-gas compressor</t>
        </is>
      </c>
      <c r="E5544" s="12" t="inlineStr">
        <is>
          <t>MOD-EH</t>
        </is>
      </c>
      <c r="F5544" s="12" t="inlineStr">
        <is>
          <t>MOD-EH: 34.5 kV modular collector e-house (2 bus sections + 13.8 kV st</t>
        </is>
      </c>
      <c r="G5544" s="12" t="inlineStr"/>
      <c r="H5544" s="12" t="inlineStr">
        <is>
          <t>Fuel-gas compressors 3 x 100% electric</t>
        </is>
      </c>
      <c r="I5544" s="12" t="inlineStr">
        <is>
          <t>MV 15 kV</t>
        </is>
      </c>
      <c r="J5544" s="12" t="inlineStr">
        <is>
          <t>ARMOR-X MC-HL / MV-105 15 kV 3/C Cu, EPR 133%, tape shield, gnd, CWA, red PVC</t>
        </is>
      </c>
      <c r="K5544" s="12" t="inlineStr">
        <is>
          <t>MV15AX|3/C|2</t>
        </is>
      </c>
      <c r="L5544" s="12" t="inlineStr">
        <is>
          <t>3/C</t>
        </is>
      </c>
      <c r="M5544" s="12" t="inlineStr">
        <is>
          <t>2</t>
        </is>
      </c>
      <c r="N5544" s="12" t="n">
        <v>1</v>
      </c>
      <c r="O5544" s="12" t="n">
        <v>1</v>
      </c>
      <c r="P5544" s="12" t="n">
        <v>13800</v>
      </c>
      <c r="Q5544" s="12" t="n">
        <v>1500</v>
      </c>
      <c r="R5544" s="12" t="n">
        <v>70</v>
      </c>
      <c r="S5544" s="12" t="inlineStr">
        <is>
          <t>Duct bank</t>
        </is>
      </c>
      <c r="T5544" s="15" t="n">
        <v>841</v>
      </c>
      <c r="U5544" s="15" t="n">
        <v>108</v>
      </c>
      <c r="V5544" s="15">
        <f>ROUNDUP((T5544+U5544+2*'Read Me'!$B$13)*(1+'Read Me'!$B$12),-1)</f>
        <v/>
      </c>
      <c r="W5544" s="15">
        <f>V5544*N5544*O5544</f>
        <v/>
      </c>
      <c r="X5544" s="12">
        <f>IF(LEFT(I5544,2)="MV",2*N5544*IF(L5544="1/C",O5544,1),0)</f>
        <v/>
      </c>
      <c r="Y5544" s="12">
        <f>IF(OR(LEFT(K5544,4)="LVAX",LEFT(K5544,6)="MV15AX",LEFT(K5544,4)="CTAX",LEFT(K5544,2)="W|"),2*N5544*O5544,0)</f>
        <v/>
      </c>
      <c r="Z5544" s="12" t="inlineStr"/>
      <c r="AA5544" s="12">
        <f>N5544*O5544</f>
        <v/>
      </c>
    </row>
    <row r="5545">
      <c r="A5545" s="12" t="inlineStr">
        <is>
          <t>I-MV-0025</t>
        </is>
      </c>
      <c r="B5545" s="12" t="inlineStr">
        <is>
          <t>I</t>
        </is>
      </c>
      <c r="C5545" s="12" t="inlineStr">
        <is>
          <t>Modular / portable power</t>
        </is>
      </c>
      <c r="D5545" s="12" t="inlineStr">
        <is>
          <t>IG-1 generator neutral to its high-resistance grounding resistor (in the package)</t>
        </is>
      </c>
      <c r="E5545" s="12" t="inlineStr">
        <is>
          <t>IG-1</t>
        </is>
      </c>
      <c r="F5545" s="12" t="inlineStr">
        <is>
          <t>IG-1: industrial gas-turbine installation, SGT-800 / H-25 class (~50 M</t>
        </is>
      </c>
      <c r="G5545" s="12" t="inlineStr">
        <is>
          <t>IG-1</t>
        </is>
      </c>
      <c r="H5545" s="12" t="inlineStr">
        <is>
          <t>IG-1: industrial gas-turbine installation, SGT-800 / H-25 class (~50 M</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I-MV-0026</t>
        </is>
      </c>
      <c r="B5546" s="12" t="inlineStr">
        <is>
          <t>I</t>
        </is>
      </c>
      <c r="C5546" s="12" t="inlineStr">
        <is>
          <t>Modular / portable power</t>
        </is>
      </c>
      <c r="D5546" s="12" t="inlineStr">
        <is>
          <t>IG-1 13.8 kV generator leads to IG-GSU</t>
        </is>
      </c>
      <c r="E5546" s="12" t="inlineStr">
        <is>
          <t>IG-1</t>
        </is>
      </c>
      <c r="F5546" s="12" t="inlineStr">
        <is>
          <t>IG-1: industrial gas-turbine installation, SGT-800 / H-25 class (~50 M</t>
        </is>
      </c>
      <c r="G5546" s="12" t="inlineStr">
        <is>
          <t>IG-GSU</t>
        </is>
      </c>
      <c r="H5546" s="12" t="inlineStr">
        <is>
          <t>IG-GSU: 13.8 / 34.5 kV step-up, ~60 MVA (IG-1 unit step-up)</t>
        </is>
      </c>
      <c r="I5546" s="12" t="inlineStr">
        <is>
          <t>MV 15 kV</t>
        </is>
      </c>
      <c r="J5546" s="12" t="inlineStr">
        <is>
          <t>MV-105 15 kV 1/C Cu, EPR 133%, Cu tape shield, PVC jacket (triplexed)</t>
        </is>
      </c>
      <c r="K5546" s="12" t="inlineStr">
        <is>
          <t>MV15|1/C|1000</t>
        </is>
      </c>
      <c r="L5546" s="12" t="inlineStr">
        <is>
          <t>1/C</t>
        </is>
      </c>
      <c r="M5546" s="12" t="inlineStr">
        <is>
          <t>1000 kcmil</t>
        </is>
      </c>
      <c r="N5546" s="12" t="n">
        <v>5</v>
      </c>
      <c r="O5546" s="12" t="n">
        <v>3</v>
      </c>
      <c r="P5546" s="12" t="n">
        <v>13800</v>
      </c>
      <c r="Q5546" s="12" t="n">
        <v>50000</v>
      </c>
      <c r="R5546" s="12" t="n">
        <v>2324</v>
      </c>
      <c r="S5546" s="12" t="inlineStr">
        <is>
          <t>Duct bank</t>
        </is>
      </c>
      <c r="T5546" s="15" t="n">
        <v>26</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is>
          <t>5 sets per phase</t>
        </is>
      </c>
      <c r="AA5546" s="12">
        <f>N5546*O5546</f>
        <v/>
      </c>
    </row>
    <row r="5547">
      <c r="A5547" s="12" t="inlineStr">
        <is>
          <t>I-MV-0027</t>
        </is>
      </c>
      <c r="B5547" s="12" t="inlineStr">
        <is>
          <t>I</t>
        </is>
      </c>
      <c r="C5547" s="12" t="inlineStr">
        <is>
          <t>Modular / portable power</t>
        </is>
      </c>
      <c r="D5547" s="12" t="inlineStr">
        <is>
          <t>MOD-SST 13.8 kV secondary to the MOD-EH station-service section</t>
        </is>
      </c>
      <c r="E5547" s="12" t="inlineStr">
        <is>
          <t>MOD-SST</t>
        </is>
      </c>
      <c r="F5547" s="12" t="inlineStr">
        <is>
          <t>MOD-SST: 34.5 / 13.8 kV station-service transformer, ~10 MVA (yard sta</t>
        </is>
      </c>
      <c r="G5547" s="12" t="inlineStr">
        <is>
          <t>MOD-EH</t>
        </is>
      </c>
      <c r="H5547" s="12" t="inlineStr">
        <is>
          <t>MOD-EH: 34.5 kV modular collector e-house (2 bus sections + 13.8 kV st</t>
        </is>
      </c>
      <c r="I5547" s="12" t="inlineStr">
        <is>
          <t>MV 15 kV</t>
        </is>
      </c>
      <c r="J5547" s="12" t="inlineStr">
        <is>
          <t>MV-105 15 kV 1/C Cu, EPR 133%, Cu tape shield, PVC jacket (triplexed)</t>
        </is>
      </c>
      <c r="K5547" s="12" t="inlineStr">
        <is>
          <t>MV15|1/C|750</t>
        </is>
      </c>
      <c r="L5547" s="12" t="inlineStr">
        <is>
          <t>1/C</t>
        </is>
      </c>
      <c r="M5547" s="12" t="inlineStr">
        <is>
          <t>750 kcmil</t>
        </is>
      </c>
      <c r="N5547" s="12" t="n">
        <v>1</v>
      </c>
      <c r="O5547" s="12" t="n">
        <v>3</v>
      </c>
      <c r="P5547" s="12" t="n">
        <v>13800</v>
      </c>
      <c r="Q5547" s="12" t="n">
        <v>9000</v>
      </c>
      <c r="R5547" s="12" t="n">
        <v>418</v>
      </c>
      <c r="S5547" s="12" t="inlineStr">
        <is>
          <t>Duct bank</t>
        </is>
      </c>
      <c r="T5547" s="15" t="n">
        <v>40</v>
      </c>
      <c r="U5547" s="15" t="n">
        <v>20</v>
      </c>
      <c r="V5547" s="15">
        <f>ROUNDUP((T5547+U5547+2*'Read Me'!$B$13)*(1+'Read Me'!$B$12),-1)</f>
        <v/>
      </c>
      <c r="W5547" s="15">
        <f>V5547*N5547*O5547</f>
        <v/>
      </c>
      <c r="X5547" s="12">
        <f>IF(LEFT(I5547,2)="MV",2*N5547*IF(L5547="1/C",O5547,1),0)</f>
        <v/>
      </c>
      <c r="Y5547" s="12">
        <f>IF(OR(LEFT(K5547,4)="LVAX",LEFT(K5547,6)="MV15AX",LEFT(K5547,4)="CTAX",LEFT(K5547,2)="W|"),2*N5547*O5547,0)</f>
        <v/>
      </c>
      <c r="Z5547" s="12" t="inlineStr">
        <is>
          <t>1 set per phase</t>
        </is>
      </c>
      <c r="AA5547" s="12">
        <f>N5547*O5547</f>
        <v/>
      </c>
    </row>
    <row r="5548">
      <c r="A5548" s="12" t="inlineStr">
        <is>
          <t>I-MV-0028</t>
        </is>
      </c>
      <c r="B5548" s="12" t="inlineStr">
        <is>
          <t>I</t>
        </is>
      </c>
      <c r="C5548" s="12" t="inlineStr">
        <is>
          <t>Modular / portable power</t>
        </is>
      </c>
      <c r="D5548" s="12" t="inlineStr">
        <is>
          <t>MOD-LV supply from the MOD-EH 13.8 kV station-service section</t>
        </is>
      </c>
      <c r="E5548" s="12" t="inlineStr">
        <is>
          <t>MOD-EH</t>
        </is>
      </c>
      <c r="F5548" s="12" t="inlineStr">
        <is>
          <t>MOD-EH: 34.5 kV modular collector e-house (2 bus sections + 13.8 kV st</t>
        </is>
      </c>
      <c r="G5548" s="12" t="inlineStr"/>
      <c r="H5548" s="12" t="inlineStr">
        <is>
          <t>MOD-LV 480 V board + 480 V : 13.8 kV step-up</t>
        </is>
      </c>
      <c r="I5548" s="12" t="inlineStr">
        <is>
          <t>MV 15 kV</t>
        </is>
      </c>
      <c r="J5548" s="12" t="inlineStr">
        <is>
          <t>MV-105 15 kV 1/C Cu, EPR 133%, Cu tape shield, PVC jacket (triplexed)</t>
        </is>
      </c>
      <c r="K5548" s="12" t="inlineStr">
        <is>
          <t>MV15|1/C|1/0</t>
        </is>
      </c>
      <c r="L5548" s="12" t="inlineStr">
        <is>
          <t>1/C</t>
        </is>
      </c>
      <c r="M5548" s="12" t="inlineStr">
        <is>
          <t>1/0</t>
        </is>
      </c>
      <c r="N5548" s="12" t="n">
        <v>1</v>
      </c>
      <c r="O5548" s="12" t="n">
        <v>3</v>
      </c>
      <c r="P5548" s="12" t="n">
        <v>13800</v>
      </c>
      <c r="Q5548" s="12" t="n">
        <v>3000</v>
      </c>
      <c r="R5548" s="12" t="n">
        <v>126</v>
      </c>
      <c r="S5548" s="12" t="inlineStr">
        <is>
          <t>Duct bank</t>
        </is>
      </c>
      <c r="T5548" s="15" t="n">
        <v>538</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I-MV-0029</t>
        </is>
      </c>
      <c r="B5549" s="12" t="inlineStr">
        <is>
          <t>I</t>
        </is>
      </c>
      <c r="C5549" s="12" t="inlineStr">
        <is>
          <t>Modular / portable power</t>
        </is>
      </c>
      <c r="D5549" s="12" t="inlineStr">
        <is>
          <t>MTG-1 generator neutral to its high-resistance grounding resistor (in the package)</t>
        </is>
      </c>
      <c r="E5549" s="12" t="inlineStr">
        <is>
          <t>MTG-1</t>
        </is>
      </c>
      <c r="F5549" s="12" t="inlineStr">
        <is>
          <t xml:space="preserve">MTG-1: mid-size industrial gas-turbine generator package ~16 MW, 13.8 </t>
        </is>
      </c>
      <c r="G5549" s="12" t="inlineStr">
        <is>
          <t>MTG-1</t>
        </is>
      </c>
      <c r="H5549" s="12" t="inlineStr">
        <is>
          <t xml:space="preserve">MTG-1: mid-size industrial gas-turbine generator package ~16 MW, 13.8 </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I-MV-0030</t>
        </is>
      </c>
      <c r="B5550" s="12" t="inlineStr">
        <is>
          <t>I</t>
        </is>
      </c>
      <c r="C5550" s="12" t="inlineStr">
        <is>
          <t>Modular / portable power</t>
        </is>
      </c>
      <c r="D5550" s="12" t="inlineStr">
        <is>
          <t>MTG-2 generator neutral to its high-resistance grounding resistor (in the package)</t>
        </is>
      </c>
      <c r="E5550" s="12" t="inlineStr">
        <is>
          <t>MTG-2</t>
        </is>
      </c>
      <c r="F5550" s="12" t="inlineStr">
        <is>
          <t xml:space="preserve">MTG-2: mid-size industrial gas-turbine generator package ~16 MW, 13.8 </t>
        </is>
      </c>
      <c r="G5550" s="12" t="inlineStr">
        <is>
          <t>MTG-2</t>
        </is>
      </c>
      <c r="H5550" s="12" t="inlineStr">
        <is>
          <t xml:space="preserve">MTG-2: mid-size industrial gas-turbine generator package ~16 MW, 13.8 </t>
        </is>
      </c>
      <c r="I5550" s="12" t="inlineStr">
        <is>
          <t>MV 15 kV</t>
        </is>
      </c>
      <c r="J5550" s="12" t="inlineStr">
        <is>
          <t>MV-105 15 kV 1/C Cu, EPR 133%, Cu tape shield, PVC jacket (triplexed)</t>
        </is>
      </c>
      <c r="K5550" s="12" t="inlineStr">
        <is>
          <t>MV15|1/C|2</t>
        </is>
      </c>
      <c r="L5550" s="12" t="inlineStr">
        <is>
          <t>1/C</t>
        </is>
      </c>
      <c r="M5550" s="12" t="inlineStr">
        <is>
          <t>2</t>
        </is>
      </c>
      <c r="N5550" s="12" t="n">
        <v>1</v>
      </c>
      <c r="O5550" s="12" t="n">
        <v>1</v>
      </c>
      <c r="P5550" s="12" t="n">
        <v>13800</v>
      </c>
      <c r="Q5550" s="12" t="n"/>
      <c r="R5550" s="12" t="n"/>
      <c r="S5550" s="12" t="inlineStr">
        <is>
          <t>Conduit</t>
        </is>
      </c>
      <c r="T5550" s="15" t="n">
        <v>15</v>
      </c>
      <c r="U5550" s="15" t="n">
        <v>5</v>
      </c>
      <c r="V5550" s="15">
        <f>ROUNDUP((T5550+U5550+2*'Read Me'!$B$13)*(1+'Read Me'!$B$12),-1)</f>
        <v/>
      </c>
      <c r="W5550" s="15">
        <f>V5550*N5550*O5550</f>
        <v/>
      </c>
      <c r="X5550" s="12">
        <f>IF(LEFT(I5550,2)="MV",2*N5550*IF(L5550="1/C",O5550,1),0)</f>
        <v/>
      </c>
      <c r="Y5550" s="12">
        <f>IF(OR(LEFT(K5550,4)="LVAX",LEFT(K5550,6)="MV15AX",LEFT(K5550,4)="CTAX",LEFT(K5550,2)="W|"),2*N5550*O5550,0)</f>
        <v/>
      </c>
      <c r="Z5550" s="12" t="inlineStr">
        <is>
          <t>NGR in the generator / terminal-box enclosure</t>
        </is>
      </c>
      <c r="AA5550" s="12">
        <f>N5550*O5550</f>
        <v/>
      </c>
    </row>
    <row r="5551">
      <c r="A5551" s="12" t="inlineStr">
        <is>
          <t>I-MV-0031</t>
        </is>
      </c>
      <c r="B5551" s="12" t="inlineStr">
        <is>
          <t>I</t>
        </is>
      </c>
      <c r="C5551" s="12" t="inlineStr">
        <is>
          <t>Modular / portable power</t>
        </is>
      </c>
      <c r="D5551" s="12" t="inlineStr">
        <is>
          <t>MTG-AUX 13.8 kV primary</t>
        </is>
      </c>
      <c r="E5551" s="12" t="inlineStr">
        <is>
          <t>MTG-SWG</t>
        </is>
      </c>
      <c r="F5551" s="12" t="inlineStr">
        <is>
          <t>MTG-SWG: 13.8 kV switchgear e-house (2 generator breakers, site feeder</t>
        </is>
      </c>
      <c r="G5551" s="12" t="inlineStr">
        <is>
          <t>MTG-AUX</t>
        </is>
      </c>
      <c r="H5551" s="12" t="inlineStr">
        <is>
          <t>MTG-AUX: 13.8 / 0.48 kV auxiliary transformer</t>
        </is>
      </c>
      <c r="I5551" s="12" t="inlineStr">
        <is>
          <t>MV 15 kV</t>
        </is>
      </c>
      <c r="J5551" s="12" t="inlineStr">
        <is>
          <t>MV-105 15 kV 1/C Cu, EPR 133%, Cu tape shield, PVC jacket (triplexed)</t>
        </is>
      </c>
      <c r="K5551" s="12" t="inlineStr">
        <is>
          <t>MV15|1/C|2</t>
        </is>
      </c>
      <c r="L5551" s="12" t="inlineStr">
        <is>
          <t>1/C</t>
        </is>
      </c>
      <c r="M5551" s="12" t="inlineStr">
        <is>
          <t>2</t>
        </is>
      </c>
      <c r="N5551" s="12" t="n">
        <v>1</v>
      </c>
      <c r="O5551" s="12" t="n">
        <v>3</v>
      </c>
      <c r="P5551" s="12" t="n">
        <v>13800</v>
      </c>
      <c r="Q5551" s="12" t="n">
        <v>750</v>
      </c>
      <c r="R5551" s="12" t="n">
        <v>31</v>
      </c>
      <c r="S5551" s="12" t="inlineStr">
        <is>
          <t>Duct bank</t>
        </is>
      </c>
      <c r="T5551" s="15" t="n">
        <v>34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c r="AA5551" s="12">
        <f>N5551*O5551</f>
        <v/>
      </c>
    </row>
    <row r="5552">
      <c r="A5552" s="12" t="inlineStr">
        <is>
          <t>I-MV-0032</t>
        </is>
      </c>
      <c r="B5552" s="12" t="inlineStr">
        <is>
          <t>I</t>
        </is>
      </c>
      <c r="C5552" s="12" t="inlineStr">
        <is>
          <t>Modular / portable power</t>
        </is>
      </c>
      <c r="D5552" s="12" t="inlineStr">
        <is>
          <t>MTG-SWG 13.8 kV to MTG-GSU</t>
        </is>
      </c>
      <c r="E5552" s="12" t="inlineStr">
        <is>
          <t>MTG-SWG</t>
        </is>
      </c>
      <c r="F5552" s="12" t="inlineStr">
        <is>
          <t>MTG-SWG: 13.8 kV switchgear e-house (2 generator breakers, site feeder</t>
        </is>
      </c>
      <c r="G5552" s="12" t="inlineStr">
        <is>
          <t>MTG-GSU</t>
        </is>
      </c>
      <c r="H5552" s="12" t="inlineStr">
        <is>
          <t>MTG-GSU: 13.8 / 34.5 kV step-up, ~40 MVA (mid-size turbines)</t>
        </is>
      </c>
      <c r="I5552" s="12" t="inlineStr">
        <is>
          <t>MV 15 kV</t>
        </is>
      </c>
      <c r="J5552" s="12" t="inlineStr">
        <is>
          <t>MV-105 15 kV 1/C Cu, EPR 133%, Cu tape shield, PVC jacket (triplexed)</t>
        </is>
      </c>
      <c r="K5552" s="12" t="inlineStr">
        <is>
          <t>MV15|1/C|1000</t>
        </is>
      </c>
      <c r="L5552" s="12" t="inlineStr">
        <is>
          <t>1/C</t>
        </is>
      </c>
      <c r="M5552" s="12" t="inlineStr">
        <is>
          <t>1000 kcmil</t>
        </is>
      </c>
      <c r="N5552" s="12" t="n">
        <v>3</v>
      </c>
      <c r="O5552" s="12" t="n">
        <v>3</v>
      </c>
      <c r="P5552" s="12" t="n">
        <v>13800</v>
      </c>
      <c r="Q5552" s="12" t="n">
        <v>32000</v>
      </c>
      <c r="R5552" s="12" t="n">
        <v>1488</v>
      </c>
      <c r="S5552" s="12" t="inlineStr">
        <is>
          <t>Duct bank</t>
        </is>
      </c>
      <c r="T5552" s="15" t="n">
        <v>12</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3 sets per phase</t>
        </is>
      </c>
      <c r="AA5552" s="12">
        <f>N5552*O5552</f>
        <v/>
      </c>
    </row>
    <row r="5553">
      <c r="A5553" s="12" t="inlineStr">
        <is>
          <t>I-MV-0033</t>
        </is>
      </c>
      <c r="B5553" s="12" t="inlineStr">
        <is>
          <t>I</t>
        </is>
      </c>
      <c r="C5553" s="12" t="inlineStr">
        <is>
          <t>Modular / portable power</t>
        </is>
      </c>
      <c r="D5553" s="12" t="inlineStr">
        <is>
          <t>MTG-1 13.8 kV generator leads to the switchgear e-house</t>
        </is>
      </c>
      <c r="E5553" s="12" t="inlineStr">
        <is>
          <t>MTG-1</t>
        </is>
      </c>
      <c r="F5553" s="12" t="inlineStr">
        <is>
          <t xml:space="preserve">MTG-1: mid-size industrial gas-turbine generator package ~16 MW, 13.8 </t>
        </is>
      </c>
      <c r="G5553" s="12" t="inlineStr">
        <is>
          <t>MTG-SWG</t>
        </is>
      </c>
      <c r="H5553" s="12" t="inlineStr">
        <is>
          <t>MTG-SWG: 13.8 kV switchgear e-house (2 generator breakers, site feeder</t>
        </is>
      </c>
      <c r="I5553" s="12" t="inlineStr">
        <is>
          <t>MV 15 kV</t>
        </is>
      </c>
      <c r="J5553" s="12" t="inlineStr">
        <is>
          <t>MV-105 15 kV 1/C Cu, EPR 133%, Cu tape shield, PVC jacket (triplexed)</t>
        </is>
      </c>
      <c r="K5553" s="12" t="inlineStr">
        <is>
          <t>MV15|1/C|750</t>
        </is>
      </c>
      <c r="L5553" s="12" t="inlineStr">
        <is>
          <t>1/C</t>
        </is>
      </c>
      <c r="M5553" s="12" t="inlineStr">
        <is>
          <t>750 kcmil</t>
        </is>
      </c>
      <c r="N5553" s="12" t="n">
        <v>2</v>
      </c>
      <c r="O5553" s="12" t="n">
        <v>3</v>
      </c>
      <c r="P5553" s="12" t="n">
        <v>13800</v>
      </c>
      <c r="Q5553" s="12" t="n">
        <v>16000</v>
      </c>
      <c r="R5553" s="12" t="n">
        <v>744</v>
      </c>
      <c r="S5553" s="12" t="inlineStr">
        <is>
          <t>Duct bank</t>
        </is>
      </c>
      <c r="T5553" s="15" t="n">
        <v>39</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2 sets per phase</t>
        </is>
      </c>
      <c r="AA5553" s="12">
        <f>N5553*O5553</f>
        <v/>
      </c>
    </row>
    <row r="5554">
      <c r="A5554" s="12" t="inlineStr">
        <is>
          <t>I-MV-0034</t>
        </is>
      </c>
      <c r="B5554" s="12" t="inlineStr">
        <is>
          <t>I</t>
        </is>
      </c>
      <c r="C5554" s="12" t="inlineStr">
        <is>
          <t>Modular / portable power</t>
        </is>
      </c>
      <c r="D5554" s="12" t="inlineStr">
        <is>
          <t>MTG-2 13.8 kV generator leads to the switchgear e-house</t>
        </is>
      </c>
      <c r="E5554" s="12" t="inlineStr">
        <is>
          <t>MTG-2</t>
        </is>
      </c>
      <c r="F5554" s="12" t="inlineStr">
        <is>
          <t xml:space="preserve">MTG-2: mid-size industrial gas-turbine generator package ~16 MW, 13.8 </t>
        </is>
      </c>
      <c r="G5554" s="12" t="inlineStr">
        <is>
          <t>MTG-SWG</t>
        </is>
      </c>
      <c r="H5554" s="12" t="inlineStr">
        <is>
          <t>MTG-SWG: 13.8 kV switchgear e-house (2 generator breakers, site feeder</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16000</v>
      </c>
      <c r="R5554" s="12" t="n">
        <v>744</v>
      </c>
      <c r="S5554" s="12" t="inlineStr">
        <is>
          <t>Duct bank</t>
        </is>
      </c>
      <c r="T5554" s="15" t="n">
        <v>9</v>
      </c>
      <c r="U5554" s="15" t="n">
        <v>32</v>
      </c>
      <c r="V5554" s="15">
        <f>ROUNDUP((T5554+U5554+2*'Read Me'!$B$13)*(1+'Read Me'!$B$12),-1)</f>
        <v/>
      </c>
      <c r="W5554" s="15">
        <f>V5554*N5554*O5554</f>
        <v/>
      </c>
      <c r="X5554" s="12">
        <f>IF(LEFT(I5554,2)="MV",2*N5554*IF(L5554="1/C",O5554,1),0)</f>
        <v/>
      </c>
      <c r="Y5554" s="12">
        <f>IF(OR(LEFT(K5554,4)="LVAX",LEFT(K5554,6)="MV15AX",LEFT(K5554,4)="CTAX",LEFT(K5554,2)="W|"),2*N5554*O5554,0)</f>
        <v/>
      </c>
      <c r="Z5554" s="12" t="inlineStr">
        <is>
          <t>2 sets per phase</t>
        </is>
      </c>
      <c r="AA5554" s="12">
        <f>N5554*O5554</f>
        <v/>
      </c>
    </row>
    <row r="5555">
      <c r="A5555" s="12" t="inlineStr">
        <is>
          <t>I-MV-0035</t>
        </is>
      </c>
      <c r="B5555" s="12" t="inlineStr">
        <is>
          <t>I</t>
        </is>
      </c>
      <c r="C5555" s="12" t="inlineStr">
        <is>
          <t>Modular / portable power</t>
        </is>
      </c>
      <c r="D5555" s="12" t="inlineStr">
        <is>
          <t>TM-1 (TM2500) generator leads to PAD-EH</t>
        </is>
      </c>
      <c r="E5555" s="12" t="inlineStr">
        <is>
          <t>TM-1</t>
        </is>
      </c>
      <c r="F5555" s="12" t="inlineStr">
        <is>
          <t>TM-1: trailer-mounted aeroderivative GT (TM2500 class, ~35 MW)</t>
        </is>
      </c>
      <c r="G5555" s="12" t="inlineStr">
        <is>
          <t>PAD-EH</t>
        </is>
      </c>
      <c r="H5555" s="12" t="inlineStr">
        <is>
          <t>PAD-EH 13.8 kV switchgear e-house</t>
        </is>
      </c>
      <c r="I5555" s="12" t="inlineStr">
        <is>
          <t>MV 15 kV</t>
        </is>
      </c>
      <c r="J5555" s="12" t="inlineStr">
        <is>
          <t>MV-105 15 kV 1/C Cu, EPR 133%, Cu tape shield, PVC jacket (triplexed)</t>
        </is>
      </c>
      <c r="K5555" s="12" t="inlineStr">
        <is>
          <t>MV15|1/C|1000</t>
        </is>
      </c>
      <c r="L5555" s="12" t="inlineStr">
        <is>
          <t>1/C</t>
        </is>
      </c>
      <c r="M5555" s="12" t="inlineStr">
        <is>
          <t>1000 kcmil</t>
        </is>
      </c>
      <c r="N5555" s="12" t="n">
        <v>3</v>
      </c>
      <c r="O5555" s="12" t="n">
        <v>3</v>
      </c>
      <c r="P5555" s="12" t="n">
        <v>13800</v>
      </c>
      <c r="Q5555" s="12" t="n">
        <v>35000</v>
      </c>
      <c r="R5555" s="12" t="n">
        <v>1464</v>
      </c>
      <c r="S5555" s="12" t="inlineStr">
        <is>
          <t>Duct bank</t>
        </is>
      </c>
      <c r="T5555" s="15" t="n">
        <v>444</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is>
          <t>3 per phase for 125 % (nine cables in the model)</t>
        </is>
      </c>
      <c r="AA5555" s="12">
        <f>N5555*O5555</f>
        <v/>
      </c>
    </row>
    <row r="5556">
      <c r="A5556" s="12" t="inlineStr">
        <is>
          <t>I-MV-0036</t>
        </is>
      </c>
      <c r="B5556" s="12" t="inlineStr">
        <is>
          <t>I</t>
        </is>
      </c>
      <c r="C5556" s="12" t="inlineStr">
        <is>
          <t>Modular / portable power</t>
        </is>
      </c>
      <c r="D5556" s="12" t="inlineStr">
        <is>
          <t>CHP-SWG 13.8 kV site feeder to PAD-EH</t>
        </is>
      </c>
      <c r="E5556" s="12" t="inlineStr">
        <is>
          <t>CHP-SWG</t>
        </is>
      </c>
      <c r="F5556" s="12" t="inlineStr">
        <is>
          <t>CHP-SWG: 13.8 kV switchgear container (4 engine breakers, site feeder)</t>
        </is>
      </c>
      <c r="G5556" s="12" t="inlineStr">
        <is>
          <t>PAD-EH</t>
        </is>
      </c>
      <c r="H5556" s="12" t="inlineStr">
        <is>
          <t>PAD-EH 13.8 kV switchgear e-house</t>
        </is>
      </c>
      <c r="I5556" s="12" t="inlineStr">
        <is>
          <t>MV 15 kV</t>
        </is>
      </c>
      <c r="J5556" s="12" t="inlineStr">
        <is>
          <t>MV-105 15 kV 1/C Cu, EPR 133%, Cu tape shield, PVC jacket (triplexed)</t>
        </is>
      </c>
      <c r="K5556" s="12" t="inlineStr">
        <is>
          <t>MV15|1/C|1000</t>
        </is>
      </c>
      <c r="L5556" s="12" t="inlineStr">
        <is>
          <t>1/C</t>
        </is>
      </c>
      <c r="M5556" s="12" t="inlineStr">
        <is>
          <t>1000 kcmil</t>
        </is>
      </c>
      <c r="N5556" s="12" t="n">
        <v>1</v>
      </c>
      <c r="O5556" s="12" t="n">
        <v>3</v>
      </c>
      <c r="P5556" s="12" t="n">
        <v>13800</v>
      </c>
      <c r="Q5556" s="12" t="n">
        <v>10000</v>
      </c>
      <c r="R5556" s="12" t="n">
        <v>465</v>
      </c>
      <c r="S5556" s="12" t="inlineStr">
        <is>
          <t>Duct bank</t>
        </is>
      </c>
      <c r="T5556" s="15" t="n">
        <v>214</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1 set per phase</t>
        </is>
      </c>
      <c r="AA5556" s="12">
        <f>N5556*O5556</f>
        <v/>
      </c>
    </row>
    <row r="5557">
      <c r="A5557" s="12" t="inlineStr">
        <is>
          <t>I-MV-0037</t>
        </is>
      </c>
      <c r="B5557" s="12" t="inlineStr">
        <is>
          <t>I</t>
        </is>
      </c>
      <c r="C5557" s="12" t="inlineStr">
        <is>
          <t>Modular / portable power</t>
        </is>
      </c>
      <c r="D5557" s="12" t="inlineStr">
        <is>
          <t>MT-TX 13.8 kV to PAD-EH</t>
        </is>
      </c>
      <c r="E5557" s="12" t="inlineStr">
        <is>
          <t>MT-TX</t>
        </is>
      </c>
      <c r="F5557" s="12" t="inlineStr">
        <is>
          <t>MT-TX: 480 V : 13.8 kV, ~3.75 MVA pad-mount (microturbine site)</t>
        </is>
      </c>
      <c r="G5557" s="12" t="inlineStr">
        <is>
          <t>PAD-EH</t>
        </is>
      </c>
      <c r="H5557" s="12" t="inlineStr">
        <is>
          <t>PAD-EH 13.8 kV switchgear e-house</t>
        </is>
      </c>
      <c r="I5557" s="12" t="inlineStr">
        <is>
          <t>MV 15 kV</t>
        </is>
      </c>
      <c r="J5557" s="12" t="inlineStr">
        <is>
          <t>MV-105 15 kV 1/C Cu, EPR 133%, Cu tape shield, PVC jacket (triplexed)</t>
        </is>
      </c>
      <c r="K5557" s="12" t="inlineStr">
        <is>
          <t>MV15|1/C|1/0</t>
        </is>
      </c>
      <c r="L5557" s="12" t="inlineStr">
        <is>
          <t>1/C</t>
        </is>
      </c>
      <c r="M5557" s="12" t="inlineStr">
        <is>
          <t>1/0</t>
        </is>
      </c>
      <c r="N5557" s="12" t="n">
        <v>1</v>
      </c>
      <c r="O5557" s="12" t="n">
        <v>3</v>
      </c>
      <c r="P5557" s="12" t="n">
        <v>13800</v>
      </c>
      <c r="Q5557" s="12" t="n">
        <v>3000</v>
      </c>
      <c r="R5557" s="12" t="n">
        <v>139</v>
      </c>
      <c r="S5557" s="12" t="inlineStr">
        <is>
          <t>Duct bank</t>
        </is>
      </c>
      <c r="T5557" s="15" t="n">
        <v>228</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1 set per phase</t>
        </is>
      </c>
      <c r="AA5557" s="12">
        <f>N5557*O5557</f>
        <v/>
      </c>
    </row>
    <row r="5558">
      <c r="A5558" s="12" t="inlineStr">
        <is>
          <t>I-MV-0038</t>
        </is>
      </c>
      <c r="B5558" s="12" t="inlineStr">
        <is>
          <t>I</t>
        </is>
      </c>
      <c r="C5558" s="12" t="inlineStr">
        <is>
          <t>Modular / portable power</t>
        </is>
      </c>
      <c r="D5558" s="12" t="inlineStr">
        <is>
          <t>PAD-EH 13.8 kV to PAD-GSU</t>
        </is>
      </c>
      <c r="E5558" s="12" t="inlineStr">
        <is>
          <t>PAD-EH</t>
        </is>
      </c>
      <c r="F5558" s="12" t="inlineStr">
        <is>
          <t>PAD-EH 13.8 kV switchgear e-house</t>
        </is>
      </c>
      <c r="G5558" s="12" t="inlineStr">
        <is>
          <t>PAD-GSU</t>
        </is>
      </c>
      <c r="H5558" s="12" t="inlineStr">
        <is>
          <t>PAD-GSU: 13.8 / 34.5 kV step-up, ~60 MVA (PAD-EH: TM-1, CHP site, MT-T</t>
        </is>
      </c>
      <c r="I5558" s="12" t="inlineStr">
        <is>
          <t>MV 15 kV</t>
        </is>
      </c>
      <c r="J5558" s="12" t="inlineStr">
        <is>
          <t>MV-105 15 kV 1/C Cu, EPR 133%, Cu tape shield, PVC jacket (triplexed)</t>
        </is>
      </c>
      <c r="K5558" s="12" t="inlineStr">
        <is>
          <t>MV15|1/C|1000</t>
        </is>
      </c>
      <c r="L5558" s="12" t="inlineStr">
        <is>
          <t>1/C</t>
        </is>
      </c>
      <c r="M5558" s="12" t="inlineStr">
        <is>
          <t>1000 kcmil</t>
        </is>
      </c>
      <c r="N5558" s="12" t="n">
        <v>5</v>
      </c>
      <c r="O5558" s="12" t="n">
        <v>3</v>
      </c>
      <c r="P5558" s="12" t="n">
        <v>13800</v>
      </c>
      <c r="Q5558" s="12" t="n">
        <v>52000</v>
      </c>
      <c r="R5558" s="12" t="n">
        <v>2417</v>
      </c>
      <c r="S5558" s="12" t="inlineStr">
        <is>
          <t>Duct bank</t>
        </is>
      </c>
      <c r="T5558" s="15" t="n">
        <v>44</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is>
          <t>5 sets per phase</t>
        </is>
      </c>
      <c r="AA5558" s="12">
        <f>N5558*O5558</f>
        <v/>
      </c>
    </row>
    <row r="5559">
      <c r="A5559" s="12" t="inlineStr">
        <is>
          <t>I-MV-0039</t>
        </is>
      </c>
      <c r="B5559" s="12" t="inlineStr">
        <is>
          <t>I</t>
        </is>
      </c>
      <c r="C5559" s="12" t="inlineStr">
        <is>
          <t>Modular / portable power</t>
        </is>
      </c>
      <c r="D5559" s="12" t="inlineStr">
        <is>
          <t>RICE-1 generator leads to the PCM</t>
        </is>
      </c>
      <c r="E5559" s="12" t="inlineStr">
        <is>
          <t>RICE-1</t>
        </is>
      </c>
      <c r="F5559" s="12" t="inlineStr">
        <is>
          <t>RICE engine-generator 1</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542</v>
      </c>
      <c r="U5559" s="15" t="n">
        <v>111</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I-MV-0040</t>
        </is>
      </c>
      <c r="B5560" s="12" t="inlineStr">
        <is>
          <t>I</t>
        </is>
      </c>
      <c r="C5560" s="12" t="inlineStr">
        <is>
          <t>Modular / portable power</t>
        </is>
      </c>
      <c r="D5560" s="12" t="inlineStr">
        <is>
          <t>RICE-2 generator leads to the PCM</t>
        </is>
      </c>
      <c r="E5560" s="12" t="inlineStr">
        <is>
          <t>RICE-2</t>
        </is>
      </c>
      <c r="F5560" s="12" t="inlineStr">
        <is>
          <t>RICE engine-generator 2</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516</v>
      </c>
      <c r="U5560" s="15" t="n">
        <v>109</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I-MV-0041</t>
        </is>
      </c>
      <c r="B5561" s="12" t="inlineStr">
        <is>
          <t>I</t>
        </is>
      </c>
      <c r="C5561" s="12" t="inlineStr">
        <is>
          <t>Modular / portable power</t>
        </is>
      </c>
      <c r="D5561" s="12" t="inlineStr">
        <is>
          <t>RICE-3 generator leads to the PCM</t>
        </is>
      </c>
      <c r="E5561" s="12" t="inlineStr">
        <is>
          <t>RICE-3</t>
        </is>
      </c>
      <c r="F5561" s="12" t="inlineStr">
        <is>
          <t>RICE engine-generator 3</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516</v>
      </c>
      <c r="U5561" s="15" t="n">
        <v>81</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I-MV-0042</t>
        </is>
      </c>
      <c r="B5562" s="12" t="inlineStr">
        <is>
          <t>I</t>
        </is>
      </c>
      <c r="C5562" s="12" t="inlineStr">
        <is>
          <t>Modular / portable power</t>
        </is>
      </c>
      <c r="D5562" s="12" t="inlineStr">
        <is>
          <t>RICE-4 generator leads to the PCM</t>
        </is>
      </c>
      <c r="E5562" s="12" t="inlineStr">
        <is>
          <t>RICE-4</t>
        </is>
      </c>
      <c r="F5562" s="12" t="inlineStr">
        <is>
          <t>RICE engine-generator 4</t>
        </is>
      </c>
      <c r="G5562" s="12" t="inlineStr"/>
      <c r="H5562" s="12" t="inlineStr">
        <is>
          <t>PCM: power control module</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2</v>
      </c>
      <c r="O5562" s="12" t="n">
        <v>3</v>
      </c>
      <c r="P5562" s="12" t="n">
        <v>13800</v>
      </c>
      <c r="Q5562" s="12" t="n">
        <v>18400</v>
      </c>
      <c r="R5562" s="12" t="n">
        <v>855</v>
      </c>
      <c r="S5562" s="12" t="inlineStr">
        <is>
          <t>Duct bank</t>
        </is>
      </c>
      <c r="T5562" s="15" t="n">
        <v>516</v>
      </c>
      <c r="U5562" s="15" t="n">
        <v>53</v>
      </c>
      <c r="V5562" s="15">
        <f>ROUNDUP((T5562+U5562+2*'Read Me'!$B$13)*(1+'Read Me'!$B$12),-1)</f>
        <v/>
      </c>
      <c r="W5562" s="15">
        <f>V5562*N5562*O5562</f>
        <v/>
      </c>
      <c r="X5562" s="12">
        <f>IF(LEFT(I5562,2)="MV",2*N5562*IF(L5562="1/C",O5562,1),0)</f>
        <v/>
      </c>
      <c r="Y5562" s="12">
        <f>IF(OR(LEFT(K5562,4)="LVAX",LEFT(K5562,6)="MV15AX",LEFT(K5562,4)="CTAX",LEFT(K5562,2)="W|"),2*N5562*O5562,0)</f>
        <v/>
      </c>
      <c r="Z5562" s="12" t="inlineStr">
        <is>
          <t>18V50 class ~18 MW (typ.), 0.9 pf</t>
        </is>
      </c>
      <c r="AA5562" s="12">
        <f>N5562*O5562</f>
        <v/>
      </c>
    </row>
    <row r="5563">
      <c r="A5563" s="12" t="inlineStr">
        <is>
          <t>I-MV-0043</t>
        </is>
      </c>
      <c r="B5563" s="12" t="inlineStr">
        <is>
          <t>I</t>
        </is>
      </c>
      <c r="C5563" s="12" t="inlineStr">
        <is>
          <t>Modular / portable power</t>
        </is>
      </c>
      <c r="D5563" s="12" t="inlineStr">
        <is>
          <t>RICE-5 generator leads to the PCM</t>
        </is>
      </c>
      <c r="E5563" s="12" t="inlineStr">
        <is>
          <t>RICE-5</t>
        </is>
      </c>
      <c r="F5563" s="12" t="inlineStr">
        <is>
          <t>RICE engine-generator 5</t>
        </is>
      </c>
      <c r="G5563" s="12" t="inlineStr"/>
      <c r="H5563" s="12" t="inlineStr">
        <is>
          <t>PCM: power control module</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2</v>
      </c>
      <c r="O5563" s="12" t="n">
        <v>3</v>
      </c>
      <c r="P5563" s="12" t="n">
        <v>13800</v>
      </c>
      <c r="Q5563" s="12" t="n">
        <v>18400</v>
      </c>
      <c r="R5563" s="12" t="n">
        <v>855</v>
      </c>
      <c r="S5563" s="12" t="inlineStr">
        <is>
          <t>Duct bank</t>
        </is>
      </c>
      <c r="T5563" s="15" t="n">
        <v>188</v>
      </c>
      <c r="U5563" s="15" t="n">
        <v>50</v>
      </c>
      <c r="V5563" s="15">
        <f>ROUNDUP((T5563+U5563+2*'Read Me'!$B$13)*(1+'Read Me'!$B$12),-1)</f>
        <v/>
      </c>
      <c r="W5563" s="15">
        <f>V5563*N5563*O5563</f>
        <v/>
      </c>
      <c r="X5563" s="12">
        <f>IF(LEFT(I5563,2)="MV",2*N5563*IF(L5563="1/C",O5563,1),0)</f>
        <v/>
      </c>
      <c r="Y5563" s="12">
        <f>IF(OR(LEFT(K5563,4)="LVAX",LEFT(K5563,6)="MV15AX",LEFT(K5563,4)="CTAX",LEFT(K5563,2)="W|"),2*N5563*O5563,0)</f>
        <v/>
      </c>
      <c r="Z5563" s="12" t="inlineStr">
        <is>
          <t>18V50 class ~18 MW (typ.), 0.9 pf</t>
        </is>
      </c>
      <c r="AA5563" s="12">
        <f>N5563*O5563</f>
        <v/>
      </c>
    </row>
    <row r="5564">
      <c r="A5564" s="12" t="inlineStr">
        <is>
          <t>I-MV-0044</t>
        </is>
      </c>
      <c r="B5564" s="12" t="inlineStr">
        <is>
          <t>I</t>
        </is>
      </c>
      <c r="C5564" s="12" t="inlineStr">
        <is>
          <t>Modular / portable power</t>
        </is>
      </c>
      <c r="D5564" s="12" t="inlineStr">
        <is>
          <t>RICE-6 generator leads to the PCM</t>
        </is>
      </c>
      <c r="E5564" s="12" t="inlineStr">
        <is>
          <t>RICE-6</t>
        </is>
      </c>
      <c r="F5564" s="12" t="inlineStr">
        <is>
          <t>RICE engine-generator 6</t>
        </is>
      </c>
      <c r="G5564" s="12" t="inlineStr"/>
      <c r="H5564" s="12" t="inlineStr">
        <is>
          <t>PCM: power control module</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2</v>
      </c>
      <c r="O5564" s="12" t="n">
        <v>3</v>
      </c>
      <c r="P5564" s="12" t="n">
        <v>13800</v>
      </c>
      <c r="Q5564" s="12" t="n">
        <v>18400</v>
      </c>
      <c r="R5564" s="12" t="n">
        <v>855</v>
      </c>
      <c r="S5564" s="12" t="inlineStr">
        <is>
          <t>Duct bank</t>
        </is>
      </c>
      <c r="T5564" s="15" t="n">
        <v>132</v>
      </c>
      <c r="U5564" s="15" t="n">
        <v>78</v>
      </c>
      <c r="V5564" s="15">
        <f>ROUNDUP((T5564+U5564+2*'Read Me'!$B$13)*(1+'Read Me'!$B$12),-1)</f>
        <v/>
      </c>
      <c r="W5564" s="15">
        <f>V5564*N5564*O5564</f>
        <v/>
      </c>
      <c r="X5564" s="12">
        <f>IF(LEFT(I5564,2)="MV",2*N5564*IF(L5564="1/C",O5564,1),0)</f>
        <v/>
      </c>
      <c r="Y5564" s="12">
        <f>IF(OR(LEFT(K5564,4)="LVAX",LEFT(K5564,6)="MV15AX",LEFT(K5564,4)="CTAX",LEFT(K5564,2)="W|"),2*N5564*O5564,0)</f>
        <v/>
      </c>
      <c r="Z5564" s="12" t="inlineStr">
        <is>
          <t>18V50 class ~18 MW (typ.), 0.9 pf</t>
        </is>
      </c>
      <c r="AA5564" s="12">
        <f>N5564*O5564</f>
        <v/>
      </c>
    </row>
    <row r="5565">
      <c r="A5565" s="12" t="inlineStr">
        <is>
          <t>I-MV-0045</t>
        </is>
      </c>
      <c r="B5565" s="12" t="inlineStr">
        <is>
          <t>I</t>
        </is>
      </c>
      <c r="C5565" s="12" t="inlineStr">
        <is>
          <t>Modular / portable power</t>
        </is>
      </c>
      <c r="D5565" s="12" t="inlineStr">
        <is>
          <t>RICE-7 generator leads to the PCM</t>
        </is>
      </c>
      <c r="E5565" s="12" t="inlineStr">
        <is>
          <t>RICE-7</t>
        </is>
      </c>
      <c r="F5565" s="12" t="inlineStr">
        <is>
          <t>RICE engine-generator 7</t>
        </is>
      </c>
      <c r="G5565" s="12" t="inlineStr"/>
      <c r="H5565" s="12" t="inlineStr">
        <is>
          <t>PCM: power control module</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2</v>
      </c>
      <c r="O5565" s="12" t="n">
        <v>3</v>
      </c>
      <c r="P5565" s="12" t="n">
        <v>13800</v>
      </c>
      <c r="Q5565" s="12" t="n">
        <v>18400</v>
      </c>
      <c r="R5565" s="12" t="n">
        <v>855</v>
      </c>
      <c r="S5565" s="12" t="inlineStr">
        <is>
          <t>Duct bank</t>
        </is>
      </c>
      <c r="T5565" s="15" t="n">
        <v>76</v>
      </c>
      <c r="U5565" s="15" t="n">
        <v>106</v>
      </c>
      <c r="V5565" s="15">
        <f>ROUNDUP((T5565+U5565+2*'Read Me'!$B$13)*(1+'Read Me'!$B$12),-1)</f>
        <v/>
      </c>
      <c r="W5565" s="15">
        <f>V5565*N5565*O5565</f>
        <v/>
      </c>
      <c r="X5565" s="12">
        <f>IF(LEFT(I5565,2)="MV",2*N5565*IF(L5565="1/C",O5565,1),0)</f>
        <v/>
      </c>
      <c r="Y5565" s="12">
        <f>IF(OR(LEFT(K5565,4)="LVAX",LEFT(K5565,6)="MV15AX",LEFT(K5565,4)="CTAX",LEFT(K5565,2)="W|"),2*N5565*O5565,0)</f>
        <v/>
      </c>
      <c r="Z5565" s="12" t="inlineStr">
        <is>
          <t>18V50 class ~18 MW (typ.), 0.9 pf</t>
        </is>
      </c>
      <c r="AA5565" s="12">
        <f>N5565*O5565</f>
        <v/>
      </c>
    </row>
    <row r="5566">
      <c r="A5566" s="12" t="inlineStr">
        <is>
          <t>I-MV-0046</t>
        </is>
      </c>
      <c r="B5566" s="12" t="inlineStr">
        <is>
          <t>I</t>
        </is>
      </c>
      <c r="C5566" s="12" t="inlineStr">
        <is>
          <t>Modular / portable power</t>
        </is>
      </c>
      <c r="D5566" s="12" t="inlineStr">
        <is>
          <t>RICE-8 generator leads to the PCM</t>
        </is>
      </c>
      <c r="E5566" s="12" t="inlineStr">
        <is>
          <t>RICE-8</t>
        </is>
      </c>
      <c r="F5566" s="12" t="inlineStr">
        <is>
          <t>RICE engine-generator 8</t>
        </is>
      </c>
      <c r="G5566" s="12" t="inlineStr"/>
      <c r="H5566" s="12" t="inlineStr">
        <is>
          <t>PCM: power control module</t>
        </is>
      </c>
      <c r="I5566" s="12" t="inlineStr">
        <is>
          <t>MV 15 kV</t>
        </is>
      </c>
      <c r="J5566" s="12" t="inlineStr">
        <is>
          <t>MV-105 15 kV 1/C Cu, EPR 133%, Cu tape shield, PVC jacket (triplexed)</t>
        </is>
      </c>
      <c r="K5566" s="12" t="inlineStr">
        <is>
          <t>MV15|1/C|750</t>
        </is>
      </c>
      <c r="L5566" s="12" t="inlineStr">
        <is>
          <t>1/C</t>
        </is>
      </c>
      <c r="M5566" s="12" t="inlineStr">
        <is>
          <t>750 kcmil</t>
        </is>
      </c>
      <c r="N5566" s="12" t="n">
        <v>2</v>
      </c>
      <c r="O5566" s="12" t="n">
        <v>3</v>
      </c>
      <c r="P5566" s="12" t="n">
        <v>13800</v>
      </c>
      <c r="Q5566" s="12" t="n">
        <v>18400</v>
      </c>
      <c r="R5566" s="12" t="n">
        <v>855</v>
      </c>
      <c r="S5566" s="12" t="inlineStr">
        <is>
          <t>Duct bank</t>
        </is>
      </c>
      <c r="T5566" s="15" t="n">
        <v>57</v>
      </c>
      <c r="U5566" s="15" t="n">
        <v>97</v>
      </c>
      <c r="V5566" s="15">
        <f>ROUNDUP((T5566+U5566+2*'Read Me'!$B$13)*(1+'Read Me'!$B$12),-1)</f>
        <v/>
      </c>
      <c r="W5566" s="15">
        <f>V5566*N5566*O5566</f>
        <v/>
      </c>
      <c r="X5566" s="12">
        <f>IF(LEFT(I5566,2)="MV",2*N5566*IF(L5566="1/C",O5566,1),0)</f>
        <v/>
      </c>
      <c r="Y5566" s="12">
        <f>IF(OR(LEFT(K5566,4)="LVAX",LEFT(K5566,6)="MV15AX",LEFT(K5566,4)="CTAX",LEFT(K5566,2)="W|"),2*N5566*O5566,0)</f>
        <v/>
      </c>
      <c r="Z5566" s="12" t="inlineStr">
        <is>
          <t>18V50 class ~18 MW (typ.), 0.9 pf</t>
        </is>
      </c>
      <c r="AA5566" s="12">
        <f>N5566*O5566</f>
        <v/>
      </c>
    </row>
    <row r="5567">
      <c r="A5567" s="12" t="inlineStr">
        <is>
          <t>I-MV-0047</t>
        </is>
      </c>
      <c r="B5567" s="12" t="inlineStr">
        <is>
          <t>I</t>
        </is>
      </c>
      <c r="C5567" s="12" t="inlineStr">
        <is>
          <t>Modular / portable power</t>
        </is>
      </c>
      <c r="D5567" s="12" t="inlineStr">
        <is>
          <t>PCM section A (RICE 1-2) to RICE-GSU-A</t>
        </is>
      </c>
      <c r="E5567" s="12" t="inlineStr"/>
      <c r="F5567" s="12" t="inlineStr">
        <is>
          <t>PCM: power control module</t>
        </is>
      </c>
      <c r="G5567" s="12" t="inlineStr">
        <is>
          <t>RICE-GSU-A</t>
        </is>
      </c>
      <c r="H5567" s="12" t="inlineStr">
        <is>
          <t>RICE-GSU-A: 13.8 / 34.5 kV group step-up, ~45 MVA (RICE 1-2)</t>
        </is>
      </c>
      <c r="I5567" s="12" t="inlineStr">
        <is>
          <t>MV 15 kV</t>
        </is>
      </c>
      <c r="J5567" s="12" t="inlineStr">
        <is>
          <t>MV-105 15 kV 1/C Cu, EPR 133%, Cu tape shield, PVC jacket (triplexed)</t>
        </is>
      </c>
      <c r="K5567" s="12" t="inlineStr">
        <is>
          <t>MV15|1/C|750</t>
        </is>
      </c>
      <c r="L5567" s="12" t="inlineStr">
        <is>
          <t>1/C</t>
        </is>
      </c>
      <c r="M5567" s="12" t="inlineStr">
        <is>
          <t>750 kcmil</t>
        </is>
      </c>
      <c r="N5567" s="12" t="n">
        <v>4</v>
      </c>
      <c r="O5567" s="12" t="n">
        <v>3</v>
      </c>
      <c r="P5567" s="12" t="n">
        <v>13800</v>
      </c>
      <c r="Q5567" s="12" t="n">
        <v>36800</v>
      </c>
      <c r="R5567" s="12" t="n">
        <v>1711</v>
      </c>
      <c r="S5567" s="12" t="inlineStr">
        <is>
          <t>Duct bank</t>
        </is>
      </c>
      <c r="T5567" s="15" t="n">
        <v>78</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is>
          <t>4 sets per phase</t>
        </is>
      </c>
      <c r="AA5567" s="12">
        <f>N5567*O5567</f>
        <v/>
      </c>
    </row>
    <row r="5568">
      <c r="A5568" s="12" t="inlineStr">
        <is>
          <t>I-MV-0048</t>
        </is>
      </c>
      <c r="B5568" s="12" t="inlineStr">
        <is>
          <t>I</t>
        </is>
      </c>
      <c r="C5568" s="12" t="inlineStr">
        <is>
          <t>Modular / portable power</t>
        </is>
      </c>
      <c r="D5568" s="12" t="inlineStr">
        <is>
          <t>PCM section B (RICE 3-4) to RICE-GSU-B</t>
        </is>
      </c>
      <c r="E5568" s="12" t="inlineStr"/>
      <c r="F5568" s="12" t="inlineStr">
        <is>
          <t>PCM: power control module</t>
        </is>
      </c>
      <c r="G5568" s="12" t="inlineStr">
        <is>
          <t>RICE-GSU-B</t>
        </is>
      </c>
      <c r="H5568" s="12" t="inlineStr">
        <is>
          <t>RICE-GSU-B: 13.8 / 34.5 kV group step-up, ~45 MVA (RICE 3-4)</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4</v>
      </c>
      <c r="O5568" s="12" t="n">
        <v>3</v>
      </c>
      <c r="P5568" s="12" t="n">
        <v>13800</v>
      </c>
      <c r="Q5568" s="12" t="n">
        <v>36800</v>
      </c>
      <c r="R5568" s="12" t="n">
        <v>1711</v>
      </c>
      <c r="S5568" s="12" t="inlineStr">
        <is>
          <t>Duct bank</t>
        </is>
      </c>
      <c r="T5568" s="15" t="n">
        <v>105</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4 sets per phase</t>
        </is>
      </c>
      <c r="AA5568" s="12">
        <f>N5568*O5568</f>
        <v/>
      </c>
    </row>
    <row r="5569">
      <c r="A5569" s="12" t="inlineStr">
        <is>
          <t>I-MV-0049</t>
        </is>
      </c>
      <c r="B5569" s="12" t="inlineStr">
        <is>
          <t>I</t>
        </is>
      </c>
      <c r="C5569" s="12" t="inlineStr">
        <is>
          <t>Modular / portable power</t>
        </is>
      </c>
      <c r="D5569" s="12" t="inlineStr">
        <is>
          <t>PCM section C (RICE 5-6) to RICE-GSU-C</t>
        </is>
      </c>
      <c r="E5569" s="12" t="inlineStr"/>
      <c r="F5569" s="12" t="inlineStr">
        <is>
          <t>PCM: power control module</t>
        </is>
      </c>
      <c r="G5569" s="12" t="inlineStr">
        <is>
          <t>RICE-GSU-C</t>
        </is>
      </c>
      <c r="H5569" s="12" t="inlineStr">
        <is>
          <t>RICE-GSU-C: 13.8 / 34.5 kV group step-up, ~45 MVA (RICE 5-6)</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4</v>
      </c>
      <c r="O5569" s="12" t="n">
        <v>3</v>
      </c>
      <c r="P5569" s="12" t="n">
        <v>13800</v>
      </c>
      <c r="Q5569" s="12" t="n">
        <v>36800</v>
      </c>
      <c r="R5569" s="12" t="n">
        <v>1711</v>
      </c>
      <c r="S5569" s="12" t="inlineStr">
        <is>
          <t>Duct bank</t>
        </is>
      </c>
      <c r="T5569" s="15" t="n">
        <v>132</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4 sets per phase</t>
        </is>
      </c>
      <c r="AA5569" s="12">
        <f>N5569*O5569</f>
        <v/>
      </c>
    </row>
    <row r="5570">
      <c r="A5570" s="12" t="inlineStr">
        <is>
          <t>I-MV-0050</t>
        </is>
      </c>
      <c r="B5570" s="12" t="inlineStr">
        <is>
          <t>I</t>
        </is>
      </c>
      <c r="C5570" s="12" t="inlineStr">
        <is>
          <t>Modular / portable power</t>
        </is>
      </c>
      <c r="D5570" s="12" t="inlineStr">
        <is>
          <t>PCM section D (RICE 7-8) to RICE-GSU-D</t>
        </is>
      </c>
      <c r="E5570" s="12" t="inlineStr"/>
      <c r="F5570" s="12" t="inlineStr">
        <is>
          <t>PCM: power control module</t>
        </is>
      </c>
      <c r="G5570" s="12" t="inlineStr">
        <is>
          <t>RICE-GSU-D</t>
        </is>
      </c>
      <c r="H5570" s="12" t="inlineStr">
        <is>
          <t>RICE-GSU-D: 13.8 / 34.5 kV group step-up, ~45 MVA (RICE 7-8)</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4</v>
      </c>
      <c r="O5570" s="12" t="n">
        <v>3</v>
      </c>
      <c r="P5570" s="12" t="n">
        <v>13800</v>
      </c>
      <c r="Q5570" s="12" t="n">
        <v>36800</v>
      </c>
      <c r="R5570" s="12" t="n">
        <v>1711</v>
      </c>
      <c r="S5570" s="12" t="inlineStr">
        <is>
          <t>Duct bank</t>
        </is>
      </c>
      <c r="T5570" s="15" t="n">
        <v>159</v>
      </c>
      <c r="U5570" s="15" t="n">
        <v>32</v>
      </c>
      <c r="V5570" s="15">
        <f>ROUNDUP((T5570+U5570+2*'Read Me'!$B$13)*(1+'Read Me'!$B$12),-1)</f>
        <v/>
      </c>
      <c r="W5570" s="15">
        <f>V5570*N5570*O5570</f>
        <v/>
      </c>
      <c r="X5570" s="12">
        <f>IF(LEFT(I5570,2)="MV",2*N5570*IF(L5570="1/C",O5570,1),0)</f>
        <v/>
      </c>
      <c r="Y5570" s="12">
        <f>IF(OR(LEFT(K5570,4)="LVAX",LEFT(K5570,6)="MV15AX",LEFT(K5570,4)="CTAX",LEFT(K5570,2)="W|"),2*N5570*O5570,0)</f>
        <v/>
      </c>
      <c r="Z5570" s="12" t="inlineStr">
        <is>
          <t>4 sets per phase</t>
        </is>
      </c>
      <c r="AA5570" s="12">
        <f>N5570*O5570</f>
        <v/>
      </c>
    </row>
    <row r="5571">
      <c r="A5571" s="12" t="inlineStr">
        <is>
          <t>I-MV-0051</t>
        </is>
      </c>
      <c r="B5571" s="12" t="inlineStr">
        <is>
          <t>I</t>
        </is>
      </c>
      <c r="C5571" s="12" t="inlineStr">
        <is>
          <t>Modular / portable power</t>
        </is>
      </c>
      <c r="D5571" s="12" t="inlineStr">
        <is>
          <t>SC-1 (LM6000 class) generator leads to its PCM / GCB</t>
        </is>
      </c>
      <c r="E5571" s="12" t="inlineStr">
        <is>
          <t>SC-1</t>
        </is>
      </c>
      <c r="F5571" s="12" t="inlineStr">
        <is>
          <t>SC-1: aeroderivative simple-cycle unit (LM6000 class)</t>
        </is>
      </c>
      <c r="G5571" s="12" t="inlineStr"/>
      <c r="H5571" s="12" t="inlineStr">
        <is>
          <t>SC-1 PCM + 15 kV GCB</t>
        </is>
      </c>
      <c r="I5571" s="12" t="inlineStr">
        <is>
          <t>MV 15 kV</t>
        </is>
      </c>
      <c r="J5571" s="12" t="inlineStr">
        <is>
          <t>MV-105 15 kV 1/C Cu, EPR 133%, Cu tape shield, PVC jacket (triplexed)</t>
        </is>
      </c>
      <c r="K5571" s="12" t="inlineStr">
        <is>
          <t>MV15|1/C|1000</t>
        </is>
      </c>
      <c r="L5571" s="12" t="inlineStr">
        <is>
          <t>1/C</t>
        </is>
      </c>
      <c r="M5571" s="12" t="inlineStr">
        <is>
          <t>1000 kcmil</t>
        </is>
      </c>
      <c r="N5571" s="12" t="n">
        <v>5</v>
      </c>
      <c r="O5571" s="12" t="n">
        <v>3</v>
      </c>
      <c r="P5571" s="12" t="n">
        <v>13800</v>
      </c>
      <c r="Q5571" s="12" t="n">
        <v>50000</v>
      </c>
      <c r="R5571" s="12" t="n">
        <v>2324</v>
      </c>
      <c r="S5571" s="12" t="inlineStr">
        <is>
          <t>Tray</t>
        </is>
      </c>
      <c r="T5571" s="15" t="n">
        <v>6</v>
      </c>
      <c r="U5571" s="15" t="n">
        <v>61</v>
      </c>
      <c r="V5571" s="15">
        <f>ROUNDUP((T5571+U5571+2*'Read Me'!$B$13)*(1+'Read Me'!$B$12),-1)</f>
        <v/>
      </c>
      <c r="W5571" s="15">
        <f>V5571*N5571*O5571</f>
        <v/>
      </c>
      <c r="X5571" s="12">
        <f>IF(LEFT(I5571,2)="MV",2*N5571*IF(L5571="1/C",O5571,1),0)</f>
        <v/>
      </c>
      <c r="Y5571" s="12">
        <f>IF(OR(LEFT(K5571,4)="LVAX",LEFT(K5571,6)="MV15AX",LEFT(K5571,4)="CTAX",LEFT(K5571,2)="W|"),2*N5571*O5571,0)</f>
        <v/>
      </c>
      <c r="Z5571" s="12" t="inlineStr">
        <is>
          <t>5 sets per phase</t>
        </is>
      </c>
      <c r="AA5571" s="12">
        <f>N5571*O5571</f>
        <v/>
      </c>
    </row>
    <row r="5572">
      <c r="A5572" s="12" t="inlineStr">
        <is>
          <t>I-MV-0052</t>
        </is>
      </c>
      <c r="B5572" s="12" t="inlineStr">
        <is>
          <t>I</t>
        </is>
      </c>
      <c r="C5572" s="12" t="inlineStr">
        <is>
          <t>Modular / portable power</t>
        </is>
      </c>
      <c r="D5572" s="12" t="inlineStr">
        <is>
          <t>SC-1 generator neutral to the NGR (in the terminal-box enclosure)</t>
        </is>
      </c>
      <c r="E5572" s="12" t="inlineStr">
        <is>
          <t>SC-1</t>
        </is>
      </c>
      <c r="F5572" s="12" t="inlineStr">
        <is>
          <t>SC-1: aeroderivative simple-cycle unit (LM6000 class)</t>
        </is>
      </c>
      <c r="G5572" s="12" t="inlineStr"/>
      <c r="H5572" s="12" t="inlineStr">
        <is>
          <t>SC-1 PCM + 15 kV GCB</t>
        </is>
      </c>
      <c r="I5572" s="12" t="inlineStr">
        <is>
          <t>MV 15 kV</t>
        </is>
      </c>
      <c r="J5572" s="12" t="inlineStr">
        <is>
          <t>MV-105 15 kV 1/C Cu, EPR 133%, Cu tape shield, PVC jacket (triplexed)</t>
        </is>
      </c>
      <c r="K5572" s="12" t="inlineStr">
        <is>
          <t>MV15|1/C|2</t>
        </is>
      </c>
      <c r="L5572" s="12" t="inlineStr">
        <is>
          <t>1/C</t>
        </is>
      </c>
      <c r="M5572" s="12" t="inlineStr">
        <is>
          <t>2</t>
        </is>
      </c>
      <c r="N5572" s="12" t="n">
        <v>1</v>
      </c>
      <c r="O5572" s="12" t="n">
        <v>1</v>
      </c>
      <c r="P5572" s="12" t="n">
        <v>13800</v>
      </c>
      <c r="Q5572" s="12" t="n"/>
      <c r="R5572" s="12" t="n"/>
      <c r="S5572" s="12" t="inlineStr">
        <is>
          <t>Conduit</t>
        </is>
      </c>
      <c r="T5572" s="15" t="n">
        <v>15</v>
      </c>
      <c r="U5572" s="15" t="n">
        <v>10</v>
      </c>
      <c r="V5572" s="15">
        <f>ROUNDUP((T5572+U5572+2*'Read Me'!$B$13)*(1+'Read Me'!$B$12),-1)</f>
        <v/>
      </c>
      <c r="W5572" s="15">
        <f>V5572*N5572*O5572</f>
        <v/>
      </c>
      <c r="X5572" s="12">
        <f>IF(LEFT(I5572,2)="MV",2*N5572*IF(L5572="1/C",O5572,1),0)</f>
        <v/>
      </c>
      <c r="Y5572" s="12">
        <f>IF(OR(LEFT(K5572,4)="LVAX",LEFT(K5572,6)="MV15AX",LEFT(K5572,4)="CTAX",LEFT(K5572,2)="W|"),2*N5572*O5572,0)</f>
        <v/>
      </c>
      <c r="Z5572" s="12" t="inlineStr">
        <is>
          <t>neutral grounding resistor beside the generator enclosure</t>
        </is>
      </c>
      <c r="AA5572" s="12">
        <f>N5572*O5572</f>
        <v/>
      </c>
    </row>
    <row r="5573">
      <c r="A5573" s="12" t="inlineStr">
        <is>
          <t>I-MV-0053</t>
        </is>
      </c>
      <c r="B5573" s="12" t="inlineStr">
        <is>
          <t>I</t>
        </is>
      </c>
      <c r="C5573" s="12" t="inlineStr">
        <is>
          <t>Modular / portable power</t>
        </is>
      </c>
      <c r="D5573" s="12" t="inlineStr">
        <is>
          <t>SC-1 PCM auxiliary transformer primary, 2 MVA 13.8 kV / 480 V (from the GCB bus)</t>
        </is>
      </c>
      <c r="E5573" s="12" t="inlineStr"/>
      <c r="F5573" s="12" t="inlineStr">
        <is>
          <t>SC-1 PCM + 15 kV GCB</t>
        </is>
      </c>
      <c r="G5573" s="12" t="inlineStr"/>
      <c r="H5573" s="12" t="inlineStr">
        <is>
          <t>SC-1 PCM + 15 kV GCB</t>
        </is>
      </c>
      <c r="I5573" s="12" t="inlineStr">
        <is>
          <t>MV 15 kV</t>
        </is>
      </c>
      <c r="J5573" s="12" t="inlineStr">
        <is>
          <t>MV-105 15 kV 1/C Cu, EPR 133%, Cu tape shield, PVC jacket (triplexed)</t>
        </is>
      </c>
      <c r="K5573" s="12" t="inlineStr">
        <is>
          <t>MV15|1/C|2</t>
        </is>
      </c>
      <c r="L5573" s="12" t="inlineStr">
        <is>
          <t>1/C</t>
        </is>
      </c>
      <c r="M5573" s="12" t="inlineStr">
        <is>
          <t>2</t>
        </is>
      </c>
      <c r="N5573" s="12" t="n">
        <v>1</v>
      </c>
      <c r="O5573" s="12" t="n">
        <v>3</v>
      </c>
      <c r="P5573" s="12" t="n">
        <v>13800</v>
      </c>
      <c r="Q5573" s="12" t="n">
        <v>2000</v>
      </c>
      <c r="R5573" s="12" t="n">
        <v>84</v>
      </c>
      <c r="S5573" s="12" t="inlineStr">
        <is>
          <t>Tray</t>
        </is>
      </c>
      <c r="T5573" s="15" t="n">
        <v>0</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internal to the PCM; ~1.0-1.1 MW connected 480 V load + 0.5 MW conditional inlet chiller</t>
        </is>
      </c>
      <c r="AA5573" s="12">
        <f>N5573*O5573</f>
        <v/>
      </c>
    </row>
    <row r="5574">
      <c r="A5574" s="12" t="inlineStr">
        <is>
          <t>I-MV-0054</t>
        </is>
      </c>
      <c r="B5574" s="12" t="inlineStr">
        <is>
          <t>I</t>
        </is>
      </c>
      <c r="C5574" s="12" t="inlineStr">
        <is>
          <t>Modular / portable power</t>
        </is>
      </c>
      <c r="D5574" s="12" t="inlineStr">
        <is>
          <t>SC-2 (LM6000 class) generator leads to its PCM / GCB</t>
        </is>
      </c>
      <c r="E5574" s="12" t="inlineStr">
        <is>
          <t>SC-2</t>
        </is>
      </c>
      <c r="F5574" s="12" t="inlineStr">
        <is>
          <t>SC-2: aeroderivative simple-cycle unit (LM6000 class)</t>
        </is>
      </c>
      <c r="G5574" s="12" t="inlineStr"/>
      <c r="H5574" s="12" t="inlineStr">
        <is>
          <t>SC-2 PCM + 15 kV GCB</t>
        </is>
      </c>
      <c r="I5574" s="12" t="inlineStr">
        <is>
          <t>MV 15 kV</t>
        </is>
      </c>
      <c r="J5574" s="12" t="inlineStr">
        <is>
          <t>MV-105 15 kV 1/C Cu, EPR 133%, Cu tape shield, PVC jacket (triplexed)</t>
        </is>
      </c>
      <c r="K5574" s="12" t="inlineStr">
        <is>
          <t>MV15|1/C|1000</t>
        </is>
      </c>
      <c r="L5574" s="12" t="inlineStr">
        <is>
          <t>1/C</t>
        </is>
      </c>
      <c r="M5574" s="12" t="inlineStr">
        <is>
          <t>1000 kcmil</t>
        </is>
      </c>
      <c r="N5574" s="12" t="n">
        <v>5</v>
      </c>
      <c r="O5574" s="12" t="n">
        <v>3</v>
      </c>
      <c r="P5574" s="12" t="n">
        <v>13800</v>
      </c>
      <c r="Q5574" s="12" t="n">
        <v>50000</v>
      </c>
      <c r="R5574" s="12" t="n">
        <v>2324</v>
      </c>
      <c r="S5574" s="12" t="inlineStr">
        <is>
          <t>Duct bank</t>
        </is>
      </c>
      <c r="T5574" s="15" t="n">
        <v>35</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5 sets per phase</t>
        </is>
      </c>
      <c r="AA5574" s="12">
        <f>N5574*O5574</f>
        <v/>
      </c>
    </row>
    <row r="5575">
      <c r="A5575" s="12" t="inlineStr">
        <is>
          <t>I-MV-0055</t>
        </is>
      </c>
      <c r="B5575" s="12" t="inlineStr">
        <is>
          <t>I</t>
        </is>
      </c>
      <c r="C5575" s="12" t="inlineStr">
        <is>
          <t>Modular / portable power</t>
        </is>
      </c>
      <c r="D5575" s="12" t="inlineStr">
        <is>
          <t>SC-2 generator neutral to the NGR (in the terminal-box enclosure)</t>
        </is>
      </c>
      <c r="E5575" s="12" t="inlineStr">
        <is>
          <t>SC-2</t>
        </is>
      </c>
      <c r="F5575" s="12" t="inlineStr">
        <is>
          <t>SC-2: aeroderivative simple-cycle unit (LM6000 class)</t>
        </is>
      </c>
      <c r="G5575" s="12" t="inlineStr"/>
      <c r="H5575" s="12" t="inlineStr">
        <is>
          <t>SC-2 PCM + 15 kV GCB</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10</v>
      </c>
      <c r="V5575" s="15">
        <f>ROUNDUP((T5575+U5575+2*'Read Me'!$B$13)*(1+'Read Me'!$B$12),-1)</f>
        <v/>
      </c>
      <c r="W5575" s="15">
        <f>V5575*N5575*O5575</f>
        <v/>
      </c>
      <c r="X5575" s="12">
        <f>IF(LEFT(I5575,2)="MV",2*N5575*IF(L5575="1/C",O5575,1),0)</f>
        <v/>
      </c>
      <c r="Y5575" s="12">
        <f>IF(OR(LEFT(K5575,4)="LVAX",LEFT(K5575,6)="MV15AX",LEFT(K5575,4)="CTAX",LEFT(K5575,2)="W|"),2*N5575*O5575,0)</f>
        <v/>
      </c>
      <c r="Z5575" s="12" t="inlineStr">
        <is>
          <t>neutral grounding resistor beside the generator enclosure</t>
        </is>
      </c>
      <c r="AA5575" s="12">
        <f>N5575*O5575</f>
        <v/>
      </c>
    </row>
    <row r="5576">
      <c r="A5576" s="12" t="inlineStr">
        <is>
          <t>I-MV-0056</t>
        </is>
      </c>
      <c r="B5576" s="12" t="inlineStr">
        <is>
          <t>I</t>
        </is>
      </c>
      <c r="C5576" s="12" t="inlineStr">
        <is>
          <t>Modular / portable power</t>
        </is>
      </c>
      <c r="D5576" s="12" t="inlineStr">
        <is>
          <t>SC-2 PCM auxiliary transformer primary, 2 MVA 13.8 kV / 480 V (from the GCB bus)</t>
        </is>
      </c>
      <c r="E5576" s="12" t="inlineStr"/>
      <c r="F5576" s="12" t="inlineStr">
        <is>
          <t>SC-2 PCM + 15 kV GCB</t>
        </is>
      </c>
      <c r="G5576" s="12" t="inlineStr"/>
      <c r="H5576" s="12" t="inlineStr">
        <is>
          <t>SC-2 PCM + 15 kV GCB</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3</v>
      </c>
      <c r="P5576" s="12" t="n">
        <v>13800</v>
      </c>
      <c r="Q5576" s="12" t="n">
        <v>2000</v>
      </c>
      <c r="R5576" s="12" t="n">
        <v>84</v>
      </c>
      <c r="S5576" s="12" t="inlineStr">
        <is>
          <t>Tray</t>
        </is>
      </c>
      <c r="T5576" s="15" t="n">
        <v>0</v>
      </c>
      <c r="U5576" s="15" t="n">
        <v>32</v>
      </c>
      <c r="V5576" s="15">
        <f>ROUNDUP((T5576+U5576+2*'Read Me'!$B$13)*(1+'Read Me'!$B$12),-1)</f>
        <v/>
      </c>
      <c r="W5576" s="15">
        <f>V5576*N5576*O5576</f>
        <v/>
      </c>
      <c r="X5576" s="12">
        <f>IF(LEFT(I5576,2)="MV",2*N5576*IF(L5576="1/C",O5576,1),0)</f>
        <v/>
      </c>
      <c r="Y5576" s="12">
        <f>IF(OR(LEFT(K5576,4)="LVAX",LEFT(K5576,6)="MV15AX",LEFT(K5576,4)="CTAX",LEFT(K5576,2)="W|"),2*N5576*O5576,0)</f>
        <v/>
      </c>
      <c r="Z5576" s="12" t="inlineStr">
        <is>
          <t>internal to the PCM; ~1.0-1.1 MW connected 480 V load + 0.5 MW conditional inlet chiller</t>
        </is>
      </c>
      <c r="AA5576" s="12">
        <f>N5576*O5576</f>
        <v/>
      </c>
    </row>
    <row r="5577">
      <c r="A5577" s="12" t="inlineStr">
        <is>
          <t>I-MV-0057</t>
        </is>
      </c>
      <c r="B5577" s="12" t="inlineStr">
        <is>
          <t>I</t>
        </is>
      </c>
      <c r="C5577" s="12" t="inlineStr">
        <is>
          <t>Modular / portable power</t>
        </is>
      </c>
      <c r="D5577" s="12" t="inlineStr">
        <is>
          <t>SC-1 PCM (GCB) to SC-GSU-1</t>
        </is>
      </c>
      <c r="E5577" s="12" t="inlineStr"/>
      <c r="F5577" s="12" t="inlineStr">
        <is>
          <t>SC-1 PCM + 15 kV GCB</t>
        </is>
      </c>
      <c r="G5577" s="12" t="inlineStr">
        <is>
          <t>SC-GSU-1</t>
        </is>
      </c>
      <c r="H5577" s="12" t="inlineStr">
        <is>
          <t>SC-GSU-1: 13.8 / 34.5 kV unit step-up, ~60 MVA (SC-1)</t>
        </is>
      </c>
      <c r="I5577" s="12" t="inlineStr">
        <is>
          <t>MV 15 kV</t>
        </is>
      </c>
      <c r="J5577" s="12" t="inlineStr">
        <is>
          <t>MV-105 15 kV 1/C Cu, EPR 133%, Cu tape shield, PVC jacket (triplexed)</t>
        </is>
      </c>
      <c r="K5577" s="12" t="inlineStr">
        <is>
          <t>MV15|1/C|1000</t>
        </is>
      </c>
      <c r="L5577" s="12" t="inlineStr">
        <is>
          <t>1/C</t>
        </is>
      </c>
      <c r="M5577" s="12" t="inlineStr">
        <is>
          <t>1000 kcmil</t>
        </is>
      </c>
      <c r="N5577" s="12" t="n">
        <v>5</v>
      </c>
      <c r="O5577" s="12" t="n">
        <v>3</v>
      </c>
      <c r="P5577" s="12" t="n">
        <v>13800</v>
      </c>
      <c r="Q5577" s="12" t="n">
        <v>50000</v>
      </c>
      <c r="R5577" s="12" t="n">
        <v>2324</v>
      </c>
      <c r="S5577" s="12" t="inlineStr">
        <is>
          <t>Duct bank</t>
        </is>
      </c>
      <c r="T5577" s="15" t="n">
        <v>55</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5 sets per phase</t>
        </is>
      </c>
      <c r="AA5577" s="12">
        <f>N5577*O5577</f>
        <v/>
      </c>
    </row>
    <row r="5578">
      <c r="A5578" s="12" t="inlineStr">
        <is>
          <t>I-MV-0058</t>
        </is>
      </c>
      <c r="B5578" s="12" t="inlineStr">
        <is>
          <t>I</t>
        </is>
      </c>
      <c r="C5578" s="12" t="inlineStr">
        <is>
          <t>Modular / portable power</t>
        </is>
      </c>
      <c r="D5578" s="12" t="inlineStr">
        <is>
          <t>SC-2 PCM (GCB) to SC-GSU-2</t>
        </is>
      </c>
      <c r="E5578" s="12" t="inlineStr"/>
      <c r="F5578" s="12" t="inlineStr">
        <is>
          <t>SC-2 PCM + 15 kV GCB</t>
        </is>
      </c>
      <c r="G5578" s="12" t="inlineStr">
        <is>
          <t>SC-GSU-2</t>
        </is>
      </c>
      <c r="H5578" s="12" t="inlineStr">
        <is>
          <t>SC-GSU-2: 13.8 / 34.5 kV unit step-up, ~60 MVA (SC-2)</t>
        </is>
      </c>
      <c r="I5578" s="12" t="inlineStr">
        <is>
          <t>MV 15 kV</t>
        </is>
      </c>
      <c r="J5578" s="12" t="inlineStr">
        <is>
          <t>MV-105 15 kV 1/C Cu, EPR 133%, Cu tape shield, PVC jacket (triplexed)</t>
        </is>
      </c>
      <c r="K5578" s="12" t="inlineStr">
        <is>
          <t>MV15|1/C|1000</t>
        </is>
      </c>
      <c r="L5578" s="12" t="inlineStr">
        <is>
          <t>1/C</t>
        </is>
      </c>
      <c r="M5578" s="12" t="inlineStr">
        <is>
          <t>1000 kcmil</t>
        </is>
      </c>
      <c r="N5578" s="12" t="n">
        <v>5</v>
      </c>
      <c r="O5578" s="12" t="n">
        <v>3</v>
      </c>
      <c r="P5578" s="12" t="n">
        <v>13800</v>
      </c>
      <c r="Q5578" s="12" t="n">
        <v>50000</v>
      </c>
      <c r="R5578" s="12" t="n">
        <v>2324</v>
      </c>
      <c r="S5578" s="12" t="inlineStr">
        <is>
          <t>Duct bank</t>
        </is>
      </c>
      <c r="T5578" s="15" t="n">
        <v>48</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5 sets per phase</t>
        </is>
      </c>
      <c r="AA5578" s="12">
        <f>N5578*O5578</f>
        <v/>
      </c>
    </row>
    <row r="5579">
      <c r="A5579" s="12" t="inlineStr">
        <is>
          <t>I-MV-0059</t>
        </is>
      </c>
      <c r="B5579" s="12" t="inlineStr">
        <is>
          <t>I</t>
        </is>
      </c>
      <c r="C5579" s="12" t="inlineStr">
        <is>
          <t>Modular / portable power</t>
        </is>
      </c>
      <c r="D5579" s="12" t="inlineStr">
        <is>
          <t>TGF-1 generator neutral to its high-resistance grounding resistor (in the package)</t>
        </is>
      </c>
      <c r="E5579" s="12" t="inlineStr">
        <is>
          <t>TGF-1</t>
        </is>
      </c>
      <c r="F5579" s="12" t="inlineStr">
        <is>
          <t xml:space="preserve">TGF-1: trailer-mounted gas-engine generator ~2.5 MW, 13.8 kV (trailer </t>
        </is>
      </c>
      <c r="G5579" s="12" t="inlineStr">
        <is>
          <t>TGF-1</t>
        </is>
      </c>
      <c r="H5579" s="12" t="inlineStr">
        <is>
          <t xml:space="preserve">TGF-1: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I-MV-0060</t>
        </is>
      </c>
      <c r="B5580" s="12" t="inlineStr">
        <is>
          <t>I</t>
        </is>
      </c>
      <c r="C5580" s="12" t="inlineStr">
        <is>
          <t>Modular / portable power</t>
        </is>
      </c>
      <c r="D5580" s="12" t="inlineStr">
        <is>
          <t>TGF-2 generator neutral to its high-resistance grounding resistor (in the package)</t>
        </is>
      </c>
      <c r="E5580" s="12" t="inlineStr">
        <is>
          <t>TGF-2</t>
        </is>
      </c>
      <c r="F5580" s="12" t="inlineStr">
        <is>
          <t xml:space="preserve">TGF-2: trailer-mounted gas-engine generator ~2.5 MW, 13.8 kV (trailer </t>
        </is>
      </c>
      <c r="G5580" s="12" t="inlineStr">
        <is>
          <t>TGF-2</t>
        </is>
      </c>
      <c r="H5580" s="12" t="inlineStr">
        <is>
          <t xml:space="preserve">TGF-2: trailer-mounted gas-engine generator ~2.5 MW, 13.8 kV (trailer </t>
        </is>
      </c>
      <c r="I5580" s="12" t="inlineStr">
        <is>
          <t>MV 15 kV</t>
        </is>
      </c>
      <c r="J5580" s="12" t="inlineStr">
        <is>
          <t>MV-105 15 kV 1/C Cu, EPR 133%, Cu tape shield, PVC jacket (triplexed)</t>
        </is>
      </c>
      <c r="K5580" s="12" t="inlineStr">
        <is>
          <t>MV15|1/C|2</t>
        </is>
      </c>
      <c r="L5580" s="12" t="inlineStr">
        <is>
          <t>1/C</t>
        </is>
      </c>
      <c r="M5580" s="12" t="inlineStr">
        <is>
          <t>2</t>
        </is>
      </c>
      <c r="N5580" s="12" t="n">
        <v>1</v>
      </c>
      <c r="O5580" s="12" t="n">
        <v>1</v>
      </c>
      <c r="P5580" s="12" t="n">
        <v>13800</v>
      </c>
      <c r="Q5580" s="12" t="n"/>
      <c r="R5580" s="12" t="n"/>
      <c r="S5580" s="12" t="inlineStr">
        <is>
          <t>Conduit</t>
        </is>
      </c>
      <c r="T5580" s="15" t="n">
        <v>15</v>
      </c>
      <c r="U5580" s="15" t="n">
        <v>5</v>
      </c>
      <c r="V5580" s="15">
        <f>ROUNDUP((T5580+U5580+2*'Read Me'!$B$13)*(1+'Read Me'!$B$12),-1)</f>
        <v/>
      </c>
      <c r="W5580" s="15">
        <f>V5580*N5580*O5580</f>
        <v/>
      </c>
      <c r="X5580" s="12">
        <f>IF(LEFT(I5580,2)="MV",2*N5580*IF(L5580="1/C",O5580,1),0)</f>
        <v/>
      </c>
      <c r="Y5580" s="12">
        <f>IF(OR(LEFT(K5580,4)="LVAX",LEFT(K5580,6)="MV15AX",LEFT(K5580,4)="CTAX",LEFT(K5580,2)="W|"),2*N5580*O5580,0)</f>
        <v/>
      </c>
      <c r="Z5580" s="12" t="inlineStr">
        <is>
          <t>NGR in the generator / terminal-box enclosure</t>
        </is>
      </c>
      <c r="AA5580" s="12">
        <f>N5580*O5580</f>
        <v/>
      </c>
    </row>
    <row r="5581">
      <c r="A5581" s="12" t="inlineStr">
        <is>
          <t>I-MV-0061</t>
        </is>
      </c>
      <c r="B5581" s="12" t="inlineStr">
        <is>
          <t>I</t>
        </is>
      </c>
      <c r="C5581" s="12" t="inlineStr">
        <is>
          <t>Modular / portable power</t>
        </is>
      </c>
      <c r="D5581" s="12" t="inlineStr">
        <is>
          <t>TGF-3 generator neutral to its high-resistance grounding resistor (in the package)</t>
        </is>
      </c>
      <c r="E5581" s="12" t="inlineStr">
        <is>
          <t>TGF-3</t>
        </is>
      </c>
      <c r="F5581" s="12" t="inlineStr">
        <is>
          <t xml:space="preserve">TGF-3: trailer-mounted gas-engine generator ~2.5 MW, 13.8 kV (trailer </t>
        </is>
      </c>
      <c r="G5581" s="12" t="inlineStr">
        <is>
          <t>TGF-3</t>
        </is>
      </c>
      <c r="H5581" s="12" t="inlineStr">
        <is>
          <t xml:space="preserve">TGF-3: trailer-mounted gas-engine generator ~2.5 MW, 13.8 kV (trailer </t>
        </is>
      </c>
      <c r="I5581" s="12" t="inlineStr">
        <is>
          <t>MV 15 kV</t>
        </is>
      </c>
      <c r="J5581" s="12" t="inlineStr">
        <is>
          <t>MV-105 15 kV 1/C Cu, EPR 133%, Cu tape shield, PVC jacket (triplexed)</t>
        </is>
      </c>
      <c r="K5581" s="12" t="inlineStr">
        <is>
          <t>MV15|1/C|2</t>
        </is>
      </c>
      <c r="L5581" s="12" t="inlineStr">
        <is>
          <t>1/C</t>
        </is>
      </c>
      <c r="M5581" s="12" t="inlineStr">
        <is>
          <t>2</t>
        </is>
      </c>
      <c r="N5581" s="12" t="n">
        <v>1</v>
      </c>
      <c r="O5581" s="12" t="n">
        <v>1</v>
      </c>
      <c r="P5581" s="12" t="n">
        <v>13800</v>
      </c>
      <c r="Q5581" s="12" t="n"/>
      <c r="R5581" s="12" t="n"/>
      <c r="S5581" s="12" t="inlineStr">
        <is>
          <t>Conduit</t>
        </is>
      </c>
      <c r="T5581" s="15" t="n">
        <v>15</v>
      </c>
      <c r="U5581" s="15" t="n">
        <v>5</v>
      </c>
      <c r="V5581" s="15">
        <f>ROUNDUP((T5581+U5581+2*'Read Me'!$B$13)*(1+'Read Me'!$B$12),-1)</f>
        <v/>
      </c>
      <c r="W5581" s="15">
        <f>V5581*N5581*O5581</f>
        <v/>
      </c>
      <c r="X5581" s="12">
        <f>IF(LEFT(I5581,2)="MV",2*N5581*IF(L5581="1/C",O5581,1),0)</f>
        <v/>
      </c>
      <c r="Y5581" s="12">
        <f>IF(OR(LEFT(K5581,4)="LVAX",LEFT(K5581,6)="MV15AX",LEFT(K5581,4)="CTAX",LEFT(K5581,2)="W|"),2*N5581*O5581,0)</f>
        <v/>
      </c>
      <c r="Z5581" s="12" t="inlineStr">
        <is>
          <t>NGR in the generator / terminal-box enclosure</t>
        </is>
      </c>
      <c r="AA5581" s="12">
        <f>N5581*O5581</f>
        <v/>
      </c>
    </row>
    <row r="5582">
      <c r="A5582" s="12" t="inlineStr">
        <is>
          <t>I-MV-0062</t>
        </is>
      </c>
      <c r="B5582" s="12" t="inlineStr">
        <is>
          <t>I</t>
        </is>
      </c>
      <c r="C5582" s="12" t="inlineStr">
        <is>
          <t>Modular / portable power</t>
        </is>
      </c>
      <c r="D5582" s="12" t="inlineStr">
        <is>
          <t>TGF-4 generator neutral to its high-resistance grounding resistor (in the package)</t>
        </is>
      </c>
      <c r="E5582" s="12" t="inlineStr">
        <is>
          <t>TGF-4</t>
        </is>
      </c>
      <c r="F5582" s="12" t="inlineStr">
        <is>
          <t xml:space="preserve">TGF-4: trailer-mounted gas-engine generator ~2.5 MW, 13.8 kV (trailer </t>
        </is>
      </c>
      <c r="G5582" s="12" t="inlineStr">
        <is>
          <t>TGF-4</t>
        </is>
      </c>
      <c r="H5582" s="12" t="inlineStr">
        <is>
          <t xml:space="preserve">TGF-4: trailer-mounted gas-engine generator ~2.5 MW, 13.8 kV (trailer </t>
        </is>
      </c>
      <c r="I5582" s="12" t="inlineStr">
        <is>
          <t>MV 15 kV</t>
        </is>
      </c>
      <c r="J5582" s="12" t="inlineStr">
        <is>
          <t>MV-105 15 kV 1/C Cu, EPR 133%, Cu tape shield, PVC jacket (triplexed)</t>
        </is>
      </c>
      <c r="K5582" s="12" t="inlineStr">
        <is>
          <t>MV15|1/C|2</t>
        </is>
      </c>
      <c r="L5582" s="12" t="inlineStr">
        <is>
          <t>1/C</t>
        </is>
      </c>
      <c r="M5582" s="12" t="inlineStr">
        <is>
          <t>2</t>
        </is>
      </c>
      <c r="N5582" s="12" t="n">
        <v>1</v>
      </c>
      <c r="O5582" s="12" t="n">
        <v>1</v>
      </c>
      <c r="P5582" s="12" t="n">
        <v>13800</v>
      </c>
      <c r="Q5582" s="12" t="n"/>
      <c r="R5582" s="12" t="n"/>
      <c r="S5582" s="12" t="inlineStr">
        <is>
          <t>Conduit</t>
        </is>
      </c>
      <c r="T5582" s="15" t="n">
        <v>15</v>
      </c>
      <c r="U5582" s="15" t="n">
        <v>5</v>
      </c>
      <c r="V5582" s="15">
        <f>ROUNDUP((T5582+U5582+2*'Read Me'!$B$13)*(1+'Read Me'!$B$12),-1)</f>
        <v/>
      </c>
      <c r="W5582" s="15">
        <f>V5582*N5582*O5582</f>
        <v/>
      </c>
      <c r="X5582" s="12">
        <f>IF(LEFT(I5582,2)="MV",2*N5582*IF(L5582="1/C",O5582,1),0)</f>
        <v/>
      </c>
      <c r="Y5582" s="12">
        <f>IF(OR(LEFT(K5582,4)="LVAX",LEFT(K5582,6)="MV15AX",LEFT(K5582,4)="CTAX",LEFT(K5582,2)="W|"),2*N5582*O5582,0)</f>
        <v/>
      </c>
      <c r="Z5582" s="12" t="inlineStr">
        <is>
          <t>NGR in the generator / terminal-box enclosure</t>
        </is>
      </c>
      <c r="AA5582" s="12">
        <f>N5582*O5582</f>
        <v/>
      </c>
    </row>
    <row r="5583">
      <c r="A5583" s="12" t="inlineStr">
        <is>
          <t>I-MV-0063</t>
        </is>
      </c>
      <c r="B5583" s="12" t="inlineStr">
        <is>
          <t>I</t>
        </is>
      </c>
      <c r="C5583" s="12" t="inlineStr">
        <is>
          <t>Modular / portable power</t>
        </is>
      </c>
      <c r="D5583" s="12" t="inlineStr">
        <is>
          <t>TGF-5 generator neutral to its high-resistance grounding resistor (in the package)</t>
        </is>
      </c>
      <c r="E5583" s="12" t="inlineStr">
        <is>
          <t>TGF-5</t>
        </is>
      </c>
      <c r="F5583" s="12" t="inlineStr">
        <is>
          <t xml:space="preserve">TGF-5: trailer-mounted gas-engine generator ~2.5 MW, 13.8 kV (trailer </t>
        </is>
      </c>
      <c r="G5583" s="12" t="inlineStr">
        <is>
          <t>TGF-5</t>
        </is>
      </c>
      <c r="H5583" s="12" t="inlineStr">
        <is>
          <t xml:space="preserve">TGF-5: trailer-mounted gas-engine generator ~2.5 MW, 13.8 kV (trailer </t>
        </is>
      </c>
      <c r="I5583" s="12" t="inlineStr">
        <is>
          <t>MV 15 kV</t>
        </is>
      </c>
      <c r="J5583" s="12" t="inlineStr">
        <is>
          <t>MV-105 15 kV 1/C Cu, EPR 133%, Cu tape shield, PVC jacket (triplexed)</t>
        </is>
      </c>
      <c r="K5583" s="12" t="inlineStr">
        <is>
          <t>MV15|1/C|2</t>
        </is>
      </c>
      <c r="L5583" s="12" t="inlineStr">
        <is>
          <t>1/C</t>
        </is>
      </c>
      <c r="M5583" s="12" t="inlineStr">
        <is>
          <t>2</t>
        </is>
      </c>
      <c r="N5583" s="12" t="n">
        <v>1</v>
      </c>
      <c r="O5583" s="12" t="n">
        <v>1</v>
      </c>
      <c r="P5583" s="12" t="n">
        <v>13800</v>
      </c>
      <c r="Q5583" s="12" t="n"/>
      <c r="R5583" s="12" t="n"/>
      <c r="S5583" s="12" t="inlineStr">
        <is>
          <t>Conduit</t>
        </is>
      </c>
      <c r="T5583" s="15" t="n">
        <v>15</v>
      </c>
      <c r="U5583" s="15" t="n">
        <v>5</v>
      </c>
      <c r="V5583" s="15">
        <f>ROUNDUP((T5583+U5583+2*'Read Me'!$B$13)*(1+'Read Me'!$B$12),-1)</f>
        <v/>
      </c>
      <c r="W5583" s="15">
        <f>V5583*N5583*O5583</f>
        <v/>
      </c>
      <c r="X5583" s="12">
        <f>IF(LEFT(I5583,2)="MV",2*N5583*IF(L5583="1/C",O5583,1),0)</f>
        <v/>
      </c>
      <c r="Y5583" s="12">
        <f>IF(OR(LEFT(K5583,4)="LVAX",LEFT(K5583,6)="MV15AX",LEFT(K5583,4)="CTAX",LEFT(K5583,2)="W|"),2*N5583*O5583,0)</f>
        <v/>
      </c>
      <c r="Z5583" s="12" t="inlineStr">
        <is>
          <t>NGR in the generator / terminal-box enclosure</t>
        </is>
      </c>
      <c r="AA5583" s="12">
        <f>N5583*O5583</f>
        <v/>
      </c>
    </row>
    <row r="5584">
      <c r="A5584" s="12" t="inlineStr">
        <is>
          <t>I-MV-0064</t>
        </is>
      </c>
      <c r="B5584" s="12" t="inlineStr">
        <is>
          <t>I</t>
        </is>
      </c>
      <c r="C5584" s="12" t="inlineStr">
        <is>
          <t>Modular / portable power</t>
        </is>
      </c>
      <c r="D5584" s="12" t="inlineStr">
        <is>
          <t>TGF-6 generator neutral to its high-resistance grounding resistor (in the package)</t>
        </is>
      </c>
      <c r="E5584" s="12" t="inlineStr">
        <is>
          <t>TGF-6</t>
        </is>
      </c>
      <c r="F5584" s="12" t="inlineStr">
        <is>
          <t xml:space="preserve">TGF-6: trailer-mounted gas-engine generator ~2.5 MW, 13.8 kV (trailer </t>
        </is>
      </c>
      <c r="G5584" s="12" t="inlineStr">
        <is>
          <t>TGF-6</t>
        </is>
      </c>
      <c r="H5584" s="12" t="inlineStr">
        <is>
          <t xml:space="preserve">TGF-6: trailer-mounted gas-engine generator ~2.5 MW, 13.8 kV (trailer </t>
        </is>
      </c>
      <c r="I5584" s="12" t="inlineStr">
        <is>
          <t>MV 15 kV</t>
        </is>
      </c>
      <c r="J5584" s="12" t="inlineStr">
        <is>
          <t>MV-105 15 kV 1/C Cu, EPR 133%, Cu tape shield, PVC jacket (triplexed)</t>
        </is>
      </c>
      <c r="K5584" s="12" t="inlineStr">
        <is>
          <t>MV15|1/C|2</t>
        </is>
      </c>
      <c r="L5584" s="12" t="inlineStr">
        <is>
          <t>1/C</t>
        </is>
      </c>
      <c r="M5584" s="12" t="inlineStr">
        <is>
          <t>2</t>
        </is>
      </c>
      <c r="N5584" s="12" t="n">
        <v>1</v>
      </c>
      <c r="O5584" s="12" t="n">
        <v>1</v>
      </c>
      <c r="P5584" s="12" t="n">
        <v>13800</v>
      </c>
      <c r="Q5584" s="12" t="n"/>
      <c r="R5584" s="12" t="n"/>
      <c r="S5584" s="12" t="inlineStr">
        <is>
          <t>Conduit</t>
        </is>
      </c>
      <c r="T5584" s="15" t="n">
        <v>15</v>
      </c>
      <c r="U5584" s="15" t="n">
        <v>5</v>
      </c>
      <c r="V5584" s="15">
        <f>ROUNDUP((T5584+U5584+2*'Read Me'!$B$13)*(1+'Read Me'!$B$12),-1)</f>
        <v/>
      </c>
      <c r="W5584" s="15">
        <f>V5584*N5584*O5584</f>
        <v/>
      </c>
      <c r="X5584" s="12">
        <f>IF(LEFT(I5584,2)="MV",2*N5584*IF(L5584="1/C",O5584,1),0)</f>
        <v/>
      </c>
      <c r="Y5584" s="12">
        <f>IF(OR(LEFT(K5584,4)="LVAX",LEFT(K5584,6)="MV15AX",LEFT(K5584,4)="CTAX",LEFT(K5584,2)="W|"),2*N5584*O5584,0)</f>
        <v/>
      </c>
      <c r="Z5584" s="12" t="inlineStr">
        <is>
          <t>NGR in the generator / terminal-box enclosure</t>
        </is>
      </c>
      <c r="AA5584" s="12">
        <f>N5584*O5584</f>
        <v/>
      </c>
    </row>
    <row r="5585">
      <c r="A5585" s="12" t="inlineStr">
        <is>
          <t>I-MV-0065</t>
        </is>
      </c>
      <c r="B5585" s="12" t="inlineStr">
        <is>
          <t>I</t>
        </is>
      </c>
      <c r="C5585" s="12" t="inlineStr">
        <is>
          <t>Modular / portable power</t>
        </is>
      </c>
      <c r="D5585" s="12" t="inlineStr">
        <is>
          <t>TGF-SWG 13.8 kV to TGF-GSU</t>
        </is>
      </c>
      <c r="E5585" s="12" t="inlineStr">
        <is>
          <t>TGF-SWG</t>
        </is>
      </c>
      <c r="F5585" s="12" t="inlineStr">
        <is>
          <t>TGF-SWG: mobile 13.8 kV switchgear trailer (fleet collector)</t>
        </is>
      </c>
      <c r="G5585" s="12" t="inlineStr">
        <is>
          <t>TGF-GSU</t>
        </is>
      </c>
      <c r="H5585" s="12" t="inlineStr">
        <is>
          <t>TGF-GSU: 13.8 / 34.5 kV step-up, ~20 MVA (trailer fleet)</t>
        </is>
      </c>
      <c r="I5585" s="12" t="inlineStr">
        <is>
          <t>MV 15 kV</t>
        </is>
      </c>
      <c r="J5585" s="12" t="inlineStr">
        <is>
          <t>MV-105 15 kV 1/C Cu, EPR 133%, Cu tape shield, PVC jacket (triplexed)</t>
        </is>
      </c>
      <c r="K5585" s="12" t="inlineStr">
        <is>
          <t>MV15|1/C|500</t>
        </is>
      </c>
      <c r="L5585" s="12" t="inlineStr">
        <is>
          <t>1/C</t>
        </is>
      </c>
      <c r="M5585" s="12" t="inlineStr">
        <is>
          <t>500 kcmil</t>
        </is>
      </c>
      <c r="N5585" s="12" t="n">
        <v>2</v>
      </c>
      <c r="O5585" s="12" t="n">
        <v>3</v>
      </c>
      <c r="P5585" s="12" t="n">
        <v>13800</v>
      </c>
      <c r="Q5585" s="12" t="n">
        <v>15000</v>
      </c>
      <c r="R5585" s="12" t="n">
        <v>697</v>
      </c>
      <c r="S5585" s="12" t="inlineStr">
        <is>
          <t>Surface</t>
        </is>
      </c>
      <c r="T5585" s="15" t="n">
        <v>36</v>
      </c>
      <c r="U5585" s="15" t="n">
        <v>27</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I-MV-0066</t>
        </is>
      </c>
      <c r="B5586" s="12" t="inlineStr">
        <is>
          <t>I</t>
        </is>
      </c>
      <c r="C5586" s="12" t="inlineStr">
        <is>
          <t>Modular / portable power</t>
        </is>
      </c>
      <c r="D5586" s="12" t="inlineStr">
        <is>
          <t>L3 35 kV collector loop, segment 1 of 5 (SWG-MY to GBT-1)</t>
        </is>
      </c>
      <c r="E5586" s="12" t="inlineStr">
        <is>
          <t>SWG-MY</t>
        </is>
      </c>
      <c r="F5586" s="12" t="inlineStr">
        <is>
          <t xml:space="preserve">SWG-MY: 35 kV switchgear lineup for the modular blocks (group breaker </t>
        </is>
      </c>
      <c r="G5586" s="12" t="inlineStr">
        <is>
          <t>GBT-1</t>
        </is>
      </c>
      <c r="H5586" s="12" t="inlineStr">
        <is>
          <t>GBT-1: block GB-1 step-up 480 V : 34.5 kV, ~3 MVA pad-mount (on the 35</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1</v>
      </c>
      <c r="O5586" s="12" t="n">
        <v>3</v>
      </c>
      <c r="P5586" s="12" t="n">
        <v>34500</v>
      </c>
      <c r="Q5586" s="12" t="n">
        <v>10000</v>
      </c>
      <c r="R5586" s="12" t="n">
        <v>167</v>
      </c>
      <c r="S5586" s="12" t="inlineStr">
        <is>
          <t>Duct bank</t>
        </is>
      </c>
      <c r="T5586" s="15" t="n">
        <v>181</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loop conductor 750 kcmil Al, 133 % (WORKING ASSUMPTION)</t>
        </is>
      </c>
      <c r="AA5586" s="12">
        <f>N5586*O5586</f>
        <v/>
      </c>
    </row>
    <row r="5587">
      <c r="A5587" s="12" t="inlineStr">
        <is>
          <t>I-MV-0067</t>
        </is>
      </c>
      <c r="B5587" s="12" t="inlineStr">
        <is>
          <t>I</t>
        </is>
      </c>
      <c r="C5587" s="12" t="inlineStr">
        <is>
          <t>Modular / portable power</t>
        </is>
      </c>
      <c r="D5587" s="12" t="inlineStr">
        <is>
          <t>L3 35 kV collector loop, segment 2 of 5 (GBT-1 to GBT-2)</t>
        </is>
      </c>
      <c r="E5587" s="12" t="inlineStr">
        <is>
          <t>GBT-1</t>
        </is>
      </c>
      <c r="F5587" s="12" t="inlineStr">
        <is>
          <t>GBT-1: block GB-1 step-up 480 V : 34.5 kV, ~3 MVA pad-mount (on the 35</t>
        </is>
      </c>
      <c r="G5587" s="12" t="inlineStr">
        <is>
          <t>GBT-2</t>
        </is>
      </c>
      <c r="H5587" s="12" t="inlineStr">
        <is>
          <t>GBT-2: block GB-2 step-up 480 V : 34.5 kV, ~3 MVA pad-mount (on the 35</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1</v>
      </c>
      <c r="O5587" s="12" t="n">
        <v>3</v>
      </c>
      <c r="P5587" s="12" t="n">
        <v>34500</v>
      </c>
      <c r="Q5587" s="12" t="n">
        <v>10000</v>
      </c>
      <c r="R5587" s="12" t="n">
        <v>167</v>
      </c>
      <c r="S5587" s="12" t="inlineStr">
        <is>
          <t>Surface</t>
        </is>
      </c>
      <c r="T5587" s="15" t="n">
        <v>78</v>
      </c>
      <c r="U5587" s="15" t="n">
        <v>37</v>
      </c>
      <c r="V5587" s="15">
        <f>ROUNDUP((T5587+U5587+2*'Read Me'!$B$13)*(1+'Read Me'!$B$12),-1)</f>
        <v/>
      </c>
      <c r="W5587" s="15">
        <f>V5587*N5587*O5587</f>
        <v/>
      </c>
      <c r="X5587" s="12">
        <f>IF(LEFT(I5587,2)="MV",2*N5587*IF(L5587="1/C",O5587,1),0)</f>
        <v/>
      </c>
      <c r="Y5587" s="12">
        <f>IF(OR(LEFT(K5587,4)="LVAX",LEFT(K5587,6)="MV15AX",LEFT(K5587,4)="CTAX",LEFT(K5587,2)="W|"),2*N5587*O5587,0)</f>
        <v/>
      </c>
      <c r="Z5587" s="12" t="inlineStr">
        <is>
          <t>loop conductor 750 kcmil Al, 133 % (WORKING ASSUMPTION)</t>
        </is>
      </c>
      <c r="AA5587" s="12">
        <f>N5587*O5587</f>
        <v/>
      </c>
    </row>
    <row r="5588">
      <c r="A5588" s="12" t="inlineStr">
        <is>
          <t>I-MV-0068</t>
        </is>
      </c>
      <c r="B5588" s="12" t="inlineStr">
        <is>
          <t>I</t>
        </is>
      </c>
      <c r="C5588" s="12" t="inlineStr">
        <is>
          <t>Modular / portable power</t>
        </is>
      </c>
      <c r="D5588" s="12" t="inlineStr">
        <is>
          <t>L3 35 kV collector loop, segment 3 of 5 (GBT-2 to GBT-3)</t>
        </is>
      </c>
      <c r="E5588" s="12" t="inlineStr">
        <is>
          <t>GBT-2</t>
        </is>
      </c>
      <c r="F5588" s="12" t="inlineStr">
        <is>
          <t>GBT-2: block GB-2 step-up 480 V : 34.5 kV, ~3 MVA pad-mount (on the 35</t>
        </is>
      </c>
      <c r="G5588" s="12" t="inlineStr">
        <is>
          <t>GBT-3</t>
        </is>
      </c>
      <c r="H5588" s="12" t="inlineStr">
        <is>
          <t>GBT-3: block GB-3 step-up 480 V : 34.5 kV, ~3 MVA pad-mount (on the 35</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1</v>
      </c>
      <c r="O5588" s="12" t="n">
        <v>3</v>
      </c>
      <c r="P5588" s="12" t="n">
        <v>34500</v>
      </c>
      <c r="Q5588" s="12" t="n">
        <v>10000</v>
      </c>
      <c r="R5588" s="12" t="n">
        <v>167</v>
      </c>
      <c r="S5588" s="12" t="inlineStr">
        <is>
          <t>Surface</t>
        </is>
      </c>
      <c r="T5588" s="15" t="n">
        <v>28</v>
      </c>
      <c r="U5588" s="15" t="n">
        <v>27</v>
      </c>
      <c r="V5588" s="15">
        <f>ROUNDUP((T5588+U5588+2*'Read Me'!$B$13)*(1+'Read Me'!$B$12),-1)</f>
        <v/>
      </c>
      <c r="W5588" s="15">
        <f>V5588*N5588*O5588</f>
        <v/>
      </c>
      <c r="X5588" s="12">
        <f>IF(LEFT(I5588,2)="MV",2*N5588*IF(L5588="1/C",O5588,1),0)</f>
        <v/>
      </c>
      <c r="Y5588" s="12">
        <f>IF(OR(LEFT(K5588,4)="LVAX",LEFT(K5588,6)="MV15AX",LEFT(K5588,4)="CTAX",LEFT(K5588,2)="W|"),2*N5588*O5588,0)</f>
        <v/>
      </c>
      <c r="Z5588" s="12" t="inlineStr">
        <is>
          <t>loop conductor 750 kcmil Al, 133 % (WORKING ASSUMPTION)</t>
        </is>
      </c>
      <c r="AA5588" s="12">
        <f>N5588*O5588</f>
        <v/>
      </c>
    </row>
    <row r="5589">
      <c r="A5589" s="12" t="inlineStr">
        <is>
          <t>I-MV-0069</t>
        </is>
      </c>
      <c r="B5589" s="12" t="inlineStr">
        <is>
          <t>I</t>
        </is>
      </c>
      <c r="C5589" s="12" t="inlineStr">
        <is>
          <t>Modular / portable power</t>
        </is>
      </c>
      <c r="D5589" s="12" t="inlineStr">
        <is>
          <t>L3 35 kV collector loop, segment 4 of 5 (GBT-3 to GBT-4)</t>
        </is>
      </c>
      <c r="E5589" s="12" t="inlineStr">
        <is>
          <t>GBT-3</t>
        </is>
      </c>
      <c r="F5589" s="12" t="inlineStr">
        <is>
          <t>GBT-3: block GB-3 step-up 480 V : 34.5 kV, ~3 MVA pad-mount (on the 35</t>
        </is>
      </c>
      <c r="G5589" s="12" t="inlineStr">
        <is>
          <t>GBT-4</t>
        </is>
      </c>
      <c r="H5589" s="12" t="inlineStr">
        <is>
          <t>GBT-4: block GB-4 step-up 480 V : 34.5 kV, ~3 MVA pad-mount (on the 35</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1</v>
      </c>
      <c r="O5589" s="12" t="n">
        <v>3</v>
      </c>
      <c r="P5589" s="12" t="n">
        <v>34500</v>
      </c>
      <c r="Q5589" s="12" t="n">
        <v>10000</v>
      </c>
      <c r="R5589" s="12" t="n">
        <v>167</v>
      </c>
      <c r="S5589" s="12" t="inlineStr">
        <is>
          <t>Surface</t>
        </is>
      </c>
      <c r="T5589" s="15" t="n">
        <v>79</v>
      </c>
      <c r="U5589" s="15" t="n">
        <v>37</v>
      </c>
      <c r="V5589" s="15">
        <f>ROUNDUP((T5589+U5589+2*'Read Me'!$B$13)*(1+'Read Me'!$B$12),-1)</f>
        <v/>
      </c>
      <c r="W5589" s="15">
        <f>V5589*N5589*O5589</f>
        <v/>
      </c>
      <c r="X5589" s="12">
        <f>IF(LEFT(I5589,2)="MV",2*N5589*IF(L5589="1/C",O5589,1),0)</f>
        <v/>
      </c>
      <c r="Y5589" s="12">
        <f>IF(OR(LEFT(K5589,4)="LVAX",LEFT(K5589,6)="MV15AX",LEFT(K5589,4)="CTAX",LEFT(K5589,2)="W|"),2*N5589*O5589,0)</f>
        <v/>
      </c>
      <c r="Z5589" s="12" t="inlineStr">
        <is>
          <t>loop conductor 750 kcmil Al, 133 % (WORKING ASSUMPTION)</t>
        </is>
      </c>
      <c r="AA5589" s="12">
        <f>N5589*O5589</f>
        <v/>
      </c>
    </row>
    <row r="5590">
      <c r="A5590" s="12" t="inlineStr">
        <is>
          <t>I-MV-0070</t>
        </is>
      </c>
      <c r="B5590" s="12" t="inlineStr">
        <is>
          <t>I</t>
        </is>
      </c>
      <c r="C5590" s="12" t="inlineStr">
        <is>
          <t>Modular / portable power</t>
        </is>
      </c>
      <c r="D5590" s="12" t="inlineStr">
        <is>
          <t>RICE-GSU-A 34.5 kV to MOD-EH bus 1</t>
        </is>
      </c>
      <c r="E5590" s="12" t="inlineStr">
        <is>
          <t>RICE-GSU-A</t>
        </is>
      </c>
      <c r="F5590" s="12" t="inlineStr">
        <is>
          <t>RICE-GSU-A: 13.8 / 34.5 kV group step-up, ~45 MVA (RICE 1-2)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2</v>
      </c>
      <c r="O5590" s="12" t="n">
        <v>3</v>
      </c>
      <c r="P5590" s="12" t="n">
        <v>34500</v>
      </c>
      <c r="Q5590" s="12" t="n">
        <v>36800</v>
      </c>
      <c r="R5590" s="12" t="n">
        <v>684</v>
      </c>
      <c r="S5590" s="12" t="inlineStr">
        <is>
          <t>Duct bank</t>
        </is>
      </c>
      <c r="T5590" s="15" t="n">
        <v>206</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2 sets per phase</t>
        </is>
      </c>
      <c r="AA5590" s="12">
        <f>N5590*O5590</f>
        <v/>
      </c>
    </row>
    <row r="5591">
      <c r="A5591" s="12" t="inlineStr">
        <is>
          <t>I-MV-0071</t>
        </is>
      </c>
      <c r="B5591" s="12" t="inlineStr">
        <is>
          <t>I</t>
        </is>
      </c>
      <c r="C5591" s="12" t="inlineStr">
        <is>
          <t>Modular / portable power</t>
        </is>
      </c>
      <c r="D5591" s="12" t="inlineStr">
        <is>
          <t>RICE-GSU-B 34.5 kV to MOD-EH bus 1</t>
        </is>
      </c>
      <c r="E5591" s="12" t="inlineStr">
        <is>
          <t>RICE-GSU-B</t>
        </is>
      </c>
      <c r="F5591" s="12" t="inlineStr">
        <is>
          <t>RICE-GSU-B: 13.8 / 34.5 kV group step-up, ~45 MVA (RICE 3-4)</t>
        </is>
      </c>
      <c r="G5591" s="12" t="inlineStr">
        <is>
          <t>MOD-EH</t>
        </is>
      </c>
      <c r="H5591" s="12" t="inlineStr">
        <is>
          <t>MOD-EH: 34.5 kV modular collector e-house (2 bus sections + 13.8 kV st</t>
        </is>
      </c>
      <c r="I5591" s="12" t="inlineStr">
        <is>
          <t>MV 35 kV</t>
        </is>
      </c>
      <c r="J5591" s="12" t="inlineStr">
        <is>
          <t>MV-105 35 kV 1/C Al, EPR 133%, 1/3 concentric neutral, LLDPE jacket</t>
        </is>
      </c>
      <c r="K5591" s="12" t="inlineStr">
        <is>
          <t>MV35|1/C|750</t>
        </is>
      </c>
      <c r="L5591" s="12" t="inlineStr">
        <is>
          <t>1/C</t>
        </is>
      </c>
      <c r="M5591" s="12" t="inlineStr">
        <is>
          <t>750 kcmil</t>
        </is>
      </c>
      <c r="N5591" s="12" t="n">
        <v>2</v>
      </c>
      <c r="O5591" s="12" t="n">
        <v>3</v>
      </c>
      <c r="P5591" s="12" t="n">
        <v>34500</v>
      </c>
      <c r="Q5591" s="12" t="n">
        <v>36800</v>
      </c>
      <c r="R5591" s="12" t="n">
        <v>684</v>
      </c>
      <c r="S5591" s="12" t="inlineStr">
        <is>
          <t>Duct bank</t>
        </is>
      </c>
      <c r="T5591" s="15" t="n">
        <v>179</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is>
          <t>2 sets per phase</t>
        </is>
      </c>
      <c r="AA5591" s="12">
        <f>N5591*O5591</f>
        <v/>
      </c>
    </row>
    <row r="5592">
      <c r="A5592" s="12" t="inlineStr">
        <is>
          <t>I-MV-0072</t>
        </is>
      </c>
      <c r="B5592" s="12" t="inlineStr">
        <is>
          <t>I</t>
        </is>
      </c>
      <c r="C5592" s="12" t="inlineStr">
        <is>
          <t>Modular / portable power</t>
        </is>
      </c>
      <c r="D5592" s="12" t="inlineStr">
        <is>
          <t>RICE-GSU-C 34.5 kV to MOD-EH bus 2</t>
        </is>
      </c>
      <c r="E5592" s="12" t="inlineStr">
        <is>
          <t>RICE-GSU-C</t>
        </is>
      </c>
      <c r="F5592" s="12" t="inlineStr">
        <is>
          <t>RICE-GSU-C: 13.8 / 34.5 kV group step-up, ~45 MVA (RICE 5-6)</t>
        </is>
      </c>
      <c r="G5592" s="12" t="inlineStr">
        <is>
          <t>MOD-EH</t>
        </is>
      </c>
      <c r="H5592" s="12" t="inlineStr">
        <is>
          <t>MOD-EH: 34.5 kV modular collector e-house (2 bus sections + 13.8 kV st</t>
        </is>
      </c>
      <c r="I5592" s="12" t="inlineStr">
        <is>
          <t>MV 35 kV</t>
        </is>
      </c>
      <c r="J5592" s="12" t="inlineStr">
        <is>
          <t>MV-105 35 kV 1/C Al, EPR 133%, 1/3 concentric neutral, LLDPE jacket</t>
        </is>
      </c>
      <c r="K5592" s="12" t="inlineStr">
        <is>
          <t>MV35|1/C|750</t>
        </is>
      </c>
      <c r="L5592" s="12" t="inlineStr">
        <is>
          <t>1/C</t>
        </is>
      </c>
      <c r="M5592" s="12" t="inlineStr">
        <is>
          <t>750 kcmil</t>
        </is>
      </c>
      <c r="N5592" s="12" t="n">
        <v>2</v>
      </c>
      <c r="O5592" s="12" t="n">
        <v>3</v>
      </c>
      <c r="P5592" s="12" t="n">
        <v>34500</v>
      </c>
      <c r="Q5592" s="12" t="n">
        <v>36800</v>
      </c>
      <c r="R5592" s="12" t="n">
        <v>684</v>
      </c>
      <c r="S5592" s="12" t="inlineStr">
        <is>
          <t>Duct bank</t>
        </is>
      </c>
      <c r="T5592" s="15" t="n">
        <v>152</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is>
          <t>2 sets per phase</t>
        </is>
      </c>
      <c r="AA5592" s="12">
        <f>N5592*O5592</f>
        <v/>
      </c>
    </row>
    <row r="5593">
      <c r="A5593" s="12" t="inlineStr">
        <is>
          <t>I-MV-0073</t>
        </is>
      </c>
      <c r="B5593" s="12" t="inlineStr">
        <is>
          <t>I</t>
        </is>
      </c>
      <c r="C5593" s="12" t="inlineStr">
        <is>
          <t>Modular / portable power</t>
        </is>
      </c>
      <c r="D5593" s="12" t="inlineStr">
        <is>
          <t>RICE-GSU-D 34.5 kV to MOD-EH bus 2</t>
        </is>
      </c>
      <c r="E5593" s="12" t="inlineStr">
        <is>
          <t>RICE-GSU-D</t>
        </is>
      </c>
      <c r="F5593" s="12" t="inlineStr">
        <is>
          <t>RICE-GSU-D: 13.8 / 34.5 kV group step-up, ~45 MVA (RICE 7-8)</t>
        </is>
      </c>
      <c r="G5593" s="12" t="inlineStr">
        <is>
          <t>MOD-EH</t>
        </is>
      </c>
      <c r="H5593" s="12" t="inlineStr">
        <is>
          <t>MOD-EH: 34.5 kV modular collector e-house (2 bus sections + 13.8 kV st</t>
        </is>
      </c>
      <c r="I5593" s="12" t="inlineStr">
        <is>
          <t>MV 35 kV</t>
        </is>
      </c>
      <c r="J5593" s="12" t="inlineStr">
        <is>
          <t>MV-105 35 kV 1/C Al, EPR 133%, 1/3 concentric neutral, LLDPE jacket</t>
        </is>
      </c>
      <c r="K5593" s="12" t="inlineStr">
        <is>
          <t>MV35|1/C|750</t>
        </is>
      </c>
      <c r="L5593" s="12" t="inlineStr">
        <is>
          <t>1/C</t>
        </is>
      </c>
      <c r="M5593" s="12" t="inlineStr">
        <is>
          <t>750 kcmil</t>
        </is>
      </c>
      <c r="N5593" s="12" t="n">
        <v>2</v>
      </c>
      <c r="O5593" s="12" t="n">
        <v>3</v>
      </c>
      <c r="P5593" s="12" t="n">
        <v>34500</v>
      </c>
      <c r="Q5593" s="12" t="n">
        <v>36800</v>
      </c>
      <c r="R5593" s="12" t="n">
        <v>684</v>
      </c>
      <c r="S5593" s="12" t="inlineStr">
        <is>
          <t>Duct bank</t>
        </is>
      </c>
      <c r="T5593" s="15" t="n">
        <v>125</v>
      </c>
      <c r="U5593" s="15" t="n">
        <v>32</v>
      </c>
      <c r="V5593" s="15">
        <f>ROUNDUP((T5593+U5593+2*'Read Me'!$B$13)*(1+'Read Me'!$B$12),-1)</f>
        <v/>
      </c>
      <c r="W5593" s="15">
        <f>V5593*N5593*O5593</f>
        <v/>
      </c>
      <c r="X5593" s="12">
        <f>IF(LEFT(I5593,2)="MV",2*N5593*IF(L5593="1/C",O5593,1),0)</f>
        <v/>
      </c>
      <c r="Y5593" s="12">
        <f>IF(OR(LEFT(K5593,4)="LVAX",LEFT(K5593,6)="MV15AX",LEFT(K5593,4)="CTAX",LEFT(K5593,2)="W|"),2*N5593*O5593,0)</f>
        <v/>
      </c>
      <c r="Z5593" s="12" t="inlineStr">
        <is>
          <t>2 sets per phase</t>
        </is>
      </c>
      <c r="AA5593" s="12">
        <f>N5593*O5593</f>
        <v/>
      </c>
    </row>
    <row r="5594">
      <c r="A5594" s="12" t="inlineStr">
        <is>
          <t>I-MV-0074</t>
        </is>
      </c>
      <c r="B5594" s="12" t="inlineStr">
        <is>
          <t>I</t>
        </is>
      </c>
      <c r="C5594" s="12" t="inlineStr">
        <is>
          <t>Modular / portable power</t>
        </is>
      </c>
      <c r="D5594" s="12" t="inlineStr">
        <is>
          <t>SC-GSU-1 34.5 kV to MOD-EH bus 1</t>
        </is>
      </c>
      <c r="E5594" s="12" t="inlineStr">
        <is>
          <t>SC-GSU-1</t>
        </is>
      </c>
      <c r="F5594" s="12" t="inlineStr">
        <is>
          <t>SC-GSU-1: 13.8 / 34.5 kV unit step-up, ~60 MVA (SC-1)</t>
        </is>
      </c>
      <c r="G5594" s="12" t="inlineStr">
        <is>
          <t>MOD-EH</t>
        </is>
      </c>
      <c r="H5594" s="12" t="inlineStr">
        <is>
          <t>MOD-EH: 34.5 kV modular collector e-house (2 bus sections + 13.8 kV st</t>
        </is>
      </c>
      <c r="I5594" s="12" t="inlineStr">
        <is>
          <t>MV 35 kV</t>
        </is>
      </c>
      <c r="J5594" s="12" t="inlineStr">
        <is>
          <t>MV-105 35 kV 1/C Al, EPR 133%, 1/3 concentric neutral, LLDPE jacket</t>
        </is>
      </c>
      <c r="K5594" s="12" t="inlineStr">
        <is>
          <t>MV35|1/C|750</t>
        </is>
      </c>
      <c r="L5594" s="12" t="inlineStr">
        <is>
          <t>1/C</t>
        </is>
      </c>
      <c r="M5594" s="12" t="inlineStr">
        <is>
          <t>750 kcmil</t>
        </is>
      </c>
      <c r="N5594" s="12" t="n">
        <v>3</v>
      </c>
      <c r="O5594" s="12" t="n">
        <v>3</v>
      </c>
      <c r="P5594" s="12" t="n">
        <v>34500</v>
      </c>
      <c r="Q5594" s="12" t="n">
        <v>50000</v>
      </c>
      <c r="R5594" s="12" t="n">
        <v>930</v>
      </c>
      <c r="S5594" s="12" t="inlineStr">
        <is>
          <t>Duct bank</t>
        </is>
      </c>
      <c r="T5594" s="15" t="n">
        <v>460</v>
      </c>
      <c r="U5594" s="15" t="n">
        <v>20</v>
      </c>
      <c r="V5594" s="15">
        <f>ROUNDUP((T5594+U5594+2*'Read Me'!$B$13)*(1+'Read Me'!$B$12),-1)</f>
        <v/>
      </c>
      <c r="W5594" s="15">
        <f>V5594*N5594*O5594</f>
        <v/>
      </c>
      <c r="X5594" s="12">
        <f>IF(LEFT(I5594,2)="MV",2*N5594*IF(L5594="1/C",O5594,1),0)</f>
        <v/>
      </c>
      <c r="Y5594" s="12">
        <f>IF(OR(LEFT(K5594,4)="LVAX",LEFT(K5594,6)="MV15AX",LEFT(K5594,4)="CTAX",LEFT(K5594,2)="W|"),2*N5594*O5594,0)</f>
        <v/>
      </c>
      <c r="Z5594" s="12" t="inlineStr">
        <is>
          <t>3 sets per phase</t>
        </is>
      </c>
      <c r="AA5594" s="12">
        <f>N5594*O5594</f>
        <v/>
      </c>
    </row>
    <row r="5595">
      <c r="A5595" s="12" t="inlineStr">
        <is>
          <t>I-MV-0075</t>
        </is>
      </c>
      <c r="B5595" s="12" t="inlineStr">
        <is>
          <t>I</t>
        </is>
      </c>
      <c r="C5595" s="12" t="inlineStr">
        <is>
          <t>Modular / portable power</t>
        </is>
      </c>
      <c r="D5595" s="12" t="inlineStr">
        <is>
          <t>SC-GSU-2 34.5 kV to MOD-EH bus 2</t>
        </is>
      </c>
      <c r="E5595" s="12" t="inlineStr">
        <is>
          <t>SC-GSU-2</t>
        </is>
      </c>
      <c r="F5595" s="12" t="inlineStr">
        <is>
          <t>SC-GSU-2: 13.8 / 34.5 kV unit step-up, ~60 MVA (SC-2)</t>
        </is>
      </c>
      <c r="G5595" s="12" t="inlineStr">
        <is>
          <t>MOD-EH</t>
        </is>
      </c>
      <c r="H5595" s="12" t="inlineStr">
        <is>
          <t>MOD-EH: 34.5 kV modular collector e-house (2 bus sections + 13.8 kV st</t>
        </is>
      </c>
      <c r="I5595" s="12" t="inlineStr">
        <is>
          <t>MV 35 kV</t>
        </is>
      </c>
      <c r="J5595" s="12" t="inlineStr">
        <is>
          <t>MV-105 35 kV 1/C Al, EPR 133%, 1/3 concentric neutral, LLDPE jacket</t>
        </is>
      </c>
      <c r="K5595" s="12" t="inlineStr">
        <is>
          <t>MV35|1/C|750</t>
        </is>
      </c>
      <c r="L5595" s="12" t="inlineStr">
        <is>
          <t>1/C</t>
        </is>
      </c>
      <c r="M5595" s="12" t="inlineStr">
        <is>
          <t>750 kcmil</t>
        </is>
      </c>
      <c r="N5595" s="12" t="n">
        <v>3</v>
      </c>
      <c r="O5595" s="12" t="n">
        <v>3</v>
      </c>
      <c r="P5595" s="12" t="n">
        <v>34500</v>
      </c>
      <c r="Q5595" s="12" t="n">
        <v>50000</v>
      </c>
      <c r="R5595" s="12" t="n">
        <v>930</v>
      </c>
      <c r="S5595" s="12" t="inlineStr">
        <is>
          <t>Duct bank</t>
        </is>
      </c>
      <c r="T5595" s="15" t="n">
        <v>540</v>
      </c>
      <c r="U5595" s="15" t="n">
        <v>20</v>
      </c>
      <c r="V5595" s="15">
        <f>ROUNDUP((T5595+U5595+2*'Read Me'!$B$13)*(1+'Read Me'!$B$12),-1)</f>
        <v/>
      </c>
      <c r="W5595" s="15">
        <f>V5595*N5595*O5595</f>
        <v/>
      </c>
      <c r="X5595" s="12">
        <f>IF(LEFT(I5595,2)="MV",2*N5595*IF(L5595="1/C",O5595,1),0)</f>
        <v/>
      </c>
      <c r="Y5595" s="12">
        <f>IF(OR(LEFT(K5595,4)="LVAX",LEFT(K5595,6)="MV15AX",LEFT(K5595,4)="CTAX",LEFT(K5595,2)="W|"),2*N5595*O5595,0)</f>
        <v/>
      </c>
      <c r="Z5595" s="12" t="inlineStr">
        <is>
          <t>3 sets per phase</t>
        </is>
      </c>
      <c r="AA5595" s="12">
        <f>N5595*O5595</f>
        <v/>
      </c>
    </row>
    <row r="5596">
      <c r="A5596" s="12" t="inlineStr">
        <is>
          <t>I-MV-0076</t>
        </is>
      </c>
      <c r="B5596" s="12" t="inlineStr">
        <is>
          <t>I</t>
        </is>
      </c>
      <c r="C5596" s="12" t="inlineStr">
        <is>
          <t>Modular / portable power</t>
        </is>
      </c>
      <c r="D5596" s="12" t="inlineStr">
        <is>
          <t>MOD-GT1 zigzag grounding transformer, bus 1</t>
        </is>
      </c>
      <c r="E5596" s="12" t="inlineStr">
        <is>
          <t>MOD-EH</t>
        </is>
      </c>
      <c r="F5596" s="12" t="inlineStr">
        <is>
          <t>MOD-EH: 34.5 kV modular collector e-house (2 bus sections + 13.8 kV st</t>
        </is>
      </c>
      <c r="G5596" s="12" t="inlineStr">
        <is>
          <t>MOD-GT1</t>
        </is>
      </c>
      <c r="H5596" s="12" t="inlineStr">
        <is>
          <t>MOD-GT1: 34.5 kV zigzag grounding transformer, MOD-EH bus 1</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Riser</t>
        </is>
      </c>
      <c r="T5596" s="15" t="n">
        <v>4</v>
      </c>
      <c r="U5596" s="15" t="n">
        <v>32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I-MV-0077</t>
        </is>
      </c>
      <c r="B5597" s="12" t="inlineStr">
        <is>
          <t>I</t>
        </is>
      </c>
      <c r="C5597" s="12" t="inlineStr">
        <is>
          <t>Modular / portable power</t>
        </is>
      </c>
      <c r="D5597" s="12" t="inlineStr">
        <is>
          <t>MOD-GT2 zigzag grounding transformer, bus 2</t>
        </is>
      </c>
      <c r="E5597" s="12" t="inlineStr">
        <is>
          <t>MOD-EH</t>
        </is>
      </c>
      <c r="F5597" s="12" t="inlineStr">
        <is>
          <t>MOD-EH: 34.5 kV modular collector e-house (2 bus sections + 13.8 kV st</t>
        </is>
      </c>
      <c r="G5597" s="12" t="inlineStr">
        <is>
          <t>MOD-GT2</t>
        </is>
      </c>
      <c r="H5597" s="12" t="inlineStr">
        <is>
          <t>MOD-GT2: 34.5 kV zigzag grounding transformer, MOD-EH bus 2</t>
        </is>
      </c>
      <c r="I5597" s="12" t="inlineStr">
        <is>
          <t>MV 35 kV</t>
        </is>
      </c>
      <c r="J5597" s="12" t="inlineStr">
        <is>
          <t>MV-105 35 kV 1/C Al, EPR 133%, 1/3 concentric neutral, LLDPE jacket</t>
        </is>
      </c>
      <c r="K5597" s="12" t="inlineStr">
        <is>
          <t>MV35|1/C|2</t>
        </is>
      </c>
      <c r="L5597" s="12" t="inlineStr">
        <is>
          <t>1/C</t>
        </is>
      </c>
      <c r="M5597" s="12" t="inlineStr">
        <is>
          <t>2</t>
        </is>
      </c>
      <c r="N5597" s="12" t="n">
        <v>1</v>
      </c>
      <c r="O5597" s="12" t="n">
        <v>3</v>
      </c>
      <c r="P5597" s="12" t="n">
        <v>34500</v>
      </c>
      <c r="Q5597" s="12" t="n">
        <v>300</v>
      </c>
      <c r="R5597" s="12" t="n">
        <v>5</v>
      </c>
      <c r="S5597" s="12" t="inlineStr">
        <is>
          <t>Riser</t>
        </is>
      </c>
      <c r="T5597" s="15" t="n">
        <v>4</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I-MV-0078</t>
        </is>
      </c>
      <c r="B5598" s="12" t="inlineStr">
        <is>
          <t>I</t>
        </is>
      </c>
      <c r="C5598" s="12" t="inlineStr">
        <is>
          <t>Modular / portable power</t>
        </is>
      </c>
      <c r="D5598" s="12" t="inlineStr">
        <is>
          <t>MOD-SST 34.5 kV primary</t>
        </is>
      </c>
      <c r="E5598" s="12" t="inlineStr">
        <is>
          <t>MOD-EH</t>
        </is>
      </c>
      <c r="F5598" s="12" t="inlineStr">
        <is>
          <t>MOD-EH: 34.5 kV modular collector e-house (2 bus sections + 13.8 kV st</t>
        </is>
      </c>
      <c r="G5598" s="12" t="inlineStr">
        <is>
          <t>MOD-SST</t>
        </is>
      </c>
      <c r="H5598" s="12" t="inlineStr">
        <is>
          <t>MOD-SST: 34.5 / 13.8 kV station-service transformer, ~10 MVA (yard sta</t>
        </is>
      </c>
      <c r="I5598" s="12" t="inlineStr">
        <is>
          <t>MV 35 kV</t>
        </is>
      </c>
      <c r="J5598" s="12" t="inlineStr">
        <is>
          <t>MV-105 35 kV 1/C Al, EPR 133%, 1/3 concentric neutral, LLDPE jacket</t>
        </is>
      </c>
      <c r="K5598" s="12" t="inlineStr">
        <is>
          <t>MV35|1/C|4/0</t>
        </is>
      </c>
      <c r="L5598" s="12" t="inlineStr">
        <is>
          <t>1/C</t>
        </is>
      </c>
      <c r="M5598" s="12" t="inlineStr">
        <is>
          <t>4/0</t>
        </is>
      </c>
      <c r="N5598" s="12" t="n">
        <v>1</v>
      </c>
      <c r="O5598" s="12" t="n">
        <v>3</v>
      </c>
      <c r="P5598" s="12" t="n">
        <v>34500</v>
      </c>
      <c r="Q5598" s="12" t="n">
        <v>9000</v>
      </c>
      <c r="R5598" s="12" t="n">
        <v>167</v>
      </c>
      <c r="S5598" s="12" t="inlineStr">
        <is>
          <t>Duct bank</t>
        </is>
      </c>
      <c r="T5598" s="15" t="n">
        <v>46</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1 set per phase</t>
        </is>
      </c>
      <c r="AA5598" s="12">
        <f>N5598*O5598</f>
        <v/>
      </c>
    </row>
    <row r="5599">
      <c r="A5599" s="12" t="inlineStr">
        <is>
          <t>I-MV-0079</t>
        </is>
      </c>
      <c r="B5599" s="12" t="inlineStr">
        <is>
          <t>I</t>
        </is>
      </c>
      <c r="C5599" s="12" t="inlineStr">
        <is>
          <t>Modular / portable power</t>
        </is>
      </c>
      <c r="D5599" s="12" t="inlineStr">
        <is>
          <t>PGS-TX1 to PGS-TX2 34.5 kV loop feed</t>
        </is>
      </c>
      <c r="E5599" s="12" t="inlineStr">
        <is>
          <t>PGS-TX1</t>
        </is>
      </c>
      <c r="F5599" s="12" t="inlineStr">
        <is>
          <t>PGS-TX1: 480 V : 34.5 kV, ~5 MVA loop-feed pad-mount (gensets 1-4)</t>
        </is>
      </c>
      <c r="G5599" s="12" t="inlineStr">
        <is>
          <t>PGS-TX2</t>
        </is>
      </c>
      <c r="H5599" s="12" t="inlineStr">
        <is>
          <t>PGS-TX2: 480 V : 34.5 kV, ~5 MVA loop-feed pad-mount (gensets 5-8)</t>
        </is>
      </c>
      <c r="I5599" s="12" t="inlineStr">
        <is>
          <t>MV 35 kV</t>
        </is>
      </c>
      <c r="J5599" s="12" t="inlineStr">
        <is>
          <t>MV-105 35 kV 1/C Al, EPR 133%, 1/3 concentric neutral, LLDPE jacket</t>
        </is>
      </c>
      <c r="K5599" s="12" t="inlineStr">
        <is>
          <t>MV35|1/C|2</t>
        </is>
      </c>
      <c r="L5599" s="12" t="inlineStr">
        <is>
          <t>1/C</t>
        </is>
      </c>
      <c r="M5599" s="12" t="inlineStr">
        <is>
          <t>2</t>
        </is>
      </c>
      <c r="N5599" s="12" t="n">
        <v>1</v>
      </c>
      <c r="O5599" s="12" t="n">
        <v>3</v>
      </c>
      <c r="P5599" s="12" t="n">
        <v>34500</v>
      </c>
      <c r="Q5599" s="12" t="n">
        <v>4000</v>
      </c>
      <c r="R5599" s="12" t="n">
        <v>74</v>
      </c>
      <c r="S5599" s="12" t="inlineStr">
        <is>
          <t>Surface</t>
        </is>
      </c>
      <c r="T5599" s="15" t="n">
        <v>41</v>
      </c>
      <c r="U5599" s="15" t="n">
        <v>27</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I-MV-0080</t>
        </is>
      </c>
      <c r="B5600" s="12" t="inlineStr">
        <is>
          <t>I</t>
        </is>
      </c>
      <c r="C5600" s="12" t="inlineStr">
        <is>
          <t>Modular / portable power</t>
        </is>
      </c>
      <c r="D5600" s="12" t="inlineStr">
        <is>
          <t>PK-GT1 zigzag grounding transformer, SWG-PK bus A</t>
        </is>
      </c>
      <c r="E5600" s="12" t="inlineStr">
        <is>
          <t>SWG-PK</t>
        </is>
      </c>
      <c r="F5600" s="12" t="inlineStr">
        <is>
          <t>SWG-PK: 34.5 kV park collector switchgear (2 bus sections, tie; 8 feed</t>
        </is>
      </c>
      <c r="G5600" s="12" t="inlineStr">
        <is>
          <t>PK-GT1</t>
        </is>
      </c>
      <c r="H5600" s="12" t="inlineStr">
        <is>
          <t>PK-GT1: 34.5 kV zigzag grounding transformer, SWG-PK bus A</t>
        </is>
      </c>
      <c r="I5600" s="12" t="inlineStr">
        <is>
          <t>MV 35 kV</t>
        </is>
      </c>
      <c r="J5600" s="12" t="inlineStr">
        <is>
          <t>MV-105 35 kV 1/C Al, EPR 133%, 1/3 concentric neutral, LLDPE jacket</t>
        </is>
      </c>
      <c r="K5600" s="12" t="inlineStr">
        <is>
          <t>MV35|1/C|2</t>
        </is>
      </c>
      <c r="L5600" s="12" t="inlineStr">
        <is>
          <t>1/C</t>
        </is>
      </c>
      <c r="M5600" s="12" t="inlineStr">
        <is>
          <t>2</t>
        </is>
      </c>
      <c r="N5600" s="12" t="n">
        <v>1</v>
      </c>
      <c r="O5600" s="12" t="n">
        <v>3</v>
      </c>
      <c r="P5600" s="12" t="n">
        <v>34500</v>
      </c>
      <c r="Q5600" s="12" t="n">
        <v>300</v>
      </c>
      <c r="R5600" s="12" t="n">
        <v>5</v>
      </c>
      <c r="S5600" s="12" t="inlineStr">
        <is>
          <t>Duct bank</t>
        </is>
      </c>
      <c r="T5600" s="15" t="n">
        <v>60</v>
      </c>
      <c r="U5600" s="15" t="n">
        <v>38</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I-MV-0081</t>
        </is>
      </c>
      <c r="B5601" s="12" t="inlineStr">
        <is>
          <t>I</t>
        </is>
      </c>
      <c r="C5601" s="12" t="inlineStr">
        <is>
          <t>Modular / portable power</t>
        </is>
      </c>
      <c r="D5601" s="12" t="inlineStr">
        <is>
          <t>PK-GT2 zigzag grounding transformer, SWG-PK bus B</t>
        </is>
      </c>
      <c r="E5601" s="12" t="inlineStr">
        <is>
          <t>SWG-PK</t>
        </is>
      </c>
      <c r="F5601" s="12" t="inlineStr">
        <is>
          <t>SWG-PK: 34.5 kV park collector switchgear (2 bus sections, tie; 8 feed</t>
        </is>
      </c>
      <c r="G5601" s="12" t="inlineStr">
        <is>
          <t>PK-GT2</t>
        </is>
      </c>
      <c r="H5601" s="12" t="inlineStr">
        <is>
          <t>PK-GT2: 34.5 kV zigzag grounding transformer, SWG-PK bus B</t>
        </is>
      </c>
      <c r="I5601" s="12" t="inlineStr">
        <is>
          <t>MV 35 kV</t>
        </is>
      </c>
      <c r="J5601" s="12" t="inlineStr">
        <is>
          <t>MV-105 35 kV 1/C Al, EPR 133%, 1/3 concentric neutral, LLDPE jacket</t>
        </is>
      </c>
      <c r="K5601" s="12" t="inlineStr">
        <is>
          <t>MV35|1/C|2</t>
        </is>
      </c>
      <c r="L5601" s="12" t="inlineStr">
        <is>
          <t>1/C</t>
        </is>
      </c>
      <c r="M5601" s="12" t="inlineStr">
        <is>
          <t>2</t>
        </is>
      </c>
      <c r="N5601" s="12" t="n">
        <v>1</v>
      </c>
      <c r="O5601" s="12" t="n">
        <v>3</v>
      </c>
      <c r="P5601" s="12" t="n">
        <v>34500</v>
      </c>
      <c r="Q5601" s="12" t="n">
        <v>300</v>
      </c>
      <c r="R5601" s="12" t="n">
        <v>5</v>
      </c>
      <c r="S5601" s="12" t="inlineStr">
        <is>
          <t>Duct bank</t>
        </is>
      </c>
      <c r="T5601" s="15" t="n">
        <v>72</v>
      </c>
      <c r="U5601" s="15" t="n">
        <v>42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I-MV-0082</t>
        </is>
      </c>
      <c r="B5602" s="12" t="inlineStr">
        <is>
          <t>I</t>
        </is>
      </c>
      <c r="C5602" s="12" t="inlineStr">
        <is>
          <t>Modular / portable power</t>
        </is>
      </c>
      <c r="D5602" s="12" t="inlineStr">
        <is>
          <t>L3 35 kV collector loop, segment 5 of 5 (GBT-4 to SWG-MY)</t>
        </is>
      </c>
      <c r="E5602" s="12" t="inlineStr">
        <is>
          <t>GBT-4</t>
        </is>
      </c>
      <c r="F5602" s="12" t="inlineStr">
        <is>
          <t>GBT-4: block GB-4 step-up 480 V : 34.5 kV, ~3 MVA pad-mount (on the 35</t>
        </is>
      </c>
      <c r="G5602" s="12" t="inlineStr">
        <is>
          <t>SWG-MY</t>
        </is>
      </c>
      <c r="H5602" s="12" t="inlineStr">
        <is>
          <t xml:space="preserve">SWG-MY: 35 kV switchgear lineup for the modular blocks (group breaker </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1</v>
      </c>
      <c r="O5602" s="12" t="n">
        <v>3</v>
      </c>
      <c r="P5602" s="12" t="n">
        <v>34500</v>
      </c>
      <c r="Q5602" s="12" t="n">
        <v>10000</v>
      </c>
      <c r="R5602" s="12" t="n">
        <v>167</v>
      </c>
      <c r="S5602" s="12" t="inlineStr">
        <is>
          <t>Duct bank</t>
        </is>
      </c>
      <c r="T5602" s="15" t="n">
        <v>181</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loop conductor 750 kcmil Al, 133 % (WORKING ASSUMPTION)</t>
        </is>
      </c>
      <c r="AA5602" s="12">
        <f>N5602*O5602</f>
        <v/>
      </c>
    </row>
    <row r="5603">
      <c r="A5603" s="12" t="inlineStr">
        <is>
          <t>I-MV-0083</t>
        </is>
      </c>
      <c r="B5603" s="12" t="inlineStr">
        <is>
          <t>I</t>
        </is>
      </c>
      <c r="C5603" s="12" t="inlineStr">
        <is>
          <t>Modular / portable power</t>
        </is>
      </c>
      <c r="D5603" s="12" t="inlineStr">
        <is>
          <t>L5 SWG-MY feeder to the data centre 34.5 kV switchgear BTM-SWGR, to the fence (scope owner TO VERIFY)</t>
        </is>
      </c>
      <c r="E5603" s="12" t="inlineStr">
        <is>
          <t>SWG-MY</t>
        </is>
      </c>
      <c r="F5603" s="12" t="inlineStr">
        <is>
          <t xml:space="preserve">SWG-MY: 35 kV switchgear lineup for the modular blocks (group breaker </t>
        </is>
      </c>
      <c r="G5603" s="12" t="inlineStr">
        <is>
          <t>SWG-MY</t>
        </is>
      </c>
      <c r="H5603" s="12" t="inlineStr">
        <is>
          <t xml:space="preserve">SWG-MY: 35 kV switchgear lineup for the modular blocks (group breaker </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1</v>
      </c>
      <c r="O5603" s="12" t="n">
        <v>3</v>
      </c>
      <c r="P5603" s="12" t="n">
        <v>34500</v>
      </c>
      <c r="Q5603" s="12" t="n">
        <v>10000</v>
      </c>
      <c r="R5603" s="12" t="n">
        <v>167</v>
      </c>
      <c r="S5603" s="12" t="inlineStr">
        <is>
          <t>Buried</t>
        </is>
      </c>
      <c r="T5603" s="15" t="n">
        <v>585</v>
      </c>
      <c r="U5603" s="15" t="n">
        <v>20</v>
      </c>
      <c r="V5603" s="15">
        <f>ROUNDUP((T5603+U5603+2*'Read Me'!$B$13)*(1+'Read Me'!$B$12),-1)</f>
        <v/>
      </c>
      <c r="W5603" s="15">
        <f>V5603*N5603*O5603</f>
        <v/>
      </c>
      <c r="X5603" s="12">
        <f>IF(LEFT(I5603,2)="MV",2*N5603*IF(L5603="1/C",O5603,1),0)</f>
        <v/>
      </c>
      <c r="Y5603" s="12">
        <f>IF(OR(LEFT(K5603,4)="LVAX",LEFT(K5603,6)="MV15AX",LEFT(K5603,4)="CTAX",LEFT(K5603,2)="W|"),2*N5603*O5603,0)</f>
        <v/>
      </c>
      <c r="Z5603" s="12" t="inlineStr">
        <is>
          <t>to the fence 585 ft; + ~120 ft beyond to BTM-SWGR (data-centre scope)</t>
        </is>
      </c>
      <c r="AA5603" s="12">
        <f>N5603*O5603</f>
        <v/>
      </c>
    </row>
    <row r="5604">
      <c r="A5604" s="12" t="inlineStr">
        <is>
          <t>I-MV-0084</t>
        </is>
      </c>
      <c r="B5604" s="12" t="inlineStr">
        <is>
          <t>I</t>
        </is>
      </c>
      <c r="C5604" s="12" t="inlineStr">
        <is>
          <t>Modular / portable power</t>
        </is>
      </c>
      <c r="D5604" s="12" t="inlineStr">
        <is>
          <t>TGF-GSU 34.5 kV collector feeder to SWG-PK (bus A)</t>
        </is>
      </c>
      <c r="E5604" s="12" t="inlineStr">
        <is>
          <t>TGF-GSU</t>
        </is>
      </c>
      <c r="F5604" s="12" t="inlineStr">
        <is>
          <t>TGF-GSU: 13.8 / 34.5 kV step-up, ~20 MVA (trailer fleet)</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MV35|1/C|500</t>
        </is>
      </c>
      <c r="L5604" s="12" t="inlineStr">
        <is>
          <t>1/C</t>
        </is>
      </c>
      <c r="M5604" s="12" t="inlineStr">
        <is>
          <t>500 kcmil</t>
        </is>
      </c>
      <c r="N5604" s="12" t="n">
        <v>1</v>
      </c>
      <c r="O5604" s="12" t="n">
        <v>3</v>
      </c>
      <c r="P5604" s="12" t="n">
        <v>34500</v>
      </c>
      <c r="Q5604" s="12" t="n">
        <v>15000</v>
      </c>
      <c r="R5604" s="12" t="n">
        <v>279</v>
      </c>
      <c r="S5604" s="12" t="inlineStr">
        <is>
          <t>Duct bank</t>
        </is>
      </c>
      <c r="T5604" s="15" t="n">
        <v>377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1 set per phase</t>
        </is>
      </c>
      <c r="AA5604" s="12">
        <f>N5604*O5604</f>
        <v/>
      </c>
    </row>
    <row r="5605">
      <c r="A5605" s="12" t="inlineStr">
        <is>
          <t>I-MV-0085</t>
        </is>
      </c>
      <c r="B5605" s="12" t="inlineStr">
        <is>
          <t>I</t>
        </is>
      </c>
      <c r="C5605" s="12" t="inlineStr">
        <is>
          <t>Modular / portable power</t>
        </is>
      </c>
      <c r="D5605" s="12" t="inlineStr">
        <is>
          <t>CGE-GSU 34.5 kV collector feeder to SWG-PK (bus A)</t>
        </is>
      </c>
      <c r="E5605" s="12" t="inlineStr">
        <is>
          <t>CGE-GSU</t>
        </is>
      </c>
      <c r="F5605" s="12" t="inlineStr">
        <is>
          <t>CGE-GSU: 13.8 / 34.5 kV step-up, ~20 MVA (containerized engines)</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1</v>
      </c>
      <c r="O5605" s="12" t="n">
        <v>3</v>
      </c>
      <c r="P5605" s="12" t="n">
        <v>34500</v>
      </c>
      <c r="Q5605" s="12" t="n">
        <v>17600</v>
      </c>
      <c r="R5605" s="12" t="n">
        <v>327</v>
      </c>
      <c r="S5605" s="12" t="inlineStr">
        <is>
          <t>Duct bank</t>
        </is>
      </c>
      <c r="T5605" s="15" t="n">
        <v>471</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1 set per phase</t>
        </is>
      </c>
      <c r="AA5605" s="12">
        <f>N5605*O5605</f>
        <v/>
      </c>
    </row>
    <row r="5606">
      <c r="A5606" s="12" t="inlineStr">
        <is>
          <t>I-MV-0086</t>
        </is>
      </c>
      <c r="B5606" s="12" t="inlineStr">
        <is>
          <t>I</t>
        </is>
      </c>
      <c r="C5606" s="12" t="inlineStr">
        <is>
          <t>Modular / portable power</t>
        </is>
      </c>
      <c r="D5606" s="12" t="inlineStr">
        <is>
          <t>PGS-TX2 34.5 kV collector feeder to SWG-PK (bus A)</t>
        </is>
      </c>
      <c r="E5606" s="12" t="inlineStr">
        <is>
          <t>PGS-TX2</t>
        </is>
      </c>
      <c r="F5606" s="12" t="inlineStr">
        <is>
          <t>PGS-TX2: 480 V : 34.5 kV, ~5 MVA loop-feed pad-mount (gensets 5-8)</t>
        </is>
      </c>
      <c r="G5606" s="12" t="inlineStr">
        <is>
          <t>SWG-PK</t>
        </is>
      </c>
      <c r="H5606" s="12" t="inlineStr">
        <is>
          <t>SWG-PK: 34.5 kV park collector switchgear (2 bus sections, tie; 8 feed</t>
        </is>
      </c>
      <c r="I5606" s="12" t="inlineStr">
        <is>
          <t>MV 35 kV</t>
        </is>
      </c>
      <c r="J5606" s="12" t="inlineStr">
        <is>
          <t>MV-105 35 kV 1/C Al, EPR 133%, 1/3 concentric neutral, LLDPE jacket</t>
        </is>
      </c>
      <c r="K5606" s="12" t="inlineStr">
        <is>
          <t>MV35|1/C|4/0</t>
        </is>
      </c>
      <c r="L5606" s="12" t="inlineStr">
        <is>
          <t>1/C</t>
        </is>
      </c>
      <c r="M5606" s="12" t="inlineStr">
        <is>
          <t>4/0</t>
        </is>
      </c>
      <c r="N5606" s="12" t="n">
        <v>1</v>
      </c>
      <c r="O5606" s="12" t="n">
        <v>3</v>
      </c>
      <c r="P5606" s="12" t="n">
        <v>34500</v>
      </c>
      <c r="Q5606" s="12" t="n">
        <v>8000</v>
      </c>
      <c r="R5606" s="12" t="n">
        <v>149</v>
      </c>
      <c r="S5606" s="12" t="inlineStr">
        <is>
          <t>Duct bank</t>
        </is>
      </c>
      <c r="T5606" s="15" t="n">
        <v>454</v>
      </c>
      <c r="U5606" s="15" t="n">
        <v>32</v>
      </c>
      <c r="V5606" s="15">
        <f>ROUNDUP((T5606+U5606+2*'Read Me'!$B$13)*(1+'Read Me'!$B$12),-1)</f>
        <v/>
      </c>
      <c r="W5606" s="15">
        <f>V5606*N5606*O5606</f>
        <v/>
      </c>
      <c r="X5606" s="12">
        <f>IF(LEFT(I5606,2)="MV",2*N5606*IF(L5606="1/C",O5606,1),0)</f>
        <v/>
      </c>
      <c r="Y5606" s="12">
        <f>IF(OR(LEFT(K5606,4)="LVAX",LEFT(K5606,6)="MV15AX",LEFT(K5606,4)="CTAX",LEFT(K5606,2)="W|"),2*N5606*O5606,0)</f>
        <v/>
      </c>
      <c r="Z5606" s="12" t="inlineStr">
        <is>
          <t>1 set per phase</t>
        </is>
      </c>
      <c r="AA5606" s="12">
        <f>N5606*O5606</f>
        <v/>
      </c>
    </row>
    <row r="5607">
      <c r="A5607" s="12" t="inlineStr">
        <is>
          <t>I-MV-0087</t>
        </is>
      </c>
      <c r="B5607" s="12" t="inlineStr">
        <is>
          <t>I</t>
        </is>
      </c>
      <c r="C5607" s="12" t="inlineStr">
        <is>
          <t>Modular / portable power</t>
        </is>
      </c>
      <c r="D5607" s="12" t="inlineStr">
        <is>
          <t>MTG-GSU 34.5 kV collector feeder to SWG-PK (bus B)</t>
        </is>
      </c>
      <c r="E5607" s="12" t="inlineStr">
        <is>
          <t>MTG-GSU</t>
        </is>
      </c>
      <c r="F5607" s="12" t="inlineStr">
        <is>
          <t>MTG-GSU: 13.8 / 34.5 kV step-up, ~40 MVA (mid-size turbines)</t>
        </is>
      </c>
      <c r="G5607" s="12" t="inlineStr">
        <is>
          <t>SWG-PK</t>
        </is>
      </c>
      <c r="H5607" s="12" t="inlineStr">
        <is>
          <t>SWG-PK: 34.5 kV park collector switchgear (2 bus sections, tie; 8 feed</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2</v>
      </c>
      <c r="O5607" s="12" t="n">
        <v>3</v>
      </c>
      <c r="P5607" s="12" t="n">
        <v>34500</v>
      </c>
      <c r="Q5607" s="12" t="n">
        <v>32000</v>
      </c>
      <c r="R5607" s="12" t="n">
        <v>595</v>
      </c>
      <c r="S5607" s="12" t="inlineStr">
        <is>
          <t>Duct bank</t>
        </is>
      </c>
      <c r="T5607" s="15" t="n">
        <v>189</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2 sets per phase</t>
        </is>
      </c>
      <c r="AA5607" s="12">
        <f>N5607*O5607</f>
        <v/>
      </c>
    </row>
    <row r="5608">
      <c r="A5608" s="12" t="inlineStr">
        <is>
          <t>I-MV-0088</t>
        </is>
      </c>
      <c r="B5608" s="12" t="inlineStr">
        <is>
          <t>I</t>
        </is>
      </c>
      <c r="C5608" s="12" t="inlineStr">
        <is>
          <t>Modular / portable power</t>
        </is>
      </c>
      <c r="D5608" s="12" t="inlineStr">
        <is>
          <t>PAD-GSU 34.5 kV collector feeder to SWG-PK (bus A)</t>
        </is>
      </c>
      <c r="E5608" s="12" t="inlineStr">
        <is>
          <t>PAD-GSU</t>
        </is>
      </c>
      <c r="F5608" s="12" t="inlineStr">
        <is>
          <t>PAD-GSU: 13.8 / 34.5 kV step-up, ~60 MVA (PAD-EH: TM-1, CHP site, MT-T</t>
        </is>
      </c>
      <c r="G5608" s="12" t="inlineStr">
        <is>
          <t>SWG-PK</t>
        </is>
      </c>
      <c r="H5608" s="12" t="inlineStr">
        <is>
          <t>SWG-PK: 34.5 kV park collector switchgear (2 bus sections, tie; 8 feed</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3</v>
      </c>
      <c r="O5608" s="12" t="n">
        <v>3</v>
      </c>
      <c r="P5608" s="12" t="n">
        <v>34500</v>
      </c>
      <c r="Q5608" s="12" t="n">
        <v>52000</v>
      </c>
      <c r="R5608" s="12" t="n">
        <v>967</v>
      </c>
      <c r="S5608" s="12" t="inlineStr">
        <is>
          <t>Duct bank</t>
        </is>
      </c>
      <c r="T5608" s="15" t="n">
        <v>447</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3 sets per phase</t>
        </is>
      </c>
      <c r="AA5608" s="12">
        <f>N5608*O5608</f>
        <v/>
      </c>
    </row>
    <row r="5609">
      <c r="A5609" s="12" t="inlineStr">
        <is>
          <t>I-MV-0089</t>
        </is>
      </c>
      <c r="B5609" s="12" t="inlineStr">
        <is>
          <t>I</t>
        </is>
      </c>
      <c r="C5609" s="12" t="inlineStr">
        <is>
          <t>Modular / portable power</t>
        </is>
      </c>
      <c r="D5609" s="12" t="inlineStr">
        <is>
          <t>AX-GSU 34.5 kV collector feeder to SWG-PK (bus B)</t>
        </is>
      </c>
      <c r="E5609" s="12" t="inlineStr">
        <is>
          <t>AX-GSU</t>
        </is>
      </c>
      <c r="F5609" s="12" t="inlineStr">
        <is>
          <t>AX-GSU: 13.8 / 34.5 kV step-up, ~45 MVA (AX-1 unit step-up)</t>
        </is>
      </c>
      <c r="G5609" s="12" t="inlineStr">
        <is>
          <t>SWG-PK</t>
        </is>
      </c>
      <c r="H5609" s="12" t="inlineStr">
        <is>
          <t>SWG-PK: 34.5 kV park collector switchgear (2 bus sections, tie; 8 feed</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2</v>
      </c>
      <c r="O5609" s="12" t="n">
        <v>3</v>
      </c>
      <c r="P5609" s="12" t="n">
        <v>34500</v>
      </c>
      <c r="Q5609" s="12" t="n">
        <v>35000</v>
      </c>
      <c r="R5609" s="12" t="n">
        <v>651</v>
      </c>
      <c r="S5609" s="12" t="inlineStr">
        <is>
          <t>Duct bank</t>
        </is>
      </c>
      <c r="T5609" s="15" t="n">
        <v>257</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2 sets per phase</t>
        </is>
      </c>
      <c r="AA5609" s="12">
        <f>N5609*O5609</f>
        <v/>
      </c>
    </row>
    <row r="5610">
      <c r="A5610" s="12" t="inlineStr">
        <is>
          <t>I-MV-0090</t>
        </is>
      </c>
      <c r="B5610" s="12" t="inlineStr">
        <is>
          <t>I</t>
        </is>
      </c>
      <c r="C5610" s="12" t="inlineStr">
        <is>
          <t>Modular / portable power</t>
        </is>
      </c>
      <c r="D5610" s="12" t="inlineStr">
        <is>
          <t>IG-GSU 34.5 kV collector feeder to SWG-PK (bus B)</t>
        </is>
      </c>
      <c r="E5610" s="12" t="inlineStr">
        <is>
          <t>IG-GSU</t>
        </is>
      </c>
      <c r="F5610" s="12" t="inlineStr">
        <is>
          <t>IG-GSU: 13.8 / 34.5 kV step-up, ~60 MVA (IG-1 unit step-up)</t>
        </is>
      </c>
      <c r="G5610" s="12" t="inlineStr">
        <is>
          <t>SWG-PK</t>
        </is>
      </c>
      <c r="H5610" s="12" t="inlineStr">
        <is>
          <t>SWG-PK: 34.5 kV park collector switchgear (2 bus sections, tie; 8 feed</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3</v>
      </c>
      <c r="O5610" s="12" t="n">
        <v>3</v>
      </c>
      <c r="P5610" s="12" t="n">
        <v>34500</v>
      </c>
      <c r="Q5610" s="12" t="n">
        <v>50000</v>
      </c>
      <c r="R5610" s="12" t="n">
        <v>930</v>
      </c>
      <c r="S5610" s="12" t="inlineStr">
        <is>
          <t>Duct bank</t>
        </is>
      </c>
      <c r="T5610" s="15" t="n">
        <v>126</v>
      </c>
      <c r="U5610" s="15" t="n">
        <v>32</v>
      </c>
      <c r="V5610" s="15">
        <f>ROUNDUP((T5610+U5610+2*'Read Me'!$B$13)*(1+'Read Me'!$B$12),-1)</f>
        <v/>
      </c>
      <c r="W5610" s="15">
        <f>V5610*N5610*O5610</f>
        <v/>
      </c>
      <c r="X5610" s="12">
        <f>IF(LEFT(I5610,2)="MV",2*N5610*IF(L5610="1/C",O5610,1),0)</f>
        <v/>
      </c>
      <c r="Y5610" s="12">
        <f>IF(OR(LEFT(K5610,4)="LVAX",LEFT(K5610,6)="MV15AX",LEFT(K5610,4)="CTAX",LEFT(K5610,2)="W|"),2*N5610*O5610,0)</f>
        <v/>
      </c>
      <c r="Z5610" s="12" t="inlineStr">
        <is>
          <t>3 sets per phase</t>
        </is>
      </c>
      <c r="AA5610" s="12">
        <f>N5610*O5610</f>
        <v/>
      </c>
    </row>
    <row r="5611">
      <c r="A5611" s="12" t="inlineStr">
        <is>
          <t>I-MV-0091</t>
        </is>
      </c>
      <c r="B5611" s="12" t="inlineStr">
        <is>
          <t>I</t>
        </is>
      </c>
      <c r="C5611" s="12" t="inlineStr">
        <is>
          <t>Modular / portable power</t>
        </is>
      </c>
      <c r="D5611" s="12" t="inlineStr">
        <is>
          <t>MOD-EH bus 1 main to T-MOD-1 34.5 kV</t>
        </is>
      </c>
      <c r="E5611" s="12" t="inlineStr">
        <is>
          <t>MOD-EH</t>
        </is>
      </c>
      <c r="F5611" s="12" t="inlineStr">
        <is>
          <t>MOD-EH: 34.5 kV modular collector e-house (2 bus sections + 13.8 kV st</t>
        </is>
      </c>
      <c r="G5611" s="12" t="inlineStr">
        <is>
          <t>T-MOD-1</t>
        </is>
      </c>
      <c r="H5611" s="12" t="inlineStr">
        <is>
          <t>T-MOD-1: 230 / 34.5 kV</t>
        </is>
      </c>
      <c r="I5611" s="12" t="inlineStr">
        <is>
          <t>MV 35 kV</t>
        </is>
      </c>
      <c r="J5611" s="12" t="inlineStr">
        <is>
          <t>MV-105 35 kV 1/C Al, EPR 133%, 1/3 concentric neutral, LLDPE jacket</t>
        </is>
      </c>
      <c r="K5611" s="12" t="inlineStr">
        <is>
          <t>MV35|1/C|1000</t>
        </is>
      </c>
      <c r="L5611" s="12" t="inlineStr">
        <is>
          <t>1/C</t>
        </is>
      </c>
      <c r="M5611" s="12" t="inlineStr">
        <is>
          <t>1000 kcmil</t>
        </is>
      </c>
      <c r="N5611" s="12" t="n">
        <v>6</v>
      </c>
      <c r="O5611" s="12" t="n">
        <v>3</v>
      </c>
      <c r="P5611" s="12" t="n">
        <v>34500</v>
      </c>
      <c r="Q5611" s="12" t="n">
        <v>123600</v>
      </c>
      <c r="R5611" s="12" t="n">
        <v>2298</v>
      </c>
      <c r="S5611" s="12" t="inlineStr">
        <is>
          <t>Duct bank</t>
        </is>
      </c>
      <c r="T5611" s="15" t="n">
        <v>50</v>
      </c>
      <c r="U5611" s="15" t="n">
        <v>20</v>
      </c>
      <c r="V5611" s="15">
        <f>ROUNDUP((T5611+U5611+2*'Read Me'!$B$13)*(1+'Read Me'!$B$12),-1)</f>
        <v/>
      </c>
      <c r="W5611" s="15">
        <f>V5611*N5611*O5611</f>
        <v/>
      </c>
      <c r="X5611" s="12">
        <f>IF(LEFT(I5611,2)="MV",2*N5611*IF(L5611="1/C",O5611,1),0)</f>
        <v/>
      </c>
      <c r="Y5611" s="12">
        <f>IF(OR(LEFT(K5611,4)="LVAX",LEFT(K5611,6)="MV15AX",LEFT(K5611,4)="CTAX",LEFT(K5611,2)="W|"),2*N5611*O5611,0)</f>
        <v/>
      </c>
      <c r="Z5611" s="12" t="inlineStr">
        <is>
          <t>6 sets per phase</t>
        </is>
      </c>
      <c r="AA5611" s="12">
        <f>N5611*O5611</f>
        <v/>
      </c>
    </row>
    <row r="5612">
      <c r="A5612" s="12" t="inlineStr">
        <is>
          <t>I-MV-0092</t>
        </is>
      </c>
      <c r="B5612" s="12" t="inlineStr">
        <is>
          <t>I</t>
        </is>
      </c>
      <c r="C5612" s="12" t="inlineStr">
        <is>
          <t>Modular / portable power</t>
        </is>
      </c>
      <c r="D5612" s="12" t="inlineStr">
        <is>
          <t>MOD-EH bus 2 main to T-MOD-2 34.5 kV</t>
        </is>
      </c>
      <c r="E5612" s="12" t="inlineStr">
        <is>
          <t>MOD-EH</t>
        </is>
      </c>
      <c r="F5612" s="12" t="inlineStr">
        <is>
          <t>MOD-EH: 34.5 kV modular collector e-house (2 bus sections + 13.8 kV st</t>
        </is>
      </c>
      <c r="G5612" s="12" t="inlineStr">
        <is>
          <t>T-MOD-2</t>
        </is>
      </c>
      <c r="H5612" s="12" t="inlineStr">
        <is>
          <t>T-MOD-2: 230 / 34.5 kV</t>
        </is>
      </c>
      <c r="I5612" s="12" t="inlineStr">
        <is>
          <t>MV 35 kV</t>
        </is>
      </c>
      <c r="J5612" s="12" t="inlineStr">
        <is>
          <t>MV-105 35 kV 1/C Al, EPR 133%, 1/3 concentric neutral, LLDPE jacket</t>
        </is>
      </c>
      <c r="K5612" s="12" t="inlineStr">
        <is>
          <t>MV35|1/C|1000</t>
        </is>
      </c>
      <c r="L5612" s="12" t="inlineStr">
        <is>
          <t>1/C</t>
        </is>
      </c>
      <c r="M5612" s="12" t="inlineStr">
        <is>
          <t>1000 kcmil</t>
        </is>
      </c>
      <c r="N5612" s="12" t="n">
        <v>6</v>
      </c>
      <c r="O5612" s="12" t="n">
        <v>3</v>
      </c>
      <c r="P5612" s="12" t="n">
        <v>34500</v>
      </c>
      <c r="Q5612" s="12" t="n">
        <v>123600</v>
      </c>
      <c r="R5612" s="12" t="n">
        <v>2298</v>
      </c>
      <c r="S5612" s="12" t="inlineStr">
        <is>
          <t>Duct bank</t>
        </is>
      </c>
      <c r="T5612" s="15" t="n">
        <v>153</v>
      </c>
      <c r="U5612" s="15" t="n">
        <v>20</v>
      </c>
      <c r="V5612" s="15">
        <f>ROUNDUP((T5612+U5612+2*'Read Me'!$B$13)*(1+'Read Me'!$B$12),-1)</f>
        <v/>
      </c>
      <c r="W5612" s="15">
        <f>V5612*N5612*O5612</f>
        <v/>
      </c>
      <c r="X5612" s="12">
        <f>IF(LEFT(I5612,2)="MV",2*N5612*IF(L5612="1/C",O5612,1),0)</f>
        <v/>
      </c>
      <c r="Y5612" s="12">
        <f>IF(OR(LEFT(K5612,4)="LVAX",LEFT(K5612,6)="MV15AX",LEFT(K5612,4)="CTAX",LEFT(K5612,2)="W|"),2*N5612*O5612,0)</f>
        <v/>
      </c>
      <c r="Z5612" s="12" t="inlineStr">
        <is>
          <t>6 sets per phase</t>
        </is>
      </c>
      <c r="AA5612" s="12">
        <f>N5612*O5612</f>
        <v/>
      </c>
    </row>
    <row r="5613">
      <c r="A5613" s="12" t="inlineStr">
        <is>
          <t>I-MV-0093</t>
        </is>
      </c>
      <c r="B5613" s="12" t="inlineStr">
        <is>
          <t>I</t>
        </is>
      </c>
      <c r="C5613" s="12" t="inlineStr">
        <is>
          <t>Modular / portable power</t>
        </is>
      </c>
      <c r="D5613" s="12" t="inlineStr">
        <is>
          <t>SWG-PK bus A main to T-MOD-3 LV winding 1</t>
        </is>
      </c>
      <c r="E5613" s="12" t="inlineStr">
        <is>
          <t>SWG-PK</t>
        </is>
      </c>
      <c r="F5613" s="12" t="inlineStr">
        <is>
          <t>SWG-PK: 34.5 kV park collector switchgear (2 bus sections, tie; 8 feed</t>
        </is>
      </c>
      <c r="G5613" s="12" t="inlineStr">
        <is>
          <t>T-MOD-3</t>
        </is>
      </c>
      <c r="H5613" s="12" t="inlineStr">
        <is>
          <t>T-MOD-3: 230 / 34.5 / 34.5 kV, ~250 MVA three-winding (power park coll</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5</v>
      </c>
      <c r="O5613" s="12" t="n">
        <v>3</v>
      </c>
      <c r="P5613" s="12" t="n">
        <v>34500</v>
      </c>
      <c r="Q5613" s="12" t="n">
        <v>92600</v>
      </c>
      <c r="R5613" s="12" t="n">
        <v>1722</v>
      </c>
      <c r="S5613" s="12" t="inlineStr">
        <is>
          <t>Duct bank</t>
        </is>
      </c>
      <c r="T5613" s="15" t="n">
        <v>22</v>
      </c>
      <c r="U5613" s="15" t="n">
        <v>58</v>
      </c>
      <c r="V5613" s="15">
        <f>ROUNDUP((T5613+U5613+2*'Read Me'!$B$13)*(1+'Read Me'!$B$12),-1)</f>
        <v/>
      </c>
      <c r="W5613" s="15">
        <f>V5613*N5613*O5613</f>
        <v/>
      </c>
      <c r="X5613" s="12">
        <f>IF(LEFT(I5613,2)="MV",2*N5613*IF(L5613="1/C",O5613,1),0)</f>
        <v/>
      </c>
      <c r="Y5613" s="12">
        <f>IF(OR(LEFT(K5613,4)="LVAX",LEFT(K5613,6)="MV15AX",LEFT(K5613,4)="CTAX",LEFT(K5613,2)="W|"),2*N5613*O5613,0)</f>
        <v/>
      </c>
      <c r="Z5613" s="12" t="inlineStr">
        <is>
          <t>5 sets per phase</t>
        </is>
      </c>
      <c r="AA5613" s="12">
        <f>N5613*O5613</f>
        <v/>
      </c>
    </row>
    <row r="5614">
      <c r="A5614" s="12" t="inlineStr">
        <is>
          <t>I-MV-0094</t>
        </is>
      </c>
      <c r="B5614" s="12" t="inlineStr">
        <is>
          <t>I</t>
        </is>
      </c>
      <c r="C5614" s="12" t="inlineStr">
        <is>
          <t>Modular / portable power</t>
        </is>
      </c>
      <c r="D5614" s="12" t="inlineStr">
        <is>
          <t>SWG-PK bus B main to T-MOD-3 LV winding 2</t>
        </is>
      </c>
      <c r="E5614" s="12" t="inlineStr">
        <is>
          <t>SWG-PK</t>
        </is>
      </c>
      <c r="F5614" s="12" t="inlineStr">
        <is>
          <t>SWG-PK: 34.5 kV park collector switchgear (2 bus sections, tie; 8 feed</t>
        </is>
      </c>
      <c r="G5614" s="12" t="inlineStr">
        <is>
          <t>T-MOD-3</t>
        </is>
      </c>
      <c r="H5614" s="12" t="inlineStr">
        <is>
          <t>T-MOD-3: 230 / 34.5 / 34.5 kV, ~250 MVA three-winding (power park coll</t>
        </is>
      </c>
      <c r="I5614" s="12" t="inlineStr">
        <is>
          <t>MV 35 kV</t>
        </is>
      </c>
      <c r="J5614" s="12" t="inlineStr">
        <is>
          <t>MV-105 35 kV 1/C Al, EPR 133%, 1/3 concentric neutral, LLDPE jacket</t>
        </is>
      </c>
      <c r="K5614" s="12" t="inlineStr">
        <is>
          <t>MV35|1/C|1000</t>
        </is>
      </c>
      <c r="L5614" s="12" t="inlineStr">
        <is>
          <t>1/C</t>
        </is>
      </c>
      <c r="M5614" s="12" t="inlineStr">
        <is>
          <t>1000 kcmil</t>
        </is>
      </c>
      <c r="N5614" s="12" t="n">
        <v>6</v>
      </c>
      <c r="O5614" s="12" t="n">
        <v>3</v>
      </c>
      <c r="P5614" s="12" t="n">
        <v>34500</v>
      </c>
      <c r="Q5614" s="12" t="n">
        <v>117000</v>
      </c>
      <c r="R5614" s="12" t="n">
        <v>2176</v>
      </c>
      <c r="S5614" s="12" t="inlineStr">
        <is>
          <t>Duct bank</t>
        </is>
      </c>
      <c r="T5614" s="15" t="n">
        <v>22</v>
      </c>
      <c r="U5614" s="15" t="n">
        <v>58</v>
      </c>
      <c r="V5614" s="15">
        <f>ROUNDUP((T5614+U5614+2*'Read Me'!$B$13)*(1+'Read Me'!$B$12),-1)</f>
        <v/>
      </c>
      <c r="W5614" s="15">
        <f>V5614*N5614*O5614</f>
        <v/>
      </c>
      <c r="X5614" s="12">
        <f>IF(LEFT(I5614,2)="MV",2*N5614*IF(L5614="1/C",O5614,1),0)</f>
        <v/>
      </c>
      <c r="Y5614" s="12">
        <f>IF(OR(LEFT(K5614,4)="LVAX",LEFT(K5614,6)="MV15AX",LEFT(K5614,4)="CTAX",LEFT(K5614,2)="W|"),2*N5614*O5614,0)</f>
        <v/>
      </c>
      <c r="Z5614" s="12" t="inlineStr">
        <is>
          <t>6 sets per phase</t>
        </is>
      </c>
      <c r="AA5614" s="12">
        <f>N5614*O5614</f>
        <v/>
      </c>
    </row>
    <row r="5615">
      <c r="A5615" s="12" t="inlineStr">
        <is>
          <t>I-PP-0001</t>
        </is>
      </c>
      <c r="B5615" s="12" t="inlineStr">
        <is>
          <t>I</t>
        </is>
      </c>
      <c r="C5615" s="12" t="inlineStr">
        <is>
          <t>Modular / portable power</t>
        </is>
      </c>
      <c r="D5615" s="12" t="inlineStr">
        <is>
          <t>PIC to commissioning load bank</t>
        </is>
      </c>
      <c r="E5615" s="12" t="inlineStr">
        <is>
          <t>PIC</t>
        </is>
      </c>
      <c r="F5615" s="12" t="inlineStr">
        <is>
          <t>PIC: portable input cabinet</t>
        </is>
      </c>
      <c r="G5615" s="12" t="inlineStr">
        <is>
          <t>LB</t>
        </is>
      </c>
      <c r="H5615" s="12" t="inlineStr">
        <is>
          <t>LB: commissioning load bank (trailer)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2000</v>
      </c>
      <c r="R5615" s="12" t="n">
        <v>93</v>
      </c>
      <c r="S5615" s="12" t="inlineStr">
        <is>
          <t>Surface</t>
        </is>
      </c>
      <c r="T5615" s="15" t="n">
        <v>27</v>
      </c>
      <c r="U5615" s="15" t="n">
        <v>53</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t>
        </is>
      </c>
      <c r="AA5615" s="12">
        <f>N5615*O5615</f>
        <v/>
      </c>
    </row>
    <row r="5616">
      <c r="A5616" s="12" t="inlineStr">
        <is>
          <t>I-PP-0002</t>
        </is>
      </c>
      <c r="B5616" s="12" t="inlineStr">
        <is>
          <t>I</t>
        </is>
      </c>
      <c r="C5616" s="12" t="inlineStr">
        <is>
          <t>Modular / portable power</t>
        </is>
      </c>
      <c r="D5616" s="12" t="inlineStr">
        <is>
          <t>PIC to PAD-EH (MOB-1 trailer genset onto the pad bus)</t>
        </is>
      </c>
      <c r="E5616" s="12" t="inlineStr">
        <is>
          <t>PIC</t>
        </is>
      </c>
      <c r="F5616" s="12" t="inlineStr">
        <is>
          <t>PIC: portable input cabinet</t>
        </is>
      </c>
      <c r="G5616" s="12" t="inlineStr">
        <is>
          <t>PAD-EH</t>
        </is>
      </c>
      <c r="H5616" s="12" t="inlineStr">
        <is>
          <t>PAD-EH 13.8 kV switchgear e-house</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2000</v>
      </c>
      <c r="R5616" s="12" t="n">
        <v>93</v>
      </c>
      <c r="S5616" s="12" t="inlineStr">
        <is>
          <t>Duct bank</t>
        </is>
      </c>
      <c r="T5616" s="15" t="n">
        <v>182</v>
      </c>
      <c r="U5616" s="15" t="n">
        <v>32</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t>
        </is>
      </c>
      <c r="AA5616" s="12">
        <f>N5616*O5616</f>
        <v/>
      </c>
    </row>
    <row r="5617">
      <c r="A5617" s="12" t="inlineStr">
        <is>
          <t>I-PP-0003</t>
        </is>
      </c>
      <c r="B5617" s="12" t="inlineStr">
        <is>
          <t>I</t>
        </is>
      </c>
      <c r="C5617" s="12" t="inlineStr">
        <is>
          <t>Modular / portable power</t>
        </is>
      </c>
      <c r="D5617" s="12" t="inlineStr">
        <is>
          <t>MOB-1 13.8 kV to PIC through the C-L01 ramp</t>
        </is>
      </c>
      <c r="E5617" s="12" t="inlineStr">
        <is>
          <t>MOB-1</t>
        </is>
      </c>
      <c r="F5617" s="12" t="inlineStr">
        <is>
          <t>MOB-1: trailer genset</t>
        </is>
      </c>
      <c r="G5617" s="12" t="inlineStr">
        <is>
          <t>PIC</t>
        </is>
      </c>
      <c r="H5617" s="12" t="inlineStr">
        <is>
          <t>PIC: portable input cabinet</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2000</v>
      </c>
      <c r="R5617" s="12" t="n">
        <v>93</v>
      </c>
      <c r="S5617" s="12" t="inlineStr">
        <is>
          <t>Surface</t>
        </is>
      </c>
      <c r="T5617" s="15" t="n">
        <v>104</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t>
        </is>
      </c>
      <c r="AA5617" s="12">
        <f>N5617*O5617</f>
        <v/>
      </c>
    </row>
    <row r="5618">
      <c r="A5618" s="12" t="inlineStr">
        <is>
          <t>I-PP-0004</t>
        </is>
      </c>
      <c r="B5618" s="12" t="inlineStr">
        <is>
          <t>I</t>
        </is>
      </c>
      <c r="C5618" s="12" t="inlineStr">
        <is>
          <t>Modular / portable power</t>
        </is>
      </c>
      <c r="D5618" s="12" t="inlineStr">
        <is>
          <t>TGF-1 13.8 kV leads to the switchgear trailer</t>
        </is>
      </c>
      <c r="E5618" s="12" t="inlineStr">
        <is>
          <t>TGF-1</t>
        </is>
      </c>
      <c r="F5618" s="12" t="inlineStr">
        <is>
          <t xml:space="preserve">TGF-1: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92</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I-PP-0005</t>
        </is>
      </c>
      <c r="B5619" s="12" t="inlineStr">
        <is>
          <t>I</t>
        </is>
      </c>
      <c r="C5619" s="12" t="inlineStr">
        <is>
          <t>Modular / portable power</t>
        </is>
      </c>
      <c r="D5619" s="12" t="inlineStr">
        <is>
          <t>TGF-2 13.8 kV leads to the switchgear trailer</t>
        </is>
      </c>
      <c r="E5619" s="12" t="inlineStr">
        <is>
          <t>TGF-2</t>
        </is>
      </c>
      <c r="F5619" s="12" t="inlineStr">
        <is>
          <t xml:space="preserve">TGF-2: trailer-mounted gas-engine generator ~2.5 MW, 13.8 kV (trailer </t>
        </is>
      </c>
      <c r="G5619" s="12" t="inlineStr">
        <is>
          <t>TGF-SWG</t>
        </is>
      </c>
      <c r="H5619" s="12" t="inlineStr">
        <is>
          <t>TGF-SWG: mobile 13.8 kV switchgear trailer (fleet collector)</t>
        </is>
      </c>
      <c r="I5619" s="12" t="inlineStr">
        <is>
          <t>Portable MV</t>
        </is>
      </c>
      <c r="J5619" s="12" t="inlineStr">
        <is>
          <t>Type SHD-GC 15 kV 3/C Cu, 2 grounds + GC, yellow CPE (portable)</t>
        </is>
      </c>
      <c r="K5619" s="12" t="inlineStr">
        <is>
          <t>SHD|3/C|2</t>
        </is>
      </c>
      <c r="L5619" s="12" t="inlineStr">
        <is>
          <t>3/C</t>
        </is>
      </c>
      <c r="M5619" s="12" t="inlineStr">
        <is>
          <t>2</t>
        </is>
      </c>
      <c r="N5619" s="12" t="n">
        <v>1</v>
      </c>
      <c r="O5619" s="12" t="n">
        <v>1</v>
      </c>
      <c r="P5619" s="12" t="n">
        <v>13800</v>
      </c>
      <c r="Q5619" s="12" t="n">
        <v>2500</v>
      </c>
      <c r="R5619" s="12" t="n">
        <v>105</v>
      </c>
      <c r="S5619" s="12" t="inlineStr">
        <is>
          <t>Surface</t>
        </is>
      </c>
      <c r="T5619" s="15" t="n">
        <v>78</v>
      </c>
      <c r="U5619" s="15" t="n">
        <v>27</v>
      </c>
      <c r="V5619" s="15">
        <f>ROUNDUP((T5619+U5619+2*'Read Me'!$B$13)*(1+'Read Me'!$B$12),-1)</f>
        <v/>
      </c>
      <c r="W5619" s="15">
        <f>V5619*N5619*O5619</f>
        <v/>
      </c>
      <c r="X5619" s="12">
        <f>IF(LEFT(I5619,2)="MV",2*N5619*IF(L5619="1/C",O5619,1),0)</f>
        <v/>
      </c>
      <c r="Y5619" s="12">
        <f>IF(OR(LEFT(K5619,4)="LVAX",LEFT(K5619,6)="MV15AX",LEFT(K5619,4)="CTAX",LEFT(K5619,2)="W|"),2*N5619*O5619,0)</f>
        <v/>
      </c>
      <c r="Z5619" s="12" t="inlineStr">
        <is>
          <t>portable, on grade, cam-lock</t>
        </is>
      </c>
      <c r="AA5619" s="12">
        <f>N5619*O5619</f>
        <v/>
      </c>
    </row>
    <row r="5620">
      <c r="A5620" s="12" t="inlineStr">
        <is>
          <t>I-PP-0006</t>
        </is>
      </c>
      <c r="B5620" s="12" t="inlineStr">
        <is>
          <t>I</t>
        </is>
      </c>
      <c r="C5620" s="12" t="inlineStr">
        <is>
          <t>Modular / portable power</t>
        </is>
      </c>
      <c r="D5620" s="12" t="inlineStr">
        <is>
          <t>TGF-3 13.8 kV leads to the switchgear trailer</t>
        </is>
      </c>
      <c r="E5620" s="12" t="inlineStr">
        <is>
          <t>TGF-3</t>
        </is>
      </c>
      <c r="F5620" s="12" t="inlineStr">
        <is>
          <t xml:space="preserve">TGF-3: trailer-mounted gas-engine generator ~2.5 MW, 13.8 kV (trailer </t>
        </is>
      </c>
      <c r="G5620" s="12" t="inlineStr">
        <is>
          <t>TGF-SWG</t>
        </is>
      </c>
      <c r="H5620" s="12" t="inlineStr">
        <is>
          <t>TGF-SWG: mobile 13.8 kV switchgear trailer (fleet collector)</t>
        </is>
      </c>
      <c r="I5620" s="12" t="inlineStr">
        <is>
          <t>Portable MV</t>
        </is>
      </c>
      <c r="J5620" s="12" t="inlineStr">
        <is>
          <t>Type SHD-GC 15 kV 3/C Cu, 2 grounds + GC, yellow CPE (portable)</t>
        </is>
      </c>
      <c r="K5620" s="12" t="inlineStr">
        <is>
          <t>SHD|3/C|2</t>
        </is>
      </c>
      <c r="L5620" s="12" t="inlineStr">
        <is>
          <t>3/C</t>
        </is>
      </c>
      <c r="M5620" s="12" t="inlineStr">
        <is>
          <t>2</t>
        </is>
      </c>
      <c r="N5620" s="12" t="n">
        <v>1</v>
      </c>
      <c r="O5620" s="12" t="n">
        <v>1</v>
      </c>
      <c r="P5620" s="12" t="n">
        <v>13800</v>
      </c>
      <c r="Q5620" s="12" t="n">
        <v>2500</v>
      </c>
      <c r="R5620" s="12" t="n">
        <v>105</v>
      </c>
      <c r="S5620" s="12" t="inlineStr">
        <is>
          <t>Surface</t>
        </is>
      </c>
      <c r="T5620" s="15" t="n">
        <v>64</v>
      </c>
      <c r="U5620" s="15" t="n">
        <v>27</v>
      </c>
      <c r="V5620" s="15">
        <f>ROUNDUP((T5620+U5620+2*'Read Me'!$B$13)*(1+'Read Me'!$B$12),-1)</f>
        <v/>
      </c>
      <c r="W5620" s="15">
        <f>V5620*N5620*O5620</f>
        <v/>
      </c>
      <c r="X5620" s="12">
        <f>IF(LEFT(I5620,2)="MV",2*N5620*IF(L5620="1/C",O5620,1),0)</f>
        <v/>
      </c>
      <c r="Y5620" s="12">
        <f>IF(OR(LEFT(K5620,4)="LVAX",LEFT(K5620,6)="MV15AX",LEFT(K5620,4)="CTAX",LEFT(K5620,2)="W|"),2*N5620*O5620,0)</f>
        <v/>
      </c>
      <c r="Z5620" s="12" t="inlineStr">
        <is>
          <t>portable, on grade, cam-lock</t>
        </is>
      </c>
      <c r="AA5620" s="12">
        <f>N5620*O5620</f>
        <v/>
      </c>
    </row>
    <row r="5621">
      <c r="A5621" s="12" t="inlineStr">
        <is>
          <t>I-PP-0007</t>
        </is>
      </c>
      <c r="B5621" s="12" t="inlineStr">
        <is>
          <t>I</t>
        </is>
      </c>
      <c r="C5621" s="12" t="inlineStr">
        <is>
          <t>Modular / portable power</t>
        </is>
      </c>
      <c r="D5621" s="12" t="inlineStr">
        <is>
          <t>TGF-4 13.8 kV leads to the switchgear trailer</t>
        </is>
      </c>
      <c r="E5621" s="12" t="inlineStr">
        <is>
          <t>TGF-4</t>
        </is>
      </c>
      <c r="F5621" s="12" t="inlineStr">
        <is>
          <t xml:space="preserve">TGF-4: trailer-mounted gas-engine generator ~2.5 MW, 13.8 kV (trailer </t>
        </is>
      </c>
      <c r="G5621" s="12" t="inlineStr">
        <is>
          <t>TGF-SWG</t>
        </is>
      </c>
      <c r="H5621" s="12" t="inlineStr">
        <is>
          <t>TGF-SWG: mobile 13.8 kV switchgear trailer (fleet collector)</t>
        </is>
      </c>
      <c r="I5621" s="12" t="inlineStr">
        <is>
          <t>Portable MV</t>
        </is>
      </c>
      <c r="J5621" s="12" t="inlineStr">
        <is>
          <t>Type SHD-GC 15 kV 3/C Cu, 2 grounds + GC, yellow CPE (portable)</t>
        </is>
      </c>
      <c r="K5621" s="12" t="inlineStr">
        <is>
          <t>SHD|3/C|2</t>
        </is>
      </c>
      <c r="L5621" s="12" t="inlineStr">
        <is>
          <t>3/C</t>
        </is>
      </c>
      <c r="M5621" s="12" t="inlineStr">
        <is>
          <t>2</t>
        </is>
      </c>
      <c r="N5621" s="12" t="n">
        <v>1</v>
      </c>
      <c r="O5621" s="12" t="n">
        <v>1</v>
      </c>
      <c r="P5621" s="12" t="n">
        <v>13800</v>
      </c>
      <c r="Q5621" s="12" t="n">
        <v>2500</v>
      </c>
      <c r="R5621" s="12" t="n">
        <v>105</v>
      </c>
      <c r="S5621" s="12" t="inlineStr">
        <is>
          <t>Surface</t>
        </is>
      </c>
      <c r="T5621" s="15" t="n">
        <v>50</v>
      </c>
      <c r="U5621" s="15" t="n">
        <v>27</v>
      </c>
      <c r="V5621" s="15">
        <f>ROUNDUP((T5621+U5621+2*'Read Me'!$B$13)*(1+'Read Me'!$B$12),-1)</f>
        <v/>
      </c>
      <c r="W5621" s="15">
        <f>V5621*N5621*O5621</f>
        <v/>
      </c>
      <c r="X5621" s="12">
        <f>IF(LEFT(I5621,2)="MV",2*N5621*IF(L5621="1/C",O5621,1),0)</f>
        <v/>
      </c>
      <c r="Y5621" s="12">
        <f>IF(OR(LEFT(K5621,4)="LVAX",LEFT(K5621,6)="MV15AX",LEFT(K5621,4)="CTAX",LEFT(K5621,2)="W|"),2*N5621*O5621,0)</f>
        <v/>
      </c>
      <c r="Z5621" s="12" t="inlineStr">
        <is>
          <t>portable, on grade, cam-lock</t>
        </is>
      </c>
      <c r="AA5621" s="12">
        <f>N5621*O5621</f>
        <v/>
      </c>
    </row>
    <row r="5622">
      <c r="A5622" s="12" t="inlineStr">
        <is>
          <t>I-PP-0008</t>
        </is>
      </c>
      <c r="B5622" s="12" t="inlineStr">
        <is>
          <t>I</t>
        </is>
      </c>
      <c r="C5622" s="12" t="inlineStr">
        <is>
          <t>Modular / portable power</t>
        </is>
      </c>
      <c r="D5622" s="12" t="inlineStr">
        <is>
          <t>TGF-5 13.8 kV leads to the switchgear trailer</t>
        </is>
      </c>
      <c r="E5622" s="12" t="inlineStr">
        <is>
          <t>TGF-5</t>
        </is>
      </c>
      <c r="F5622" s="12" t="inlineStr">
        <is>
          <t xml:space="preserve">TGF-5: trailer-mounted gas-engine generator ~2.5 MW, 13.8 kV (trailer </t>
        </is>
      </c>
      <c r="G5622" s="12" t="inlineStr">
        <is>
          <t>TGF-SWG</t>
        </is>
      </c>
      <c r="H5622" s="12" t="inlineStr">
        <is>
          <t>TGF-SWG: mobile 13.8 kV switchgear trailer (fleet collector)</t>
        </is>
      </c>
      <c r="I5622" s="12" t="inlineStr">
        <is>
          <t>Portable MV</t>
        </is>
      </c>
      <c r="J5622" s="12" t="inlineStr">
        <is>
          <t>Type SHD-GC 15 kV 3/C Cu, 2 grounds + GC, yellow CPE (portable)</t>
        </is>
      </c>
      <c r="K5622" s="12" t="inlineStr">
        <is>
          <t>SHD|3/C|2</t>
        </is>
      </c>
      <c r="L5622" s="12" t="inlineStr">
        <is>
          <t>3/C</t>
        </is>
      </c>
      <c r="M5622" s="12" t="inlineStr">
        <is>
          <t>2</t>
        </is>
      </c>
      <c r="N5622" s="12" t="n">
        <v>1</v>
      </c>
      <c r="O5622" s="12" t="n">
        <v>1</v>
      </c>
      <c r="P5622" s="12" t="n">
        <v>13800</v>
      </c>
      <c r="Q5622" s="12" t="n">
        <v>2500</v>
      </c>
      <c r="R5622" s="12" t="n">
        <v>105</v>
      </c>
      <c r="S5622" s="12" t="inlineStr">
        <is>
          <t>Surface</t>
        </is>
      </c>
      <c r="T5622" s="15" t="n">
        <v>38</v>
      </c>
      <c r="U5622" s="15" t="n">
        <v>27</v>
      </c>
      <c r="V5622" s="15">
        <f>ROUNDUP((T5622+U5622+2*'Read Me'!$B$13)*(1+'Read Me'!$B$12),-1)</f>
        <v/>
      </c>
      <c r="W5622" s="15">
        <f>V5622*N5622*O5622</f>
        <v/>
      </c>
      <c r="X5622" s="12">
        <f>IF(LEFT(I5622,2)="MV",2*N5622*IF(L5622="1/C",O5622,1),0)</f>
        <v/>
      </c>
      <c r="Y5622" s="12">
        <f>IF(OR(LEFT(K5622,4)="LVAX",LEFT(K5622,6)="MV15AX",LEFT(K5622,4)="CTAX",LEFT(K5622,2)="W|"),2*N5622*O5622,0)</f>
        <v/>
      </c>
      <c r="Z5622" s="12" t="inlineStr">
        <is>
          <t>portable, on grade, cam-lock</t>
        </is>
      </c>
      <c r="AA5622" s="12">
        <f>N5622*O5622</f>
        <v/>
      </c>
    </row>
    <row r="5623">
      <c r="A5623" s="12" t="inlineStr">
        <is>
          <t>I-PP-0009</t>
        </is>
      </c>
      <c r="B5623" s="12" t="inlineStr">
        <is>
          <t>I</t>
        </is>
      </c>
      <c r="C5623" s="12" t="inlineStr">
        <is>
          <t>Modular / portable power</t>
        </is>
      </c>
      <c r="D5623" s="12" t="inlineStr">
        <is>
          <t>TGF-6 13.8 kV leads to the switchgear trailer</t>
        </is>
      </c>
      <c r="E5623" s="12" t="inlineStr">
        <is>
          <t>TGF-6</t>
        </is>
      </c>
      <c r="F5623" s="12" t="inlineStr">
        <is>
          <t xml:space="preserve">TGF-6: trailer-mounted gas-engine generator ~2.5 MW, 13.8 kV (trailer </t>
        </is>
      </c>
      <c r="G5623" s="12" t="inlineStr">
        <is>
          <t>TGF-SWG</t>
        </is>
      </c>
      <c r="H5623" s="12" t="inlineStr">
        <is>
          <t>TGF-SWG: mobile 13.8 kV switchgear trailer (fleet collector)</t>
        </is>
      </c>
      <c r="I5623" s="12" t="inlineStr">
        <is>
          <t>Portable MV</t>
        </is>
      </c>
      <c r="J5623" s="12" t="inlineStr">
        <is>
          <t>Type SHD-GC 15 kV 3/C Cu, 2 grounds + GC, yellow CPE (portable)</t>
        </is>
      </c>
      <c r="K5623" s="12" t="inlineStr">
        <is>
          <t>SHD|3/C|2</t>
        </is>
      </c>
      <c r="L5623" s="12" t="inlineStr">
        <is>
          <t>3/C</t>
        </is>
      </c>
      <c r="M5623" s="12" t="inlineStr">
        <is>
          <t>2</t>
        </is>
      </c>
      <c r="N5623" s="12" t="n">
        <v>1</v>
      </c>
      <c r="O5623" s="12" t="n">
        <v>1</v>
      </c>
      <c r="P5623" s="12" t="n">
        <v>13800</v>
      </c>
      <c r="Q5623" s="12" t="n">
        <v>2500</v>
      </c>
      <c r="R5623" s="12" t="n">
        <v>105</v>
      </c>
      <c r="S5623" s="12" t="inlineStr">
        <is>
          <t>Surface</t>
        </is>
      </c>
      <c r="T5623" s="15" t="n">
        <v>26</v>
      </c>
      <c r="U5623" s="15" t="n">
        <v>27</v>
      </c>
      <c r="V5623" s="15">
        <f>ROUNDUP((T5623+U5623+2*'Read Me'!$B$13)*(1+'Read Me'!$B$12),-1)</f>
        <v/>
      </c>
      <c r="W5623" s="15">
        <f>V5623*N5623*O5623</f>
        <v/>
      </c>
      <c r="X5623" s="12">
        <f>IF(LEFT(I5623,2)="MV",2*N5623*IF(L5623="1/C",O5623,1),0)</f>
        <v/>
      </c>
      <c r="Y5623" s="12">
        <f>IF(OR(LEFT(K5623,4)="LVAX",LEFT(K5623,6)="MV15AX",LEFT(K5623,4)="CTAX",LEFT(K5623,2)="W|"),2*N5623*O5623,0)</f>
        <v/>
      </c>
      <c r="Z5623" s="12" t="inlineStr">
        <is>
          <t>portable, on grade, cam-lock</t>
        </is>
      </c>
      <c r="AA5623" s="12">
        <f>N5623*O5623</f>
        <v/>
      </c>
    </row>
    <row r="5624">
      <c r="A5624" s="12" t="inlineStr">
        <is>
          <t>J-C-0001</t>
        </is>
      </c>
      <c r="B5624" s="12" t="inlineStr">
        <is>
          <t>J</t>
        </is>
      </c>
      <c r="C5624" s="12" t="inlineStr">
        <is>
          <t>GT inlet chilling</t>
        </is>
      </c>
      <c r="D5624" s="12" t="inlineStr">
        <is>
          <t>Motor 1 of 4: control / local station</t>
        </is>
      </c>
      <c r="E5624" s="12" t="inlineStr"/>
      <c r="F5624" s="12" t="inlineStr">
        <is>
          <t>Inlet-chilling e-house / transformer</t>
        </is>
      </c>
      <c r="G5624" s="12" t="inlineStr"/>
      <c r="H5624" s="12" t="inlineStr">
        <is>
          <t>CHW pumps</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579</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J-C-0002</t>
        </is>
      </c>
      <c r="B5625" s="12" t="inlineStr">
        <is>
          <t>J</t>
        </is>
      </c>
      <c r="C5625" s="12" t="inlineStr">
        <is>
          <t>GT inlet chilling</t>
        </is>
      </c>
      <c r="D5625" s="12" t="inlineStr">
        <is>
          <t>Motor 2 of 4: control / local station</t>
        </is>
      </c>
      <c r="E5625" s="12" t="inlineStr"/>
      <c r="F5625" s="12" t="inlineStr">
        <is>
          <t>Inlet-chilling e-house / transformer</t>
        </is>
      </c>
      <c r="G5625" s="12" t="inlineStr"/>
      <c r="H5625" s="12" t="inlineStr">
        <is>
          <t>CHW pumps</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579</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J-C-0003</t>
        </is>
      </c>
      <c r="B5626" s="12" t="inlineStr">
        <is>
          <t>J</t>
        </is>
      </c>
      <c r="C5626" s="12" t="inlineStr">
        <is>
          <t>GT inlet chilling</t>
        </is>
      </c>
      <c r="D5626" s="12" t="inlineStr">
        <is>
          <t>Motor 3 of 4: control / local station</t>
        </is>
      </c>
      <c r="E5626" s="12" t="inlineStr"/>
      <c r="F5626" s="12" t="inlineStr">
        <is>
          <t>Inlet-chilling e-house / transformer</t>
        </is>
      </c>
      <c r="G5626" s="12" t="inlineStr"/>
      <c r="H5626" s="12" t="inlineStr">
        <is>
          <t>CHW pumps</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579</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J-C-0004</t>
        </is>
      </c>
      <c r="B5627" s="12" t="inlineStr">
        <is>
          <t>J</t>
        </is>
      </c>
      <c r="C5627" s="12" t="inlineStr">
        <is>
          <t>GT inlet chilling</t>
        </is>
      </c>
      <c r="D5627" s="12" t="inlineStr">
        <is>
          <t>Motor 4 of 4: control / local station</t>
        </is>
      </c>
      <c r="E5627" s="12" t="inlineStr"/>
      <c r="F5627" s="12" t="inlineStr">
        <is>
          <t>Inlet-chilling e-house / transformer</t>
        </is>
      </c>
      <c r="G5627" s="12" t="inlineStr"/>
      <c r="H5627" s="12" t="inlineStr">
        <is>
          <t>CHW pumps</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579</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J-C-0005</t>
        </is>
      </c>
      <c r="B5628" s="12" t="inlineStr">
        <is>
          <t>J</t>
        </is>
      </c>
      <c r="C5628" s="12" t="inlineStr">
        <is>
          <t>GT inlet chilling</t>
        </is>
      </c>
      <c r="D5628" s="12" t="inlineStr">
        <is>
          <t>Motor 1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J-C-0006</t>
        </is>
      </c>
      <c r="B5629" s="12" t="inlineStr">
        <is>
          <t>J</t>
        </is>
      </c>
      <c r="C5629" s="12" t="inlineStr">
        <is>
          <t>GT inlet chilling</t>
        </is>
      </c>
      <c r="D5629" s="12" t="inlineStr">
        <is>
          <t>Motor 2 of 6: control / local station</t>
        </is>
      </c>
      <c r="E5629" s="12" t="inlineStr"/>
      <c r="F5629" s="12" t="inlineStr">
        <is>
          <t>Inlet-chilling e-house / transformer</t>
        </is>
      </c>
      <c r="G5629" s="12" t="inlineStr"/>
      <c r="H5629" s="12" t="inlineStr">
        <is>
          <t>Chillers x6 (water-cooled)</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Duct bank</t>
        </is>
      </c>
      <c r="T5629" s="15" t="n">
        <v>10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J-C-0007</t>
        </is>
      </c>
      <c r="B5630" s="12" t="inlineStr">
        <is>
          <t>J</t>
        </is>
      </c>
      <c r="C5630" s="12" t="inlineStr">
        <is>
          <t>GT inlet chilling</t>
        </is>
      </c>
      <c r="D5630" s="12" t="inlineStr">
        <is>
          <t>Motor 3 of 6: control / local station</t>
        </is>
      </c>
      <c r="E5630" s="12" t="inlineStr"/>
      <c r="F5630" s="12" t="inlineStr">
        <is>
          <t>Inlet-chilling e-house / transformer</t>
        </is>
      </c>
      <c r="G5630" s="12" t="inlineStr"/>
      <c r="H5630" s="12" t="inlineStr">
        <is>
          <t>Chillers x6 (water-cooled)</t>
        </is>
      </c>
      <c r="I5630" s="12" t="inlineStr">
        <is>
          <t>Control</t>
        </is>
      </c>
      <c r="J5630" s="12" t="inlineStr">
        <is>
          <t>Control cable 600 V Type TC-ER, Cu #14 AWG, PVC jacket</t>
        </is>
      </c>
      <c r="K5630" s="12" t="inlineStr">
        <is>
          <t>CT|7/C|14</t>
        </is>
      </c>
      <c r="L5630" s="12" t="inlineStr">
        <is>
          <t>7/C</t>
        </is>
      </c>
      <c r="M5630" s="12" t="inlineStr">
        <is>
          <t>14</t>
        </is>
      </c>
      <c r="N5630" s="12" t="n">
        <v>1</v>
      </c>
      <c r="O5630" s="12" t="n">
        <v>1</v>
      </c>
      <c r="P5630" s="12" t="n"/>
      <c r="Q5630" s="12" t="n"/>
      <c r="R5630" s="12" t="n"/>
      <c r="S5630" s="12" t="inlineStr">
        <is>
          <t>Duct bank</t>
        </is>
      </c>
      <c r="T5630" s="15" t="n">
        <v>10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J-C-0008</t>
        </is>
      </c>
      <c r="B5631" s="12" t="inlineStr">
        <is>
          <t>J</t>
        </is>
      </c>
      <c r="C5631" s="12" t="inlineStr">
        <is>
          <t>GT inlet chilling</t>
        </is>
      </c>
      <c r="D5631" s="12" t="inlineStr">
        <is>
          <t>Motor 4 of 6: control / local station</t>
        </is>
      </c>
      <c r="E5631" s="12" t="inlineStr"/>
      <c r="F5631" s="12" t="inlineStr">
        <is>
          <t>Inlet-chilling e-house / transformer</t>
        </is>
      </c>
      <c r="G5631" s="12" t="inlineStr"/>
      <c r="H5631" s="12" t="inlineStr">
        <is>
          <t>Chillers x6 (water-cooled)</t>
        </is>
      </c>
      <c r="I5631" s="12" t="inlineStr">
        <is>
          <t>Control</t>
        </is>
      </c>
      <c r="J5631" s="12" t="inlineStr">
        <is>
          <t>Control cable 600 V Type TC-ER, Cu #14 AWG, PVC jacket</t>
        </is>
      </c>
      <c r="K5631" s="12" t="inlineStr">
        <is>
          <t>CT|7/C|14</t>
        </is>
      </c>
      <c r="L5631" s="12" t="inlineStr">
        <is>
          <t>7/C</t>
        </is>
      </c>
      <c r="M5631" s="12" t="inlineStr">
        <is>
          <t>14</t>
        </is>
      </c>
      <c r="N5631" s="12" t="n">
        <v>1</v>
      </c>
      <c r="O5631" s="12" t="n">
        <v>1</v>
      </c>
      <c r="P5631" s="12" t="n"/>
      <c r="Q5631" s="12" t="n"/>
      <c r="R5631" s="12" t="n"/>
      <c r="S5631" s="12" t="inlineStr">
        <is>
          <t>Duct bank</t>
        </is>
      </c>
      <c r="T5631" s="15" t="n">
        <v>10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J-C-0009</t>
        </is>
      </c>
      <c r="B5632" s="12" t="inlineStr">
        <is>
          <t>J</t>
        </is>
      </c>
      <c r="C5632" s="12" t="inlineStr">
        <is>
          <t>GT inlet chilling</t>
        </is>
      </c>
      <c r="D5632" s="12" t="inlineStr">
        <is>
          <t>Motor 5 of 6: control / local station</t>
        </is>
      </c>
      <c r="E5632" s="12" t="inlineStr"/>
      <c r="F5632" s="12" t="inlineStr">
        <is>
          <t>Inlet-chilling e-house / transformer</t>
        </is>
      </c>
      <c r="G5632" s="12" t="inlineStr"/>
      <c r="H5632" s="12" t="inlineStr">
        <is>
          <t>Chillers x6 (water-cooled)</t>
        </is>
      </c>
      <c r="I5632" s="12" t="inlineStr">
        <is>
          <t>Control</t>
        </is>
      </c>
      <c r="J5632" s="12" t="inlineStr">
        <is>
          <t>Control cable 600 V Type TC-ER, Cu #14 AWG, PVC jacket</t>
        </is>
      </c>
      <c r="K5632" s="12" t="inlineStr">
        <is>
          <t>CT|7/C|14</t>
        </is>
      </c>
      <c r="L5632" s="12" t="inlineStr">
        <is>
          <t>7/C</t>
        </is>
      </c>
      <c r="M5632" s="12" t="inlineStr">
        <is>
          <t>14</t>
        </is>
      </c>
      <c r="N5632" s="12" t="n">
        <v>1</v>
      </c>
      <c r="O5632" s="12" t="n">
        <v>1</v>
      </c>
      <c r="P5632" s="12" t="n"/>
      <c r="Q5632" s="12" t="n"/>
      <c r="R5632" s="12" t="n"/>
      <c r="S5632" s="12" t="inlineStr">
        <is>
          <t>Duct bank</t>
        </is>
      </c>
      <c r="T5632" s="15" t="n">
        <v>10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J-C-0010</t>
        </is>
      </c>
      <c r="B5633" s="12" t="inlineStr">
        <is>
          <t>J</t>
        </is>
      </c>
      <c r="C5633" s="12" t="inlineStr">
        <is>
          <t>GT inlet chilling</t>
        </is>
      </c>
      <c r="D5633" s="12" t="inlineStr">
        <is>
          <t>Motor 6 of 6: control / local station</t>
        </is>
      </c>
      <c r="E5633" s="12" t="inlineStr"/>
      <c r="F5633" s="12" t="inlineStr">
        <is>
          <t>Inlet-chilling e-house / transformer</t>
        </is>
      </c>
      <c r="G5633" s="12" t="inlineStr"/>
      <c r="H5633" s="12" t="inlineStr">
        <is>
          <t>Chillers x6 (water-cooled)</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J-C-0011</t>
        </is>
      </c>
      <c r="B5634" s="12" t="inlineStr">
        <is>
          <t>J</t>
        </is>
      </c>
      <c r="C5634" s="12" t="inlineStr">
        <is>
          <t>GT inlet chilling</t>
        </is>
      </c>
      <c r="D5634" s="12" t="inlineStr">
        <is>
          <t>Control</t>
        </is>
      </c>
      <c r="E5634" s="12" t="inlineStr"/>
      <c r="F5634" s="12" t="inlineStr">
        <is>
          <t>Inlet-chilling e-house / transformer</t>
        </is>
      </c>
      <c r="G5634" s="12" t="inlineStr"/>
      <c r="H5634" s="12" t="inlineStr">
        <is>
          <t>Inlet-chilling e-house / transformer</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Tray</t>
        </is>
      </c>
      <c r="T5634" s="15" t="n">
        <v>0</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J-C-0012</t>
        </is>
      </c>
      <c r="B5635" s="12" t="inlineStr">
        <is>
          <t>J</t>
        </is>
      </c>
      <c r="C5635" s="12" t="inlineStr">
        <is>
          <t>GT inlet chilling</t>
        </is>
      </c>
      <c r="D5635" s="12" t="inlineStr">
        <is>
          <t>Control</t>
        </is>
      </c>
      <c r="E5635" s="12" t="inlineStr"/>
      <c r="F5635" s="12" t="inlineStr">
        <is>
          <t>Inlet-chilling e-house / transformer</t>
        </is>
      </c>
      <c r="G5635" s="12" t="inlineStr"/>
      <c r="H5635" s="12" t="inlineStr">
        <is>
          <t>Inlet-chilling e-house / transformer</t>
        </is>
      </c>
      <c r="I5635" s="12" t="inlineStr">
        <is>
          <t>Control</t>
        </is>
      </c>
      <c r="J5635" s="12" t="inlineStr">
        <is>
          <t>Control cable 600 V Type TC-ER, Cu #14 AWG, PVC jacket</t>
        </is>
      </c>
      <c r="K5635" s="12" t="inlineStr">
        <is>
          <t>CT|12/C|14</t>
        </is>
      </c>
      <c r="L5635" s="12" t="inlineStr">
        <is>
          <t>12/C</t>
        </is>
      </c>
      <c r="M5635" s="12" t="inlineStr">
        <is>
          <t>14</t>
        </is>
      </c>
      <c r="N5635" s="12" t="n">
        <v>1</v>
      </c>
      <c r="O5635" s="12" t="n">
        <v>1</v>
      </c>
      <c r="P5635" s="12" t="n"/>
      <c r="Q5635" s="12" t="n"/>
      <c r="R5635" s="12" t="n"/>
      <c r="S5635" s="12" t="inlineStr">
        <is>
          <t>Tray</t>
        </is>
      </c>
      <c r="T5635" s="15" t="n">
        <v>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J-C-0013</t>
        </is>
      </c>
      <c r="B5636" s="12" t="inlineStr">
        <is>
          <t>J</t>
        </is>
      </c>
      <c r="C5636" s="12" t="inlineStr">
        <is>
          <t>GT inlet chilling</t>
        </is>
      </c>
      <c r="D5636" s="12" t="inlineStr">
        <is>
          <t>CT / VT</t>
        </is>
      </c>
      <c r="E5636" s="12" t="inlineStr"/>
      <c r="F5636" s="12" t="inlineStr">
        <is>
          <t>Inlet-chilling e-house / transformer</t>
        </is>
      </c>
      <c r="G5636" s="12" t="inlineStr"/>
      <c r="H5636" s="12" t="inlineStr">
        <is>
          <t>Inlet-chilling e-house / transformer</t>
        </is>
      </c>
      <c r="I5636" s="12" t="inlineStr">
        <is>
          <t>Control</t>
        </is>
      </c>
      <c r="J5636" s="12" t="inlineStr">
        <is>
          <t>Control cable 600 V Type TC-ER, Cu #10 AWG (CT / VT circuits)</t>
        </is>
      </c>
      <c r="K5636" s="12" t="inlineStr">
        <is>
          <t>CTCT|4/C|10</t>
        </is>
      </c>
      <c r="L5636" s="12" t="inlineStr">
        <is>
          <t>4/C</t>
        </is>
      </c>
      <c r="M5636" s="12" t="inlineStr">
        <is>
          <t>10</t>
        </is>
      </c>
      <c r="N5636" s="12" t="n">
        <v>1</v>
      </c>
      <c r="O5636" s="12" t="n">
        <v>1</v>
      </c>
      <c r="P5636" s="12" t="n"/>
      <c r="Q5636" s="12" t="n"/>
      <c r="R5636" s="12" t="n"/>
      <c r="S5636" s="12" t="inlineStr">
        <is>
          <t>Tray</t>
        </is>
      </c>
      <c r="T5636" s="15" t="n">
        <v>0</v>
      </c>
      <c r="U5636" s="15" t="n">
        <v>32</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J-C-0014</t>
        </is>
      </c>
      <c r="B5637" s="12" t="inlineStr">
        <is>
          <t>J</t>
        </is>
      </c>
      <c r="C5637" s="12" t="inlineStr">
        <is>
          <t>GT inlet chilling</t>
        </is>
      </c>
      <c r="D5637" s="12" t="inlineStr">
        <is>
          <t>CT / VT</t>
        </is>
      </c>
      <c r="E5637" s="12" t="inlineStr"/>
      <c r="F5637" s="12" t="inlineStr">
        <is>
          <t>Inlet-chilling e-house / transformer</t>
        </is>
      </c>
      <c r="G5637" s="12" t="inlineStr"/>
      <c r="H5637" s="12" t="inlineStr">
        <is>
          <t>Inlet-chilling e-house / transformer</t>
        </is>
      </c>
      <c r="I5637" s="12" t="inlineStr">
        <is>
          <t>Control</t>
        </is>
      </c>
      <c r="J5637" s="12" t="inlineStr">
        <is>
          <t>Control cable 600 V Type TC-ER, Cu #10 AWG (CT / VT circuits)</t>
        </is>
      </c>
      <c r="K5637" s="12" t="inlineStr">
        <is>
          <t>CTCT|4/C|10</t>
        </is>
      </c>
      <c r="L5637" s="12" t="inlineStr">
        <is>
          <t>4/C</t>
        </is>
      </c>
      <c r="M5637" s="12" t="inlineStr">
        <is>
          <t>10</t>
        </is>
      </c>
      <c r="N5637" s="12" t="n">
        <v>1</v>
      </c>
      <c r="O5637" s="12" t="n">
        <v>1</v>
      </c>
      <c r="P5637" s="12" t="n"/>
      <c r="Q5637" s="12" t="n"/>
      <c r="R5637" s="12" t="n"/>
      <c r="S5637" s="12" t="inlineStr">
        <is>
          <t>Tray</t>
        </is>
      </c>
      <c r="T5637" s="15" t="n">
        <v>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J-C-0015</t>
        </is>
      </c>
      <c r="B5638" s="12" t="inlineStr">
        <is>
          <t>J</t>
        </is>
      </c>
      <c r="C5638" s="12" t="inlineStr">
        <is>
          <t>GT inlet chilling</t>
        </is>
      </c>
      <c r="D5638" s="12" t="inlineStr">
        <is>
          <t>Motor 1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J-C-0016</t>
        </is>
      </c>
      <c r="B5639" s="12" t="inlineStr">
        <is>
          <t>J</t>
        </is>
      </c>
      <c r="C5639" s="12" t="inlineStr">
        <is>
          <t>GT inlet chilling</t>
        </is>
      </c>
      <c r="D5639" s="12" t="inlineStr">
        <is>
          <t>Motor 2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J-C-0017</t>
        </is>
      </c>
      <c r="B5640" s="12" t="inlineStr">
        <is>
          <t>J</t>
        </is>
      </c>
      <c r="C5640" s="12" t="inlineStr">
        <is>
          <t>GT inlet chilling</t>
        </is>
      </c>
      <c r="D5640" s="12" t="inlineStr">
        <is>
          <t>Motor 3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J-C-0018</t>
        </is>
      </c>
      <c r="B5641" s="12" t="inlineStr">
        <is>
          <t>J</t>
        </is>
      </c>
      <c r="C5641" s="12" t="inlineStr">
        <is>
          <t>GT inlet chilling</t>
        </is>
      </c>
      <c r="D5641" s="12" t="inlineStr">
        <is>
          <t>Motor 4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J-C-0019</t>
        </is>
      </c>
      <c r="B5642" s="12" t="inlineStr">
        <is>
          <t>J</t>
        </is>
      </c>
      <c r="C5642" s="12" t="inlineStr">
        <is>
          <t>GT inlet chilling</t>
        </is>
      </c>
      <c r="D5642" s="12" t="inlineStr">
        <is>
          <t>Motor 5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J-C-0020</t>
        </is>
      </c>
      <c r="B5643" s="12" t="inlineStr">
        <is>
          <t>J</t>
        </is>
      </c>
      <c r="C5643" s="12" t="inlineStr">
        <is>
          <t>GT inlet chilling</t>
        </is>
      </c>
      <c r="D5643" s="12" t="inlineStr">
        <is>
          <t>Motor 6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J-C-0021</t>
        </is>
      </c>
      <c r="B5644" s="12" t="inlineStr">
        <is>
          <t>J</t>
        </is>
      </c>
      <c r="C5644" s="12" t="inlineStr">
        <is>
          <t>GT inlet chilling</t>
        </is>
      </c>
      <c r="D5644" s="12" t="inlineStr">
        <is>
          <t>Motor 7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J-C-0022</t>
        </is>
      </c>
      <c r="B5645" s="12" t="inlineStr">
        <is>
          <t>J</t>
        </is>
      </c>
      <c r="C5645" s="12" t="inlineStr">
        <is>
          <t>GT inlet chilling</t>
        </is>
      </c>
      <c r="D5645" s="12" t="inlineStr">
        <is>
          <t>Motor 8 of 12: control / local station</t>
        </is>
      </c>
      <c r="E5645" s="12" t="inlineStr"/>
      <c r="F5645" s="12" t="inlineStr">
        <is>
          <t>Inlet-chilling e-house / transformer</t>
        </is>
      </c>
      <c r="G5645" s="12" t="inlineStr"/>
      <c r="H5645" s="12" t="inlineStr">
        <is>
          <t>Inlet-chilling tower (12 cells): chiller heat rejection</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478</v>
      </c>
      <c r="U5645" s="15" t="n">
        <v>38</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J-C-0023</t>
        </is>
      </c>
      <c r="B5646" s="12" t="inlineStr">
        <is>
          <t>J</t>
        </is>
      </c>
      <c r="C5646" s="12" t="inlineStr">
        <is>
          <t>GT inlet chilling</t>
        </is>
      </c>
      <c r="D5646" s="12" t="inlineStr">
        <is>
          <t>Motor 9 of 12: control / local station</t>
        </is>
      </c>
      <c r="E5646" s="12" t="inlineStr"/>
      <c r="F5646" s="12" t="inlineStr">
        <is>
          <t>Inlet-chilling e-house / transformer</t>
        </is>
      </c>
      <c r="G5646" s="12" t="inlineStr"/>
      <c r="H5646" s="12" t="inlineStr">
        <is>
          <t>Inlet-chilling tower (12 cells): chiller heat rejection</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J-C-0024</t>
        </is>
      </c>
      <c r="B5647" s="12" t="inlineStr">
        <is>
          <t>J</t>
        </is>
      </c>
      <c r="C5647" s="12" t="inlineStr">
        <is>
          <t>GT inlet chilling</t>
        </is>
      </c>
      <c r="D5647" s="12" t="inlineStr">
        <is>
          <t>Motor 10 of 12: control / local station</t>
        </is>
      </c>
      <c r="E5647" s="12" t="inlineStr"/>
      <c r="F5647" s="12" t="inlineStr">
        <is>
          <t>Inlet-chilling e-house / transformer</t>
        </is>
      </c>
      <c r="G5647" s="12" t="inlineStr"/>
      <c r="H5647" s="12" t="inlineStr">
        <is>
          <t>Inlet-chilling tower (12 cells): chiller heat rejection</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478</v>
      </c>
      <c r="U5647" s="15" t="n">
        <v>38</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J-C-0025</t>
        </is>
      </c>
      <c r="B5648" s="12" t="inlineStr">
        <is>
          <t>J</t>
        </is>
      </c>
      <c r="C5648" s="12" t="inlineStr">
        <is>
          <t>GT inlet chilling</t>
        </is>
      </c>
      <c r="D5648" s="12" t="inlineStr">
        <is>
          <t>Motor 11 of 12: control / local station</t>
        </is>
      </c>
      <c r="E5648" s="12" t="inlineStr"/>
      <c r="F5648" s="12" t="inlineStr">
        <is>
          <t>Inlet-chilling e-house / transformer</t>
        </is>
      </c>
      <c r="G5648" s="12" t="inlineStr"/>
      <c r="H5648" s="12" t="inlineStr">
        <is>
          <t>Inlet-chilling tower (12 cells): chiller heat rejection</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J-C-0026</t>
        </is>
      </c>
      <c r="B5649" s="12" t="inlineStr">
        <is>
          <t>J</t>
        </is>
      </c>
      <c r="C5649" s="12" t="inlineStr">
        <is>
          <t>GT inlet chilling</t>
        </is>
      </c>
      <c r="D5649" s="12" t="inlineStr">
        <is>
          <t>Motor 12 of 12: control / local station</t>
        </is>
      </c>
      <c r="E5649" s="12" t="inlineStr"/>
      <c r="F5649" s="12" t="inlineStr">
        <is>
          <t>Inlet-chilling e-house / transformer</t>
        </is>
      </c>
      <c r="G5649" s="12" t="inlineStr"/>
      <c r="H5649" s="12" t="inlineStr">
        <is>
          <t>Inlet-chilling tower (12 cells): chiller heat rejection</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478</v>
      </c>
      <c r="U5649" s="15" t="n">
        <v>38</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J-I-0001</t>
        </is>
      </c>
      <c r="B5650" s="12" t="inlineStr">
        <is>
          <t>J</t>
        </is>
      </c>
      <c r="C5650" s="12" t="inlineStr">
        <is>
          <t>GT inlet chilling</t>
        </is>
      </c>
      <c r="D5650" s="12" t="inlineStr">
        <is>
          <t>Analog instrument to JB JB-CHW pumps-AI01: 12 x 1 pr (field cables)</t>
        </is>
      </c>
      <c r="E5650" s="12" t="inlineStr"/>
      <c r="F5650" s="12" t="inlineStr">
        <is>
          <t>CHW pumps</t>
        </is>
      </c>
      <c r="G5650" s="12" t="inlineStr">
        <is>
          <t>JB-CHW pumps-AI01</t>
        </is>
      </c>
      <c r="H5650" s="12" t="inlineStr">
        <is>
          <t>CHW pumps</t>
        </is>
      </c>
      <c r="I5650" s="12" t="inlineStr">
        <is>
          <t>Instrumentation</t>
        </is>
      </c>
      <c r="J5650" s="12" t="inlineStr">
        <is>
          <t>Instrumentation PLTC / TC-ER 300 V, #18 twisted shielded pairs, overall shield</t>
        </is>
      </c>
      <c r="K5650" s="12" t="inlineStr">
        <is>
          <t>PLTC|1 pr|16</t>
        </is>
      </c>
      <c r="L5650" s="12" t="inlineStr">
        <is>
          <t>1 pr</t>
        </is>
      </c>
      <c r="M5650" s="12" t="inlineStr">
        <is>
          <t>16</t>
        </is>
      </c>
      <c r="N5650" s="12" t="n">
        <v>12</v>
      </c>
      <c r="O5650" s="12" t="n">
        <v>1</v>
      </c>
      <c r="P5650" s="12" t="n"/>
      <c r="Q5650" s="12" t="n"/>
      <c r="R5650" s="12" t="n"/>
      <c r="S5650" s="12" t="inlineStr">
        <is>
          <t>Tray / conduit</t>
        </is>
      </c>
      <c r="T5650" s="15" t="n">
        <v>92</v>
      </c>
      <c r="U5650" s="15" t="n">
        <v>10</v>
      </c>
      <c r="V5650" s="15">
        <f>ROUNDUP((T5650+U5650+2*'Read Me'!$B$13)*(1+'Read Me'!$B$12),-1)</f>
        <v/>
      </c>
      <c r="W5650" s="15">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J-I-0002</t>
        </is>
      </c>
      <c r="B5651" s="12" t="inlineStr">
        <is>
          <t>J</t>
        </is>
      </c>
      <c r="C5651" s="12" t="inlineStr">
        <is>
          <t>GT inlet chilling</t>
        </is>
      </c>
      <c r="D5651" s="12" t="inlineStr">
        <is>
          <t>Home run JB-CHW pumps-AI01 to the control / marshalling room</t>
        </is>
      </c>
      <c r="E5651" s="12" t="inlineStr"/>
      <c r="F5651" s="12" t="inlineStr">
        <is>
          <t>Inlet-chilling e-house / transformer</t>
        </is>
      </c>
      <c r="G5651" s="12" t="inlineStr">
        <is>
          <t>JB-CHW pumps-AI01</t>
        </is>
      </c>
      <c r="H5651" s="12" t="inlineStr">
        <is>
          <t>CHW pumps</t>
        </is>
      </c>
      <c r="I5651" s="12" t="inlineStr">
        <is>
          <t>Instrumentation</t>
        </is>
      </c>
      <c r="J5651" s="12" t="inlineStr">
        <is>
          <t>Instrumentation PLTC / TC-ER 300 V, #18 twisted shielded pairs, overall shield</t>
        </is>
      </c>
      <c r="K5651" s="12" t="inlineStr">
        <is>
          <t>PLTC|24 pr|18</t>
        </is>
      </c>
      <c r="L5651" s="12" t="inlineStr">
        <is>
          <t>24 pr</t>
        </is>
      </c>
      <c r="M5651" s="12" t="inlineStr">
        <is>
          <t>18</t>
        </is>
      </c>
      <c r="N5651" s="12" t="n">
        <v>1</v>
      </c>
      <c r="O5651" s="12" t="n">
        <v>1</v>
      </c>
      <c r="P5651" s="12" t="n"/>
      <c r="Q5651" s="12" t="n"/>
      <c r="R5651" s="12" t="n"/>
      <c r="S5651" s="12" t="inlineStr">
        <is>
          <t>Duct bank</t>
        </is>
      </c>
      <c r="T5651" s="15" t="n">
        <v>579</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J-I-0003</t>
        </is>
      </c>
      <c r="B5652" s="12" t="inlineStr">
        <is>
          <t>J</t>
        </is>
      </c>
      <c r="C5652" s="12" t="inlineStr">
        <is>
          <t>GT inlet chilling</t>
        </is>
      </c>
      <c r="D5652" s="12" t="inlineStr">
        <is>
          <t>Discrete device to JB JB-CHW pumps-DI01: 12 x 1 pr (field cables)</t>
        </is>
      </c>
      <c r="E5652" s="12" t="inlineStr"/>
      <c r="F5652" s="12" t="inlineStr">
        <is>
          <t>CHW pumps</t>
        </is>
      </c>
      <c r="G5652" s="12" t="inlineStr">
        <is>
          <t>JB-CHW pumps-DI01</t>
        </is>
      </c>
      <c r="H5652" s="12" t="inlineStr">
        <is>
          <t>CHW pumps</t>
        </is>
      </c>
      <c r="I5652" s="12" t="inlineStr">
        <is>
          <t>Instrumentation</t>
        </is>
      </c>
      <c r="J5652" s="12" t="inlineStr">
        <is>
          <t>Instrumentation PLTC / TC-ER 300 V, #18 twisted shielded pairs, overall shield</t>
        </is>
      </c>
      <c r="K5652" s="12" t="inlineStr">
        <is>
          <t>PLTC|1 pr|16</t>
        </is>
      </c>
      <c r="L5652" s="12" t="inlineStr">
        <is>
          <t>1 pr</t>
        </is>
      </c>
      <c r="M5652" s="12" t="inlineStr">
        <is>
          <t>16</t>
        </is>
      </c>
      <c r="N5652" s="12" t="n">
        <v>12</v>
      </c>
      <c r="O5652" s="12" t="n">
        <v>1</v>
      </c>
      <c r="P5652" s="12" t="n"/>
      <c r="Q5652" s="12" t="n"/>
      <c r="R5652" s="12" t="n"/>
      <c r="S5652" s="12" t="inlineStr">
        <is>
          <t>Tray / conduit</t>
        </is>
      </c>
      <c r="T5652" s="15" t="n">
        <v>92</v>
      </c>
      <c r="U5652" s="15" t="n">
        <v>10</v>
      </c>
      <c r="V5652" s="15">
        <f>ROUNDUP((T5652+U5652+2*'Read Me'!$B$13)*(1+'Read Me'!$B$12),-1)</f>
        <v/>
      </c>
      <c r="W5652" s="15">
        <f>V5652*N5652*O5652</f>
        <v/>
      </c>
      <c r="X5652" s="12">
        <f>IF(LEFT(I5652,2)="MV",2*N5652*IF(L5652="1/C",O5652,1),0)</f>
        <v/>
      </c>
      <c r="Y5652" s="12">
        <f>IF(OR(LEFT(K5652,4)="LVAX",LEFT(K5652,6)="MV15AX",LEFT(K5652,4)="CTAX",LEFT(K5652,2)="W|"),2*N5652*O5652,0)</f>
        <v/>
      </c>
      <c r="Z5652" s="12" t="inlineStr">
        <is>
          <t>device-to-JB field wiring, one cable per device</t>
        </is>
      </c>
      <c r="AA5652" s="12">
        <f>N5652*O5652</f>
        <v/>
      </c>
    </row>
    <row r="5653">
      <c r="A5653" s="12" t="inlineStr">
        <is>
          <t>J-I-0004</t>
        </is>
      </c>
      <c r="B5653" s="12" t="inlineStr">
        <is>
          <t>J</t>
        </is>
      </c>
      <c r="C5653" s="12" t="inlineStr">
        <is>
          <t>GT inlet chilling</t>
        </is>
      </c>
      <c r="D5653" s="12" t="inlineStr">
        <is>
          <t>Home run JB-CHW pumps-DI01 to the control / marshalling room</t>
        </is>
      </c>
      <c r="E5653" s="12" t="inlineStr"/>
      <c r="F5653" s="12" t="inlineStr">
        <is>
          <t>Inlet-chilling e-house / transformer</t>
        </is>
      </c>
      <c r="G5653" s="12" t="inlineStr">
        <is>
          <t>JB-CHW pumps-DI01</t>
        </is>
      </c>
      <c r="H5653" s="12" t="inlineStr">
        <is>
          <t>CHW pumps</t>
        </is>
      </c>
      <c r="I5653" s="12" t="inlineStr">
        <is>
          <t>Instrumentation</t>
        </is>
      </c>
      <c r="J5653" s="12" t="inlineStr">
        <is>
          <t>Instrumentation PLTC / TC-ER 300 V, #18 twisted shielded pairs, overall shield</t>
        </is>
      </c>
      <c r="K5653" s="12" t="inlineStr">
        <is>
          <t>PLTC|24 pr|18</t>
        </is>
      </c>
      <c r="L5653" s="12" t="inlineStr">
        <is>
          <t>24 pr</t>
        </is>
      </c>
      <c r="M5653" s="12" t="inlineStr">
        <is>
          <t>18</t>
        </is>
      </c>
      <c r="N5653" s="12" t="n">
        <v>1</v>
      </c>
      <c r="O5653" s="12" t="n">
        <v>1</v>
      </c>
      <c r="P5653" s="12" t="n"/>
      <c r="Q5653" s="12" t="n"/>
      <c r="R5653" s="12" t="n"/>
      <c r="S5653" s="12" t="inlineStr">
        <is>
          <t>Duct bank</t>
        </is>
      </c>
      <c r="T5653" s="15" t="n">
        <v>579</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J-I-0005</t>
        </is>
      </c>
      <c r="B5654" s="12" t="inlineStr">
        <is>
          <t>J</t>
        </is>
      </c>
      <c r="C5654" s="12" t="inlineStr">
        <is>
          <t>GT inlet chilling</t>
        </is>
      </c>
      <c r="D5654" s="12" t="inlineStr">
        <is>
          <t>Analog instrument to JB JB-CONDITIONAL: TES c-AI01: 4 x 1 pr (field cables)</t>
        </is>
      </c>
      <c r="E5654" s="12" t="inlineStr"/>
      <c r="F5654" s="12" t="inlineStr">
        <is>
          <t>CONDITIONAL: TES chilled-water tank</t>
        </is>
      </c>
      <c r="G5654" s="12" t="inlineStr">
        <is>
          <t>JB-CONDITIONAL: TES c-AI01</t>
        </is>
      </c>
      <c r="H5654" s="12" t="inlineStr">
        <is>
          <t>CONDITIONAL: TES chilled-water tank</t>
        </is>
      </c>
      <c r="I5654" s="12" t="inlineStr">
        <is>
          <t>Instrumentation</t>
        </is>
      </c>
      <c r="J5654" s="12" t="inlineStr">
        <is>
          <t>Instrumentation PLTC / TC-ER 300 V, #18 twisted shielded pairs, overall shield</t>
        </is>
      </c>
      <c r="K5654" s="12" t="inlineStr">
        <is>
          <t>PLTC|1 pr|16</t>
        </is>
      </c>
      <c r="L5654" s="12" t="inlineStr">
        <is>
          <t>1 pr</t>
        </is>
      </c>
      <c r="M5654" s="12" t="inlineStr">
        <is>
          <t>16</t>
        </is>
      </c>
      <c r="N5654" s="12" t="n">
        <v>4</v>
      </c>
      <c r="O5654" s="12" t="n">
        <v>1</v>
      </c>
      <c r="P5654" s="12" t="n"/>
      <c r="Q5654" s="12" t="n"/>
      <c r="R5654" s="12" t="n"/>
      <c r="S5654" s="12" t="inlineStr">
        <is>
          <t>Tray / conduit</t>
        </is>
      </c>
      <c r="T5654" s="15" t="n">
        <v>91</v>
      </c>
      <c r="U5654" s="15" t="n">
        <v>10</v>
      </c>
      <c r="V5654" s="15">
        <f>ROUNDUP((T5654+U5654+2*'Read Me'!$B$13)*(1+'Read Me'!$B$12),-1)</f>
        <v/>
      </c>
      <c r="W5654" s="15">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J-I-0006</t>
        </is>
      </c>
      <c r="B5655" s="12" t="inlineStr">
        <is>
          <t>J</t>
        </is>
      </c>
      <c r="C5655" s="12" t="inlineStr">
        <is>
          <t>GT inlet chilling</t>
        </is>
      </c>
      <c r="D5655" s="12" t="inlineStr">
        <is>
          <t>Home run JB-CONDITIONAL: TES c-AI01 to the control / marshalling room</t>
        </is>
      </c>
      <c r="E5655" s="12" t="inlineStr"/>
      <c r="F5655" s="12" t="inlineStr">
        <is>
          <t>Inlet-chilling e-house / transformer</t>
        </is>
      </c>
      <c r="G5655" s="12" t="inlineStr">
        <is>
          <t>JB-CONDITIONAL: TES c-AI01</t>
        </is>
      </c>
      <c r="H5655" s="12" t="inlineStr">
        <is>
          <t>CONDITIONAL: TES chilled-water tank</t>
        </is>
      </c>
      <c r="I5655" s="12" t="inlineStr">
        <is>
          <t>Instrumentation</t>
        </is>
      </c>
      <c r="J5655" s="12" t="inlineStr">
        <is>
          <t>Instrumentation PLTC / TC-ER 300 V, #18 twisted shielded pairs, overall shield</t>
        </is>
      </c>
      <c r="K5655" s="12" t="inlineStr">
        <is>
          <t>PLTC|24 pr|18</t>
        </is>
      </c>
      <c r="L5655" s="12" t="inlineStr">
        <is>
          <t>24 pr</t>
        </is>
      </c>
      <c r="M5655" s="12" t="inlineStr">
        <is>
          <t>18</t>
        </is>
      </c>
      <c r="N5655" s="12" t="n">
        <v>1</v>
      </c>
      <c r="O5655" s="12" t="n">
        <v>1</v>
      </c>
      <c r="P5655" s="12" t="n"/>
      <c r="Q5655" s="12" t="n"/>
      <c r="R5655" s="12" t="n"/>
      <c r="S5655" s="12" t="inlineStr">
        <is>
          <t>Duct bank</t>
        </is>
      </c>
      <c r="T5655" s="15" t="n">
        <v>271</v>
      </c>
      <c r="U5655" s="15" t="n">
        <v>217</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J-I-0007</t>
        </is>
      </c>
      <c r="B5656" s="12" t="inlineStr">
        <is>
          <t>J</t>
        </is>
      </c>
      <c r="C5656" s="12" t="inlineStr">
        <is>
          <t>GT inlet chilling</t>
        </is>
      </c>
      <c r="D5656" s="12" t="inlineStr">
        <is>
          <t>Discrete device to JB JB-CONDITIONAL: TES c-DI01: 4 x 1 pr (field cables)</t>
        </is>
      </c>
      <c r="E5656" s="12" t="inlineStr"/>
      <c r="F5656" s="12" t="inlineStr">
        <is>
          <t>CONDITIONAL: TES chilled-water tank</t>
        </is>
      </c>
      <c r="G5656" s="12" t="inlineStr">
        <is>
          <t>JB-CONDITIONAL: TES c-DI01</t>
        </is>
      </c>
      <c r="H5656" s="12" t="inlineStr">
        <is>
          <t>CONDITIONAL: TES chilled-water tank</t>
        </is>
      </c>
      <c r="I5656" s="12" t="inlineStr">
        <is>
          <t>Instrumentation</t>
        </is>
      </c>
      <c r="J5656" s="12" t="inlineStr">
        <is>
          <t>Instrumentation PLTC / TC-ER 300 V, #18 twisted shielded pairs, overall shield</t>
        </is>
      </c>
      <c r="K5656" s="12" t="inlineStr">
        <is>
          <t>PLTC|1 pr|16</t>
        </is>
      </c>
      <c r="L5656" s="12" t="inlineStr">
        <is>
          <t>1 pr</t>
        </is>
      </c>
      <c r="M5656" s="12" t="inlineStr">
        <is>
          <t>16</t>
        </is>
      </c>
      <c r="N5656" s="12" t="n">
        <v>4</v>
      </c>
      <c r="O5656" s="12" t="n">
        <v>1</v>
      </c>
      <c r="P5656" s="12" t="n"/>
      <c r="Q5656" s="12" t="n"/>
      <c r="R5656" s="12" t="n"/>
      <c r="S5656" s="12" t="inlineStr">
        <is>
          <t>Tray / conduit</t>
        </is>
      </c>
      <c r="T5656" s="15" t="n">
        <v>91</v>
      </c>
      <c r="U5656" s="15" t="n">
        <v>10</v>
      </c>
      <c r="V5656" s="15">
        <f>ROUNDUP((T5656+U5656+2*'Read Me'!$B$13)*(1+'Read Me'!$B$12),-1)</f>
        <v/>
      </c>
      <c r="W5656" s="15">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J-I-0008</t>
        </is>
      </c>
      <c r="B5657" s="12" t="inlineStr">
        <is>
          <t>J</t>
        </is>
      </c>
      <c r="C5657" s="12" t="inlineStr">
        <is>
          <t>GT inlet chilling</t>
        </is>
      </c>
      <c r="D5657" s="12" t="inlineStr">
        <is>
          <t>Home run JB-CONDITIONAL: TES c-DI01 to the control / marshalling room</t>
        </is>
      </c>
      <c r="E5657" s="12" t="inlineStr"/>
      <c r="F5657" s="12" t="inlineStr">
        <is>
          <t>Inlet-chilling e-house / transformer</t>
        </is>
      </c>
      <c r="G5657" s="12" t="inlineStr">
        <is>
          <t>JB-CONDITIONAL: TES c-DI01</t>
        </is>
      </c>
      <c r="H5657" s="12" t="inlineStr">
        <is>
          <t>CONDITIONAL: TES chilled-water tank</t>
        </is>
      </c>
      <c r="I5657" s="12" t="inlineStr">
        <is>
          <t>Instrumentation</t>
        </is>
      </c>
      <c r="J5657" s="12" t="inlineStr">
        <is>
          <t>Instrumentation PLTC / TC-ER 300 V, #18 twisted shielded pairs, overall shield</t>
        </is>
      </c>
      <c r="K5657" s="12" t="inlineStr">
        <is>
          <t>PLTC|24 pr|18</t>
        </is>
      </c>
      <c r="L5657" s="12" t="inlineStr">
        <is>
          <t>24 pr</t>
        </is>
      </c>
      <c r="M5657" s="12" t="inlineStr">
        <is>
          <t>18</t>
        </is>
      </c>
      <c r="N5657" s="12" t="n">
        <v>1</v>
      </c>
      <c r="O5657" s="12" t="n">
        <v>1</v>
      </c>
      <c r="P5657" s="12" t="n"/>
      <c r="Q5657" s="12" t="n"/>
      <c r="R5657" s="12" t="n"/>
      <c r="S5657" s="12" t="inlineStr">
        <is>
          <t>Duct bank</t>
        </is>
      </c>
      <c r="T5657" s="15" t="n">
        <v>271</v>
      </c>
      <c r="U5657" s="15" t="n">
        <v>217</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J-I-0009</t>
        </is>
      </c>
      <c r="B5658" s="12" t="inlineStr">
        <is>
          <t>J</t>
        </is>
      </c>
      <c r="C5658" s="12" t="inlineStr">
        <is>
          <t>GT inlet chilling</t>
        </is>
      </c>
      <c r="D5658" s="12" t="inlineStr">
        <is>
          <t>Analog instrument to JB JB-CW pumps (inlet ch-AI01: 20 x 1 pr (field cables)</t>
        </is>
      </c>
      <c r="E5658" s="12" t="inlineStr"/>
      <c r="F5658" s="12" t="inlineStr">
        <is>
          <t>CW pumps (inlet chilling)</t>
        </is>
      </c>
      <c r="G5658" s="12" t="inlineStr">
        <is>
          <t>JB-CW pumps (inlet ch-AI01</t>
        </is>
      </c>
      <c r="H5658" s="12" t="inlineStr">
        <is>
          <t>CW pumps (inlet chilling)</t>
        </is>
      </c>
      <c r="I5658" s="12" t="inlineStr">
        <is>
          <t>Instrumentation</t>
        </is>
      </c>
      <c r="J5658" s="12" t="inlineStr">
        <is>
          <t>Instrumentation PLTC / TC-ER 300 V, #18 twisted shielded pairs, overall shield</t>
        </is>
      </c>
      <c r="K5658" s="12" t="inlineStr">
        <is>
          <t>PLTC|1 pr|16</t>
        </is>
      </c>
      <c r="L5658" s="12" t="inlineStr">
        <is>
          <t>1 pr</t>
        </is>
      </c>
      <c r="M5658" s="12" t="inlineStr">
        <is>
          <t>16</t>
        </is>
      </c>
      <c r="N5658" s="12" t="n">
        <v>20</v>
      </c>
      <c r="O5658" s="12" t="n">
        <v>1</v>
      </c>
      <c r="P5658" s="12" t="n"/>
      <c r="Q5658" s="12" t="n"/>
      <c r="R5658" s="12" t="n"/>
      <c r="S5658" s="12" t="inlineStr">
        <is>
          <t>Tray / conduit</t>
        </is>
      </c>
      <c r="T5658" s="15" t="n">
        <v>92</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J-I-0010</t>
        </is>
      </c>
      <c r="B5659" s="12" t="inlineStr">
        <is>
          <t>J</t>
        </is>
      </c>
      <c r="C5659" s="12" t="inlineStr">
        <is>
          <t>GT inlet chilling</t>
        </is>
      </c>
      <c r="D5659" s="12" t="inlineStr">
        <is>
          <t>Home run JB-CW pumps (inlet ch-AI01 to the control / marshalling room</t>
        </is>
      </c>
      <c r="E5659" s="12" t="inlineStr"/>
      <c r="F5659" s="12" t="inlineStr">
        <is>
          <t>Inlet-chilling e-house / transformer</t>
        </is>
      </c>
      <c r="G5659" s="12" t="inlineStr">
        <is>
          <t>JB-CW pumps (inlet ch-AI01</t>
        </is>
      </c>
      <c r="H5659" s="12" t="inlineStr">
        <is>
          <t>CW pumps (inlet chilling)</t>
        </is>
      </c>
      <c r="I5659" s="12" t="inlineStr">
        <is>
          <t>Instrumentation</t>
        </is>
      </c>
      <c r="J5659" s="12" t="inlineStr">
        <is>
          <t>Instrumentation PLTC / TC-ER 300 V, #18 twisted shielded pairs, overall shield</t>
        </is>
      </c>
      <c r="K5659" s="12" t="inlineStr">
        <is>
          <t>PLTC|24 pr|18</t>
        </is>
      </c>
      <c r="L5659" s="12" t="inlineStr">
        <is>
          <t>24 pr</t>
        </is>
      </c>
      <c r="M5659" s="12" t="inlineStr">
        <is>
          <t>18</t>
        </is>
      </c>
      <c r="N5659" s="12" t="n">
        <v>1</v>
      </c>
      <c r="O5659" s="12" t="n">
        <v>1</v>
      </c>
      <c r="P5659" s="12" t="n"/>
      <c r="Q5659" s="12" t="n"/>
      <c r="R5659" s="12" t="n"/>
      <c r="S5659" s="12" t="inlineStr">
        <is>
          <t>Tray</t>
        </is>
      </c>
      <c r="T5659" s="15" t="n">
        <v>0</v>
      </c>
      <c r="U5659" s="15" t="n">
        <v>70</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J-I-0011</t>
        </is>
      </c>
      <c r="B5660" s="12" t="inlineStr">
        <is>
          <t>J</t>
        </is>
      </c>
      <c r="C5660" s="12" t="inlineStr">
        <is>
          <t>GT inlet chilling</t>
        </is>
      </c>
      <c r="D5660" s="12" t="inlineStr">
        <is>
          <t>Analog instrument to JB JB-CW pumps (inlet ch-AI02: 4 x 1 pr (field cables)</t>
        </is>
      </c>
      <c r="E5660" s="12" t="inlineStr"/>
      <c r="F5660" s="12" t="inlineStr">
        <is>
          <t>CW pumps (inlet chilling)</t>
        </is>
      </c>
      <c r="G5660" s="12" t="inlineStr">
        <is>
          <t>JB-CW pumps (inlet ch-AI02</t>
        </is>
      </c>
      <c r="H5660" s="12" t="inlineStr">
        <is>
          <t>CW pumps (inlet chilling)</t>
        </is>
      </c>
      <c r="I5660" s="12" t="inlineStr">
        <is>
          <t>Instrumentation</t>
        </is>
      </c>
      <c r="J5660" s="12" t="inlineStr">
        <is>
          <t>Instrumentation PLTC / TC-ER 300 V, #18 twisted shielded pairs, overall shield</t>
        </is>
      </c>
      <c r="K5660" s="12" t="inlineStr">
        <is>
          <t>PLTC|1 pr|16</t>
        </is>
      </c>
      <c r="L5660" s="12" t="inlineStr">
        <is>
          <t>1 pr</t>
        </is>
      </c>
      <c r="M5660" s="12" t="inlineStr">
        <is>
          <t>16</t>
        </is>
      </c>
      <c r="N5660" s="12" t="n">
        <v>4</v>
      </c>
      <c r="O5660" s="12" t="n">
        <v>1</v>
      </c>
      <c r="P5660" s="12" t="n"/>
      <c r="Q5660" s="12" t="n"/>
      <c r="R5660" s="12" t="n"/>
      <c r="S5660" s="12" t="inlineStr">
        <is>
          <t>Tray / conduit</t>
        </is>
      </c>
      <c r="T5660" s="15" t="n">
        <v>92</v>
      </c>
      <c r="U5660" s="15" t="n">
        <v>10</v>
      </c>
      <c r="V5660" s="15">
        <f>ROUNDUP((T5660+U5660+2*'Read Me'!$B$13)*(1+'Read Me'!$B$12),-1)</f>
        <v/>
      </c>
      <c r="W5660" s="15">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J-I-0012</t>
        </is>
      </c>
      <c r="B5661" s="12" t="inlineStr">
        <is>
          <t>J</t>
        </is>
      </c>
      <c r="C5661" s="12" t="inlineStr">
        <is>
          <t>GT inlet chilling</t>
        </is>
      </c>
      <c r="D5661" s="12" t="inlineStr">
        <is>
          <t>Home run JB-CW pumps (inlet ch-AI02 to the control / marshalling room</t>
        </is>
      </c>
      <c r="E5661" s="12" t="inlineStr"/>
      <c r="F5661" s="12" t="inlineStr">
        <is>
          <t>Inlet-chilling e-house / transformer</t>
        </is>
      </c>
      <c r="G5661" s="12" t="inlineStr">
        <is>
          <t>JB-CW pumps (inlet ch-AI02</t>
        </is>
      </c>
      <c r="H5661" s="12" t="inlineStr">
        <is>
          <t>CW pumps (inlet chilling)</t>
        </is>
      </c>
      <c r="I5661" s="12" t="inlineStr">
        <is>
          <t>Instrumentation</t>
        </is>
      </c>
      <c r="J5661" s="12" t="inlineStr">
        <is>
          <t>Instrumentation PLTC / TC-ER 300 V, #18 twisted shielded pairs, overall shield</t>
        </is>
      </c>
      <c r="K5661" s="12" t="inlineStr">
        <is>
          <t>PLTC|24 pr|18</t>
        </is>
      </c>
      <c r="L5661" s="12" t="inlineStr">
        <is>
          <t>24 pr</t>
        </is>
      </c>
      <c r="M5661" s="12" t="inlineStr">
        <is>
          <t>18</t>
        </is>
      </c>
      <c r="N5661" s="12" t="n">
        <v>1</v>
      </c>
      <c r="O5661" s="12" t="n">
        <v>1</v>
      </c>
      <c r="P5661" s="12" t="n"/>
      <c r="Q5661" s="12" t="n"/>
      <c r="R5661" s="12" t="n"/>
      <c r="S5661" s="12" t="inlineStr">
        <is>
          <t>Tray</t>
        </is>
      </c>
      <c r="T5661" s="15" t="n">
        <v>0</v>
      </c>
      <c r="U5661" s="15" t="n">
        <v>70</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J-I-0013</t>
        </is>
      </c>
      <c r="B5662" s="12" t="inlineStr">
        <is>
          <t>J</t>
        </is>
      </c>
      <c r="C5662" s="12" t="inlineStr">
        <is>
          <t>GT inlet chilling</t>
        </is>
      </c>
      <c r="D5662" s="12" t="inlineStr">
        <is>
          <t>Discrete device to JB JB-CW pumps (inlet ch-DI01: 20 x 1 pr (field cables)</t>
        </is>
      </c>
      <c r="E5662" s="12" t="inlineStr"/>
      <c r="F5662" s="12" t="inlineStr">
        <is>
          <t>CW pumps (inlet chilling)</t>
        </is>
      </c>
      <c r="G5662" s="12" t="inlineStr">
        <is>
          <t>JB-CW pumps (inlet ch-DI01</t>
        </is>
      </c>
      <c r="H5662" s="12" t="inlineStr">
        <is>
          <t>CW pumps (inlet chilling)</t>
        </is>
      </c>
      <c r="I5662" s="12" t="inlineStr">
        <is>
          <t>Instrumentation</t>
        </is>
      </c>
      <c r="J5662" s="12" t="inlineStr">
        <is>
          <t>Instrumentation PLTC / TC-ER 300 V, #18 twisted shielded pairs, overall shield</t>
        </is>
      </c>
      <c r="K5662" s="12" t="inlineStr">
        <is>
          <t>PLTC|1 pr|16</t>
        </is>
      </c>
      <c r="L5662" s="12" t="inlineStr">
        <is>
          <t>1 pr</t>
        </is>
      </c>
      <c r="M5662" s="12" t="inlineStr">
        <is>
          <t>16</t>
        </is>
      </c>
      <c r="N5662" s="12" t="n">
        <v>20</v>
      </c>
      <c r="O5662" s="12" t="n">
        <v>1</v>
      </c>
      <c r="P5662" s="12" t="n"/>
      <c r="Q5662" s="12" t="n"/>
      <c r="R5662" s="12" t="n"/>
      <c r="S5662" s="12" t="inlineStr">
        <is>
          <t>Tray / conduit</t>
        </is>
      </c>
      <c r="T5662" s="15" t="n">
        <v>92</v>
      </c>
      <c r="U5662" s="15" t="n">
        <v>10</v>
      </c>
      <c r="V5662" s="15">
        <f>ROUNDUP((T5662+U5662+2*'Read Me'!$B$13)*(1+'Read Me'!$B$12),-1)</f>
        <v/>
      </c>
      <c r="W5662" s="15">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J-I-0014</t>
        </is>
      </c>
      <c r="B5663" s="12" t="inlineStr">
        <is>
          <t>J</t>
        </is>
      </c>
      <c r="C5663" s="12" t="inlineStr">
        <is>
          <t>GT inlet chilling</t>
        </is>
      </c>
      <c r="D5663" s="12" t="inlineStr">
        <is>
          <t>Home run JB-CW pumps (inlet ch-DI01 to the control / marshalling room</t>
        </is>
      </c>
      <c r="E5663" s="12" t="inlineStr"/>
      <c r="F5663" s="12" t="inlineStr">
        <is>
          <t>Inlet-chilling e-house / transformer</t>
        </is>
      </c>
      <c r="G5663" s="12" t="inlineStr">
        <is>
          <t>JB-CW pumps (inlet ch-DI01</t>
        </is>
      </c>
      <c r="H5663" s="12" t="inlineStr">
        <is>
          <t>CW pumps (inlet chilling)</t>
        </is>
      </c>
      <c r="I5663" s="12" t="inlineStr">
        <is>
          <t>Instrumentation</t>
        </is>
      </c>
      <c r="J5663" s="12" t="inlineStr">
        <is>
          <t>Instrumentation PLTC / TC-ER 300 V, #18 twisted shielded pairs, overall shield</t>
        </is>
      </c>
      <c r="K5663" s="12" t="inlineStr">
        <is>
          <t>PLTC|24 pr|18</t>
        </is>
      </c>
      <c r="L5663" s="12" t="inlineStr">
        <is>
          <t>24 pr</t>
        </is>
      </c>
      <c r="M5663" s="12" t="inlineStr">
        <is>
          <t>18</t>
        </is>
      </c>
      <c r="N5663" s="12" t="n">
        <v>1</v>
      </c>
      <c r="O5663" s="12" t="n">
        <v>1</v>
      </c>
      <c r="P5663" s="12" t="n"/>
      <c r="Q5663" s="12" t="n"/>
      <c r="R5663" s="12" t="n"/>
      <c r="S5663" s="12" t="inlineStr">
        <is>
          <t>Tray</t>
        </is>
      </c>
      <c r="T5663" s="15" t="n">
        <v>0</v>
      </c>
      <c r="U5663" s="15" t="n">
        <v>70</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J-I-0015</t>
        </is>
      </c>
      <c r="B5664" s="12" t="inlineStr">
        <is>
          <t>J</t>
        </is>
      </c>
      <c r="C5664" s="12" t="inlineStr">
        <is>
          <t>GT inlet chilling</t>
        </is>
      </c>
      <c r="D5664" s="12" t="inlineStr">
        <is>
          <t>Discrete device to JB JB-CW pumps (inlet ch-DI02: 4 x 1 pr (field cables)</t>
        </is>
      </c>
      <c r="E5664" s="12" t="inlineStr"/>
      <c r="F5664" s="12" t="inlineStr">
        <is>
          <t>CW pumps (inlet chilling)</t>
        </is>
      </c>
      <c r="G5664" s="12" t="inlineStr">
        <is>
          <t>JB-CW pumps (inlet ch-DI02</t>
        </is>
      </c>
      <c r="H5664" s="12" t="inlineStr">
        <is>
          <t>CW pumps (inlet chilling)</t>
        </is>
      </c>
      <c r="I5664" s="12" t="inlineStr">
        <is>
          <t>Instrumentation</t>
        </is>
      </c>
      <c r="J5664" s="12" t="inlineStr">
        <is>
          <t>Instrumentation PLTC / TC-ER 300 V, #18 twisted shielded pairs, overall shield</t>
        </is>
      </c>
      <c r="K5664" s="12" t="inlineStr">
        <is>
          <t>PLTC|1 pr|16</t>
        </is>
      </c>
      <c r="L5664" s="12" t="inlineStr">
        <is>
          <t>1 pr</t>
        </is>
      </c>
      <c r="M5664" s="12" t="inlineStr">
        <is>
          <t>16</t>
        </is>
      </c>
      <c r="N5664" s="12" t="n">
        <v>4</v>
      </c>
      <c r="O5664" s="12" t="n">
        <v>1</v>
      </c>
      <c r="P5664" s="12" t="n"/>
      <c r="Q5664" s="12" t="n"/>
      <c r="R5664" s="12" t="n"/>
      <c r="S5664" s="12" t="inlineStr">
        <is>
          <t>Tray / conduit</t>
        </is>
      </c>
      <c r="T5664" s="15" t="n">
        <v>92</v>
      </c>
      <c r="U5664" s="15" t="n">
        <v>10</v>
      </c>
      <c r="V5664" s="15">
        <f>ROUNDUP((T5664+U5664+2*'Read Me'!$B$13)*(1+'Read Me'!$B$12),-1)</f>
        <v/>
      </c>
      <c r="W5664" s="15">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J-I-0016</t>
        </is>
      </c>
      <c r="B5665" s="12" t="inlineStr">
        <is>
          <t>J</t>
        </is>
      </c>
      <c r="C5665" s="12" t="inlineStr">
        <is>
          <t>GT inlet chilling</t>
        </is>
      </c>
      <c r="D5665" s="12" t="inlineStr">
        <is>
          <t>Home run JB-CW pumps (inlet ch-DI02 to the control / marshalling room</t>
        </is>
      </c>
      <c r="E5665" s="12" t="inlineStr"/>
      <c r="F5665" s="12" t="inlineStr">
        <is>
          <t>Inlet-chilling e-house / transformer</t>
        </is>
      </c>
      <c r="G5665" s="12" t="inlineStr">
        <is>
          <t>JB-CW pumps (inlet ch-DI02</t>
        </is>
      </c>
      <c r="H5665" s="12" t="inlineStr">
        <is>
          <t>CW pumps (inlet chilling)</t>
        </is>
      </c>
      <c r="I5665" s="12" t="inlineStr">
        <is>
          <t>Instrumentation</t>
        </is>
      </c>
      <c r="J5665" s="12" t="inlineStr">
        <is>
          <t>Instrumentation PLTC / TC-ER 300 V, #18 twisted shielded pairs, overall shield</t>
        </is>
      </c>
      <c r="K5665" s="12" t="inlineStr">
        <is>
          <t>PLTC|24 pr|18</t>
        </is>
      </c>
      <c r="L5665" s="12" t="inlineStr">
        <is>
          <t>24 pr</t>
        </is>
      </c>
      <c r="M5665" s="12" t="inlineStr">
        <is>
          <t>18</t>
        </is>
      </c>
      <c r="N5665" s="12" t="n">
        <v>1</v>
      </c>
      <c r="O5665" s="12" t="n">
        <v>1</v>
      </c>
      <c r="P5665" s="12" t="n"/>
      <c r="Q5665" s="12" t="n"/>
      <c r="R5665" s="12" t="n"/>
      <c r="S5665" s="12" t="inlineStr">
        <is>
          <t>Tray</t>
        </is>
      </c>
      <c r="T5665" s="15" t="n">
        <v>0</v>
      </c>
      <c r="U5665" s="15" t="n">
        <v>70</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J-I-0017</t>
        </is>
      </c>
      <c r="B5666" s="12" t="inlineStr">
        <is>
          <t>J</t>
        </is>
      </c>
      <c r="C5666" s="12" t="inlineStr">
        <is>
          <t>GT inlet chilling</t>
        </is>
      </c>
      <c r="D5666" s="12" t="inlineStr">
        <is>
          <t>Analog instrument to JB JB-Chillers x6 (water-AI01: 20 x 1 pr (field cables)</t>
        </is>
      </c>
      <c r="E5666" s="12" t="inlineStr"/>
      <c r="F5666" s="12" t="inlineStr">
        <is>
          <t>Chillers x6 (water-cooled)</t>
        </is>
      </c>
      <c r="G5666" s="12" t="inlineStr">
        <is>
          <t>JB-Chillers x6 (water-AI01</t>
        </is>
      </c>
      <c r="H5666" s="12" t="inlineStr">
        <is>
          <t>Chillers x6 (water-cooled)</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20</v>
      </c>
      <c r="O5666" s="12" t="n">
        <v>1</v>
      </c>
      <c r="P5666" s="12" t="n"/>
      <c r="Q5666" s="12" t="n"/>
      <c r="R5666" s="12" t="n"/>
      <c r="S5666" s="12" t="inlineStr">
        <is>
          <t>Tray / conduit</t>
        </is>
      </c>
      <c r="T5666" s="15" t="n">
        <v>190</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J-I-0018</t>
        </is>
      </c>
      <c r="B5667" s="12" t="inlineStr">
        <is>
          <t>J</t>
        </is>
      </c>
      <c r="C5667" s="12" t="inlineStr">
        <is>
          <t>GT inlet chilling</t>
        </is>
      </c>
      <c r="D5667" s="12" t="inlineStr">
        <is>
          <t>Home run JB-Chillers x6 (water-AI01 to the control / marshalling room</t>
        </is>
      </c>
      <c r="E5667" s="12" t="inlineStr"/>
      <c r="F5667" s="12" t="inlineStr">
        <is>
          <t>Inlet-chilling e-house / transformer</t>
        </is>
      </c>
      <c r="G5667" s="12" t="inlineStr">
        <is>
          <t>JB-Chillers x6 (water-AI01</t>
        </is>
      </c>
      <c r="H5667" s="12" t="inlineStr">
        <is>
          <t>Chillers x6 (water-cooled)</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Duct bank</t>
        </is>
      </c>
      <c r="T5667" s="15" t="n">
        <v>10</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J-I-0019</t>
        </is>
      </c>
      <c r="B5668" s="12" t="inlineStr">
        <is>
          <t>J</t>
        </is>
      </c>
      <c r="C5668" s="12" t="inlineStr">
        <is>
          <t>GT inlet chilling</t>
        </is>
      </c>
      <c r="D5668" s="12" t="inlineStr">
        <is>
          <t>Analog instrument to JB JB-Chillers x6 (water-AI02: 20 x 1 pr (field cables)</t>
        </is>
      </c>
      <c r="E5668" s="12" t="inlineStr"/>
      <c r="F5668" s="12" t="inlineStr">
        <is>
          <t>Chillers x6 (water-cooled)</t>
        </is>
      </c>
      <c r="G5668" s="12" t="inlineStr">
        <is>
          <t>JB-Chillers x6 (water-AI02</t>
        </is>
      </c>
      <c r="H5668" s="12" t="inlineStr">
        <is>
          <t>Chillers x6 (water-cooled)</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20</v>
      </c>
      <c r="O5668" s="12" t="n">
        <v>1</v>
      </c>
      <c r="P5668" s="12" t="n"/>
      <c r="Q5668" s="12" t="n"/>
      <c r="R5668" s="12" t="n"/>
      <c r="S5668" s="12" t="inlineStr">
        <is>
          <t>Tray / conduit</t>
        </is>
      </c>
      <c r="T5668" s="15" t="n">
        <v>190</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J-I-0020</t>
        </is>
      </c>
      <c r="B5669" s="12" t="inlineStr">
        <is>
          <t>J</t>
        </is>
      </c>
      <c r="C5669" s="12" t="inlineStr">
        <is>
          <t>GT inlet chilling</t>
        </is>
      </c>
      <c r="D5669" s="12" t="inlineStr">
        <is>
          <t>Home run JB-Chillers x6 (water-AI02 to the control / marshalling room</t>
        </is>
      </c>
      <c r="E5669" s="12" t="inlineStr"/>
      <c r="F5669" s="12" t="inlineStr">
        <is>
          <t>Inlet-chilling e-house / transformer</t>
        </is>
      </c>
      <c r="G5669" s="12" t="inlineStr">
        <is>
          <t>JB-Chillers x6 (water-AI02</t>
        </is>
      </c>
      <c r="H5669" s="12" t="inlineStr">
        <is>
          <t>Chillers x6 (water-cooled)</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Duct bank</t>
        </is>
      </c>
      <c r="T5669" s="15" t="n">
        <v>10</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J-I-0021</t>
        </is>
      </c>
      <c r="B5670" s="12" t="inlineStr">
        <is>
          <t>J</t>
        </is>
      </c>
      <c r="C5670" s="12" t="inlineStr">
        <is>
          <t>GT inlet chilling</t>
        </is>
      </c>
      <c r="D5670" s="12" t="inlineStr">
        <is>
          <t>Analog instrument to JB JB-Chillers x6 (water-AI03: 20 x 1 pr (field cables)</t>
        </is>
      </c>
      <c r="E5670" s="12" t="inlineStr"/>
      <c r="F5670" s="12" t="inlineStr">
        <is>
          <t>Chillers x6 (water-cooled)</t>
        </is>
      </c>
      <c r="G5670" s="12" t="inlineStr">
        <is>
          <t>JB-Chillers x6 (water-AI03</t>
        </is>
      </c>
      <c r="H5670" s="12" t="inlineStr">
        <is>
          <t>Chillers x6 (water-cooled)</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20</v>
      </c>
      <c r="O5670" s="12" t="n">
        <v>1</v>
      </c>
      <c r="P5670" s="12" t="n"/>
      <c r="Q5670" s="12" t="n"/>
      <c r="R5670" s="12" t="n"/>
      <c r="S5670" s="12" t="inlineStr">
        <is>
          <t>Tray / conduit</t>
        </is>
      </c>
      <c r="T5670" s="15" t="n">
        <v>190</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J-I-0022</t>
        </is>
      </c>
      <c r="B5671" s="12" t="inlineStr">
        <is>
          <t>J</t>
        </is>
      </c>
      <c r="C5671" s="12" t="inlineStr">
        <is>
          <t>GT inlet chilling</t>
        </is>
      </c>
      <c r="D5671" s="12" t="inlineStr">
        <is>
          <t>Home run JB-Chillers x6 (water-AI03 to the control / marshalling room</t>
        </is>
      </c>
      <c r="E5671" s="12" t="inlineStr"/>
      <c r="F5671" s="12" t="inlineStr">
        <is>
          <t>Inlet-chilling e-house / transformer</t>
        </is>
      </c>
      <c r="G5671" s="12" t="inlineStr">
        <is>
          <t>JB-Chillers x6 (water-AI03</t>
        </is>
      </c>
      <c r="H5671" s="12" t="inlineStr">
        <is>
          <t>Chillers x6 (water-cooled)</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10</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J-I-0023</t>
        </is>
      </c>
      <c r="B5672" s="12" t="inlineStr">
        <is>
          <t>J</t>
        </is>
      </c>
      <c r="C5672" s="12" t="inlineStr">
        <is>
          <t>GT inlet chilling</t>
        </is>
      </c>
      <c r="D5672" s="12" t="inlineStr">
        <is>
          <t>Analog instrument to JB JB-Chillers x6 (water-AI04: 20 x 1 pr (field cables)</t>
        </is>
      </c>
      <c r="E5672" s="12" t="inlineStr"/>
      <c r="F5672" s="12" t="inlineStr">
        <is>
          <t>Chillers x6 (water-cooled)</t>
        </is>
      </c>
      <c r="G5672" s="12" t="inlineStr">
        <is>
          <t>JB-Chillers x6 (water-AI04</t>
        </is>
      </c>
      <c r="H5672" s="12" t="inlineStr">
        <is>
          <t>Chillers x6 (water-cooled)</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20</v>
      </c>
      <c r="O5672" s="12" t="n">
        <v>1</v>
      </c>
      <c r="P5672" s="12" t="n"/>
      <c r="Q5672" s="12" t="n"/>
      <c r="R5672" s="12" t="n"/>
      <c r="S5672" s="12" t="inlineStr">
        <is>
          <t>Tray / conduit</t>
        </is>
      </c>
      <c r="T5672" s="15" t="n">
        <v>190</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J-I-0024</t>
        </is>
      </c>
      <c r="B5673" s="12" t="inlineStr">
        <is>
          <t>J</t>
        </is>
      </c>
      <c r="C5673" s="12" t="inlineStr">
        <is>
          <t>GT inlet chilling</t>
        </is>
      </c>
      <c r="D5673" s="12" t="inlineStr">
        <is>
          <t>Home run JB-Chillers x6 (water-AI04 to the control / marshalling room</t>
        </is>
      </c>
      <c r="E5673" s="12" t="inlineStr"/>
      <c r="F5673" s="12" t="inlineStr">
        <is>
          <t>Inlet-chilling e-house / transformer</t>
        </is>
      </c>
      <c r="G5673" s="12" t="inlineStr">
        <is>
          <t>JB-Chillers x6 (water-AI04</t>
        </is>
      </c>
      <c r="H5673" s="12" t="inlineStr">
        <is>
          <t>Chillers x6 (water-cooled)</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10</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J-I-0025</t>
        </is>
      </c>
      <c r="B5674" s="12" t="inlineStr">
        <is>
          <t>J</t>
        </is>
      </c>
      <c r="C5674" s="12" t="inlineStr">
        <is>
          <t>GT inlet chilling</t>
        </is>
      </c>
      <c r="D5674" s="12" t="inlineStr">
        <is>
          <t>Analog instrument to JB JB-Chillers x6 (water-AI05: 20 x 1 pr (field cables)</t>
        </is>
      </c>
      <c r="E5674" s="12" t="inlineStr"/>
      <c r="F5674" s="12" t="inlineStr">
        <is>
          <t>Chillers x6 (water-cooled)</t>
        </is>
      </c>
      <c r="G5674" s="12" t="inlineStr">
        <is>
          <t>JB-Chillers x6 (water-AI05</t>
        </is>
      </c>
      <c r="H5674" s="12" t="inlineStr">
        <is>
          <t>Chillers x6 (water-cooled)</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190</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J-I-0026</t>
        </is>
      </c>
      <c r="B5675" s="12" t="inlineStr">
        <is>
          <t>J</t>
        </is>
      </c>
      <c r="C5675" s="12" t="inlineStr">
        <is>
          <t>GT inlet chilling</t>
        </is>
      </c>
      <c r="D5675" s="12" t="inlineStr">
        <is>
          <t>Home run JB-Chillers x6 (water-AI05 to the control / marshalling room</t>
        </is>
      </c>
      <c r="E5675" s="12" t="inlineStr"/>
      <c r="F5675" s="12" t="inlineStr">
        <is>
          <t>Inlet-chilling e-house / transformer</t>
        </is>
      </c>
      <c r="G5675" s="12" t="inlineStr">
        <is>
          <t>JB-Chillers x6 (water-AI05</t>
        </is>
      </c>
      <c r="H5675" s="12" t="inlineStr">
        <is>
          <t>Chillers x6 (water-cooled)</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Duct bank</t>
        </is>
      </c>
      <c r="T5675" s="15" t="n">
        <v>10</v>
      </c>
      <c r="U5675" s="15" t="n">
        <v>32</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J-I-0027</t>
        </is>
      </c>
      <c r="B5676" s="12" t="inlineStr">
        <is>
          <t>J</t>
        </is>
      </c>
      <c r="C5676" s="12" t="inlineStr">
        <is>
          <t>GT inlet chilling</t>
        </is>
      </c>
      <c r="D5676" s="12" t="inlineStr">
        <is>
          <t>Analog instrument to JB JB-Chillers x6 (water-AI06: 20 x 1 pr (field cables)</t>
        </is>
      </c>
      <c r="E5676" s="12" t="inlineStr"/>
      <c r="F5676" s="12" t="inlineStr">
        <is>
          <t>Chillers x6 (water-cooled)</t>
        </is>
      </c>
      <c r="G5676" s="12" t="inlineStr">
        <is>
          <t>JB-Chillers x6 (water-AI06</t>
        </is>
      </c>
      <c r="H5676" s="12" t="inlineStr">
        <is>
          <t>Chillers x6 (water-cooled)</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20</v>
      </c>
      <c r="O5676" s="12" t="n">
        <v>1</v>
      </c>
      <c r="P5676" s="12" t="n"/>
      <c r="Q5676" s="12" t="n"/>
      <c r="R5676" s="12" t="n"/>
      <c r="S5676" s="12" t="inlineStr">
        <is>
          <t>Tray / conduit</t>
        </is>
      </c>
      <c r="T5676" s="15" t="n">
        <v>190</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J-I-0028</t>
        </is>
      </c>
      <c r="B5677" s="12" t="inlineStr">
        <is>
          <t>J</t>
        </is>
      </c>
      <c r="C5677" s="12" t="inlineStr">
        <is>
          <t>GT inlet chilling</t>
        </is>
      </c>
      <c r="D5677" s="12" t="inlineStr">
        <is>
          <t>Home run JB-Chillers x6 (water-AI06 to the control / marshalling room</t>
        </is>
      </c>
      <c r="E5677" s="12" t="inlineStr"/>
      <c r="F5677" s="12" t="inlineStr">
        <is>
          <t>Inlet-chilling e-house / transformer</t>
        </is>
      </c>
      <c r="G5677" s="12" t="inlineStr">
        <is>
          <t>JB-Chillers x6 (water-AI06</t>
        </is>
      </c>
      <c r="H5677" s="12" t="inlineStr">
        <is>
          <t>Chillers x6 (water-cooled)</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Duct bank</t>
        </is>
      </c>
      <c r="T5677" s="15" t="n">
        <v>10</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J-I-0029</t>
        </is>
      </c>
      <c r="B5678" s="12" t="inlineStr">
        <is>
          <t>J</t>
        </is>
      </c>
      <c r="C5678" s="12" t="inlineStr">
        <is>
          <t>GT inlet chilling</t>
        </is>
      </c>
      <c r="D5678" s="12" t="inlineStr">
        <is>
          <t>Discrete device to JB JB-Chillers x6 (water-DI01: 20 x 1 pr (field cables)</t>
        </is>
      </c>
      <c r="E5678" s="12" t="inlineStr"/>
      <c r="F5678" s="12" t="inlineStr">
        <is>
          <t>Chillers x6 (water-cooled)</t>
        </is>
      </c>
      <c r="G5678" s="12" t="inlineStr">
        <is>
          <t>JB-Chillers x6 (water-DI01</t>
        </is>
      </c>
      <c r="H5678" s="12" t="inlineStr">
        <is>
          <t>Chillers x6 (water-cooled)</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190</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J-I-0030</t>
        </is>
      </c>
      <c r="B5679" s="12" t="inlineStr">
        <is>
          <t>J</t>
        </is>
      </c>
      <c r="C5679" s="12" t="inlineStr">
        <is>
          <t>GT inlet chilling</t>
        </is>
      </c>
      <c r="D5679" s="12" t="inlineStr">
        <is>
          <t>Home run JB-Chillers x6 (water-DI01 to the control / marshalling room</t>
        </is>
      </c>
      <c r="E5679" s="12" t="inlineStr"/>
      <c r="F5679" s="12" t="inlineStr">
        <is>
          <t>Inlet-chilling e-house / transformer</t>
        </is>
      </c>
      <c r="G5679" s="12" t="inlineStr">
        <is>
          <t>JB-Chillers x6 (water-DI01</t>
        </is>
      </c>
      <c r="H5679" s="12" t="inlineStr">
        <is>
          <t>Chillers x6 (water-cooled)</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Duct bank</t>
        </is>
      </c>
      <c r="T5679" s="15" t="n">
        <v>10</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J-I-0031</t>
        </is>
      </c>
      <c r="B5680" s="12" t="inlineStr">
        <is>
          <t>J</t>
        </is>
      </c>
      <c r="C5680" s="12" t="inlineStr">
        <is>
          <t>GT inlet chilling</t>
        </is>
      </c>
      <c r="D5680" s="12" t="inlineStr">
        <is>
          <t>Discrete device to JB JB-Chillers x6 (water-DI02: 20 x 1 pr (field cables)</t>
        </is>
      </c>
      <c r="E5680" s="12" t="inlineStr"/>
      <c r="F5680" s="12" t="inlineStr">
        <is>
          <t>Chillers x6 (water-cooled)</t>
        </is>
      </c>
      <c r="G5680" s="12" t="inlineStr">
        <is>
          <t>JB-Chillers x6 (water-DI02</t>
        </is>
      </c>
      <c r="H5680" s="12" t="inlineStr">
        <is>
          <t>Chillers x6 (water-cooled)</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20</v>
      </c>
      <c r="O5680" s="12" t="n">
        <v>1</v>
      </c>
      <c r="P5680" s="12" t="n"/>
      <c r="Q5680" s="12" t="n"/>
      <c r="R5680" s="12" t="n"/>
      <c r="S5680" s="12" t="inlineStr">
        <is>
          <t>Tray / conduit</t>
        </is>
      </c>
      <c r="T5680" s="15" t="n">
        <v>190</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J-I-0032</t>
        </is>
      </c>
      <c r="B5681" s="12" t="inlineStr">
        <is>
          <t>J</t>
        </is>
      </c>
      <c r="C5681" s="12" t="inlineStr">
        <is>
          <t>GT inlet chilling</t>
        </is>
      </c>
      <c r="D5681" s="12" t="inlineStr">
        <is>
          <t>Home run JB-Chillers x6 (water-DI02 to the control / marshalling room</t>
        </is>
      </c>
      <c r="E5681" s="12" t="inlineStr"/>
      <c r="F5681" s="12" t="inlineStr">
        <is>
          <t>Inlet-chilling e-house / transformer</t>
        </is>
      </c>
      <c r="G5681" s="12" t="inlineStr">
        <is>
          <t>JB-Chillers x6 (water-DI02</t>
        </is>
      </c>
      <c r="H5681" s="12" t="inlineStr">
        <is>
          <t>Chillers x6 (water-cooled)</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J-I-0033</t>
        </is>
      </c>
      <c r="B5682" s="12" t="inlineStr">
        <is>
          <t>J</t>
        </is>
      </c>
      <c r="C5682" s="12" t="inlineStr">
        <is>
          <t>GT inlet chilling</t>
        </is>
      </c>
      <c r="D5682" s="12" t="inlineStr">
        <is>
          <t>Discrete device to JB JB-Chillers x6 (water-DI03: 20 x 1 pr (field cables)</t>
        </is>
      </c>
      <c r="E5682" s="12" t="inlineStr"/>
      <c r="F5682" s="12" t="inlineStr">
        <is>
          <t>Chillers x6 (water-cooled)</t>
        </is>
      </c>
      <c r="G5682" s="12" t="inlineStr">
        <is>
          <t>JB-Chillers x6 (water-DI03</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J-I-0034</t>
        </is>
      </c>
      <c r="B5683" s="12" t="inlineStr">
        <is>
          <t>J</t>
        </is>
      </c>
      <c r="C5683" s="12" t="inlineStr">
        <is>
          <t>GT inlet chilling</t>
        </is>
      </c>
      <c r="D5683" s="12" t="inlineStr">
        <is>
          <t>Home run JB-Chillers x6 (water-DI03 to the control / marshalling room</t>
        </is>
      </c>
      <c r="E5683" s="12" t="inlineStr"/>
      <c r="F5683" s="12" t="inlineStr">
        <is>
          <t>Inlet-chilling e-house / transformer</t>
        </is>
      </c>
      <c r="G5683" s="12" t="inlineStr">
        <is>
          <t>JB-Chillers x6 (water-DI03</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J-I-0035</t>
        </is>
      </c>
      <c r="B5684" s="12" t="inlineStr">
        <is>
          <t>J</t>
        </is>
      </c>
      <c r="C5684" s="12" t="inlineStr">
        <is>
          <t>GT inlet chilling</t>
        </is>
      </c>
      <c r="D5684" s="12" t="inlineStr">
        <is>
          <t>Discrete device to JB JB-Chillers x6 (water-DI04: 20 x 1 pr (field cables)</t>
        </is>
      </c>
      <c r="E5684" s="12" t="inlineStr"/>
      <c r="F5684" s="12" t="inlineStr">
        <is>
          <t>Chillers x6 (water-cooled)</t>
        </is>
      </c>
      <c r="G5684" s="12" t="inlineStr">
        <is>
          <t>JB-Chillers x6 (water-DI04</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J-I-0036</t>
        </is>
      </c>
      <c r="B5685" s="12" t="inlineStr">
        <is>
          <t>J</t>
        </is>
      </c>
      <c r="C5685" s="12" t="inlineStr">
        <is>
          <t>GT inlet chilling</t>
        </is>
      </c>
      <c r="D5685" s="12" t="inlineStr">
        <is>
          <t>Home run JB-Chillers x6 (water-DI04 to the control / marshalling room</t>
        </is>
      </c>
      <c r="E5685" s="12" t="inlineStr"/>
      <c r="F5685" s="12" t="inlineStr">
        <is>
          <t>Inlet-chilling e-house / transformer</t>
        </is>
      </c>
      <c r="G5685" s="12" t="inlineStr">
        <is>
          <t>JB-Chillers x6 (water-DI04</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J-I-0037</t>
        </is>
      </c>
      <c r="B5686" s="12" t="inlineStr">
        <is>
          <t>J</t>
        </is>
      </c>
      <c r="C5686" s="12" t="inlineStr">
        <is>
          <t>GT inlet chilling</t>
        </is>
      </c>
      <c r="D5686" s="12" t="inlineStr">
        <is>
          <t>Discrete device to JB JB-Chillers x6 (water-DI05: 20 x 1 pr (field cables)</t>
        </is>
      </c>
      <c r="E5686" s="12" t="inlineStr"/>
      <c r="F5686" s="12" t="inlineStr">
        <is>
          <t>Chillers x6 (water-cooled)</t>
        </is>
      </c>
      <c r="G5686" s="12" t="inlineStr">
        <is>
          <t>JB-Chillers x6 (water-DI05</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J-I-0038</t>
        </is>
      </c>
      <c r="B5687" s="12" t="inlineStr">
        <is>
          <t>J</t>
        </is>
      </c>
      <c r="C5687" s="12" t="inlineStr">
        <is>
          <t>GT inlet chilling</t>
        </is>
      </c>
      <c r="D5687" s="12" t="inlineStr">
        <is>
          <t>Home run JB-Chillers x6 (water-DI05 to the control / marshalling room</t>
        </is>
      </c>
      <c r="E5687" s="12" t="inlineStr"/>
      <c r="F5687" s="12" t="inlineStr">
        <is>
          <t>Inlet-chilling e-house / transformer</t>
        </is>
      </c>
      <c r="G5687" s="12" t="inlineStr">
        <is>
          <t>JB-Chillers x6 (water-DI05</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J-I-0039</t>
        </is>
      </c>
      <c r="B5688" s="12" t="inlineStr">
        <is>
          <t>J</t>
        </is>
      </c>
      <c r="C5688" s="12" t="inlineStr">
        <is>
          <t>GT inlet chilling</t>
        </is>
      </c>
      <c r="D5688" s="12" t="inlineStr">
        <is>
          <t>Discrete device to JB JB-Chillers x6 (water-DI06: 20 x 1 pr (field cables)</t>
        </is>
      </c>
      <c r="E5688" s="12" t="inlineStr"/>
      <c r="F5688" s="12" t="inlineStr">
        <is>
          <t>Chillers x6 (water-cooled)</t>
        </is>
      </c>
      <c r="G5688" s="12" t="inlineStr">
        <is>
          <t>JB-Chillers x6 (water-DI06</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J-I-0040</t>
        </is>
      </c>
      <c r="B5689" s="12" t="inlineStr">
        <is>
          <t>J</t>
        </is>
      </c>
      <c r="C5689" s="12" t="inlineStr">
        <is>
          <t>GT inlet chilling</t>
        </is>
      </c>
      <c r="D5689" s="12" t="inlineStr">
        <is>
          <t>Home run JB-Chillers x6 (water-DI06 to the control / marshalling room</t>
        </is>
      </c>
      <c r="E5689" s="12" t="inlineStr"/>
      <c r="F5689" s="12" t="inlineStr">
        <is>
          <t>Inlet-chilling e-house / transformer</t>
        </is>
      </c>
      <c r="G5689" s="12" t="inlineStr">
        <is>
          <t>JB-Chillers x6 (water-DI06</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J-I-0041</t>
        </is>
      </c>
      <c r="B5690" s="12" t="inlineStr">
        <is>
          <t>J</t>
        </is>
      </c>
      <c r="C5690" s="12" t="inlineStr">
        <is>
          <t>GT inlet chilling</t>
        </is>
      </c>
      <c r="D5690" s="12" t="inlineStr">
        <is>
          <t>Instrumentation</t>
        </is>
      </c>
      <c r="E5690" s="12" t="inlineStr"/>
      <c r="F5690" s="12" t="inlineStr">
        <is>
          <t>Inlet-chilling e-house / transformer</t>
        </is>
      </c>
      <c r="G5690" s="12" t="inlineStr"/>
      <c r="H5690" s="12" t="inlineStr">
        <is>
          <t>Inlet-chilling e-house / transformer</t>
        </is>
      </c>
      <c r="I5690" s="12" t="inlineStr">
        <is>
          <t>Instrumentation</t>
        </is>
      </c>
      <c r="J5690" s="12" t="inlineStr">
        <is>
          <t>Instrumentation PLTC / TC-ER 300 V, #18 twisted shielded pairs, overall shield</t>
        </is>
      </c>
      <c r="K5690" s="12" t="inlineStr">
        <is>
          <t>PLTC|4 pr|18</t>
        </is>
      </c>
      <c r="L5690" s="12" t="inlineStr">
        <is>
          <t>4 pr</t>
        </is>
      </c>
      <c r="M5690" s="12" t="inlineStr">
        <is>
          <t>18</t>
        </is>
      </c>
      <c r="N5690" s="12" t="n">
        <v>1</v>
      </c>
      <c r="O5690" s="12" t="n">
        <v>1</v>
      </c>
      <c r="P5690" s="12" t="n"/>
      <c r="Q5690" s="12" t="n"/>
      <c r="R5690" s="12" t="n"/>
      <c r="S5690" s="12" t="inlineStr">
        <is>
          <t>Tray</t>
        </is>
      </c>
      <c r="T5690" s="15" t="n">
        <v>0</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J-I-0042</t>
        </is>
      </c>
      <c r="B5691" s="12" t="inlineStr">
        <is>
          <t>J</t>
        </is>
      </c>
      <c r="C5691" s="12" t="inlineStr">
        <is>
          <t>GT inlet chilling</t>
        </is>
      </c>
      <c r="D5691" s="12" t="inlineStr">
        <is>
          <t>Analog instrument to JB JB-Inlet-chilling tow-AI01: 12 x 1 pr (field cables)</t>
        </is>
      </c>
      <c r="E5691" s="12" t="inlineStr"/>
      <c r="F5691" s="12" t="inlineStr">
        <is>
          <t>Inlet-chilling tower (12 cells): chiller heat rejection</t>
        </is>
      </c>
      <c r="G5691" s="12" t="inlineStr">
        <is>
          <t>JB-Inlet-chilling tow-AI01</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12</v>
      </c>
      <c r="O5691" s="12" t="n">
        <v>1</v>
      </c>
      <c r="P5691" s="12" t="n"/>
      <c r="Q5691" s="12" t="n"/>
      <c r="R5691" s="12" t="n"/>
      <c r="S5691" s="12" t="inlineStr">
        <is>
          <t>Tray / conduit</t>
        </is>
      </c>
      <c r="T5691" s="15" t="n">
        <v>205</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J-I-0043</t>
        </is>
      </c>
      <c r="B5692" s="12" t="inlineStr">
        <is>
          <t>J</t>
        </is>
      </c>
      <c r="C5692" s="12" t="inlineStr">
        <is>
          <t>GT inlet chilling</t>
        </is>
      </c>
      <c r="D5692" s="12" t="inlineStr">
        <is>
          <t>Home run JB-Inlet-chilling tow-AI01 to the control / marshalling room</t>
        </is>
      </c>
      <c r="E5692" s="12" t="inlineStr"/>
      <c r="F5692" s="12" t="inlineStr">
        <is>
          <t>Inlet-chilling e-house / transformer</t>
        </is>
      </c>
      <c r="G5692" s="12" t="inlineStr">
        <is>
          <t>JB-Inlet-chilling tow-AI01</t>
        </is>
      </c>
      <c r="H5692" s="12" t="inlineStr">
        <is>
          <t>Inlet-chilling tower (12 cells): chiller heat rejection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5" t="n">
        <v>478</v>
      </c>
      <c r="U5692" s="15" t="n">
        <v>38</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J-I-0044</t>
        </is>
      </c>
      <c r="B5693" s="12" t="inlineStr">
        <is>
          <t>J</t>
        </is>
      </c>
      <c r="C5693" s="12" t="inlineStr">
        <is>
          <t>GT inlet chilling</t>
        </is>
      </c>
      <c r="D5693" s="12" t="inlineStr">
        <is>
          <t>Discrete device to JB JB-Inlet-chilling tow-DI01: 20 x 1 pr (field cables)</t>
        </is>
      </c>
      <c r="E5693" s="12" t="inlineStr"/>
      <c r="F5693" s="12" t="inlineStr">
        <is>
          <t>Inlet-chilling tower (12 cells): chiller heat rejection</t>
        </is>
      </c>
      <c r="G5693" s="12" t="inlineStr">
        <is>
          <t>JB-Inlet-chilling tow-DI01</t>
        </is>
      </c>
      <c r="H5693" s="12" t="inlineStr">
        <is>
          <t>Inlet-chilling tower (12 cells): chiller heat rejection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5" t="n">
        <v>205</v>
      </c>
      <c r="U5693" s="15" t="n">
        <v>10</v>
      </c>
      <c r="V5693" s="15">
        <f>ROUNDUP((T5693+U5693+2*'Read Me'!$B$13)*(1+'Read Me'!$B$12),-1)</f>
        <v/>
      </c>
      <c r="W5693" s="15">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J-I-0045</t>
        </is>
      </c>
      <c r="B5694" s="12" t="inlineStr">
        <is>
          <t>J</t>
        </is>
      </c>
      <c r="C5694" s="12" t="inlineStr">
        <is>
          <t>GT inlet chilling</t>
        </is>
      </c>
      <c r="D5694" s="12" t="inlineStr">
        <is>
          <t>Home run JB-Inlet-chilling tow-DI01 to the control / marshalling room</t>
        </is>
      </c>
      <c r="E5694" s="12" t="inlineStr"/>
      <c r="F5694" s="12" t="inlineStr">
        <is>
          <t>Inlet-chilling e-house / transformer</t>
        </is>
      </c>
      <c r="G5694" s="12" t="inlineStr">
        <is>
          <t>JB-Inlet-chilling tow-DI01</t>
        </is>
      </c>
      <c r="H5694" s="12" t="inlineStr">
        <is>
          <t>Inlet-chilling tower (12 cells): chiller heat rejection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5" t="n">
        <v>478</v>
      </c>
      <c r="U5694" s="15" t="n">
        <v>38</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J-I-0046</t>
        </is>
      </c>
      <c r="B5695" s="12" t="inlineStr">
        <is>
          <t>J</t>
        </is>
      </c>
      <c r="C5695" s="12" t="inlineStr">
        <is>
          <t>GT inlet chilling</t>
        </is>
      </c>
      <c r="D5695" s="12" t="inlineStr">
        <is>
          <t>Discrete device to JB JB-Inlet-chilling tow-DI02: 4 x 1 pr (field cables)</t>
        </is>
      </c>
      <c r="E5695" s="12" t="inlineStr"/>
      <c r="F5695" s="12" t="inlineStr">
        <is>
          <t>Inlet-chilling tower (12 cells): chiller heat rejection</t>
        </is>
      </c>
      <c r="G5695" s="12" t="inlineStr">
        <is>
          <t>JB-Inlet-chilling tow-DI02</t>
        </is>
      </c>
      <c r="H5695" s="12" t="inlineStr">
        <is>
          <t>Inlet-chilling tower (12 cells): chiller heat rejection</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4</v>
      </c>
      <c r="O5695" s="12" t="n">
        <v>1</v>
      </c>
      <c r="P5695" s="12" t="n"/>
      <c r="Q5695" s="12" t="n"/>
      <c r="R5695" s="12" t="n"/>
      <c r="S5695" s="12" t="inlineStr">
        <is>
          <t>Tray / conduit</t>
        </is>
      </c>
      <c r="T5695" s="15" t="n">
        <v>205</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J-I-0047</t>
        </is>
      </c>
      <c r="B5696" s="12" t="inlineStr">
        <is>
          <t>J</t>
        </is>
      </c>
      <c r="C5696" s="12" t="inlineStr">
        <is>
          <t>GT inlet chilling</t>
        </is>
      </c>
      <c r="D5696" s="12" t="inlineStr">
        <is>
          <t>Home run JB-Inlet-chilling tow-DI02 to the control / marshalling room</t>
        </is>
      </c>
      <c r="E5696" s="12" t="inlineStr"/>
      <c r="F5696" s="12" t="inlineStr">
        <is>
          <t>Inlet-chilling e-house / transformer</t>
        </is>
      </c>
      <c r="G5696" s="12" t="inlineStr">
        <is>
          <t>JB-Inlet-chilling tow-DI02</t>
        </is>
      </c>
      <c r="H5696" s="12" t="inlineStr">
        <is>
          <t>Inlet-chilling tower (12 cells): chiller heat rejection</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478</v>
      </c>
      <c r="U5696" s="15" t="n">
        <v>38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J-P-0001</t>
        </is>
      </c>
      <c r="B5697" s="12" t="inlineStr">
        <is>
          <t>J</t>
        </is>
      </c>
      <c r="C5697" s="12" t="inlineStr">
        <is>
          <t>GT inlet chilling</t>
        </is>
      </c>
      <c r="D5697" s="12" t="inlineStr">
        <is>
          <t>Motor 1 of 4, 150 kW</t>
        </is>
      </c>
      <c r="E5697" s="12" t="inlineStr"/>
      <c r="F5697" s="12" t="inlineStr">
        <is>
          <t>Inlet-chilling e-house / transformer</t>
        </is>
      </c>
      <c r="G5697" s="12" t="inlineStr"/>
      <c r="H5697" s="12" t="inlineStr">
        <is>
          <t>CHW pumps</t>
        </is>
      </c>
      <c r="I5697" s="12" t="inlineStr">
        <is>
          <t>LV 600 V</t>
        </is>
      </c>
      <c r="J5697" s="12" t="inlineStr">
        <is>
          <t>Type TC-ER 600 V 3/C Cu XHHW-2 + ground, PVC jacket</t>
        </is>
      </c>
      <c r="K5697" s="12" t="inlineStr">
        <is>
          <t>LV|3/C+G|350</t>
        </is>
      </c>
      <c r="L5697" s="12" t="inlineStr">
        <is>
          <t>3/C+G</t>
        </is>
      </c>
      <c r="M5697" s="12" t="inlineStr">
        <is>
          <t>350 kcmil</t>
        </is>
      </c>
      <c r="N5697" s="12" t="n">
        <v>1</v>
      </c>
      <c r="O5697" s="12" t="n">
        <v>1</v>
      </c>
      <c r="P5697" s="12" t="n">
        <v>480</v>
      </c>
      <c r="Q5697" s="12" t="n">
        <v>150</v>
      </c>
      <c r="R5697" s="12" t="n">
        <v>212.3</v>
      </c>
      <c r="S5697" s="12" t="inlineStr">
        <is>
          <t>Duct bank</t>
        </is>
      </c>
      <c r="T5697" s="15" t="n">
        <v>579</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1.9 %</t>
        </is>
      </c>
      <c r="AA5697" s="12">
        <f>N5697*O5697</f>
        <v/>
      </c>
    </row>
    <row r="5698">
      <c r="A5698" s="12" t="inlineStr">
        <is>
          <t>J-P-0002</t>
        </is>
      </c>
      <c r="B5698" s="12" t="inlineStr">
        <is>
          <t>J</t>
        </is>
      </c>
      <c r="C5698" s="12" t="inlineStr">
        <is>
          <t>GT inlet chilling</t>
        </is>
      </c>
      <c r="D5698" s="12" t="inlineStr">
        <is>
          <t>Motor 2 of 4, 150 kW</t>
        </is>
      </c>
      <c r="E5698" s="12" t="inlineStr"/>
      <c r="F5698" s="12" t="inlineStr">
        <is>
          <t>Inlet-chilling e-house / transformer</t>
        </is>
      </c>
      <c r="G5698" s="12" t="inlineStr"/>
      <c r="H5698" s="12" t="inlineStr">
        <is>
          <t>CHW pumps</t>
        </is>
      </c>
      <c r="I5698" s="12" t="inlineStr">
        <is>
          <t>LV 600 V</t>
        </is>
      </c>
      <c r="J5698" s="12" t="inlineStr">
        <is>
          <t>Type TC-ER 600 V 3/C Cu XHHW-2 + ground, PVC jacket</t>
        </is>
      </c>
      <c r="K5698" s="12" t="inlineStr">
        <is>
          <t>LV|3/C+G|350</t>
        </is>
      </c>
      <c r="L5698" s="12" t="inlineStr">
        <is>
          <t>3/C+G</t>
        </is>
      </c>
      <c r="M5698" s="12" t="inlineStr">
        <is>
          <t>350 kcmil</t>
        </is>
      </c>
      <c r="N5698" s="12" t="n">
        <v>1</v>
      </c>
      <c r="O5698" s="12" t="n">
        <v>1</v>
      </c>
      <c r="P5698" s="12" t="n">
        <v>480</v>
      </c>
      <c r="Q5698" s="12" t="n">
        <v>150</v>
      </c>
      <c r="R5698" s="12" t="n">
        <v>212.3</v>
      </c>
      <c r="S5698" s="12" t="inlineStr">
        <is>
          <t>Duct bank</t>
        </is>
      </c>
      <c r="T5698" s="15" t="n">
        <v>579</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1.9 %</t>
        </is>
      </c>
      <c r="AA5698" s="12">
        <f>N5698*O5698</f>
        <v/>
      </c>
    </row>
    <row r="5699">
      <c r="A5699" s="12" t="inlineStr">
        <is>
          <t>J-P-0003</t>
        </is>
      </c>
      <c r="B5699" s="12" t="inlineStr">
        <is>
          <t>J</t>
        </is>
      </c>
      <c r="C5699" s="12" t="inlineStr">
        <is>
          <t>GT inlet chilling</t>
        </is>
      </c>
      <c r="D5699" s="12" t="inlineStr">
        <is>
          <t>Motor 3 of 4, 150 kW</t>
        </is>
      </c>
      <c r="E5699" s="12" t="inlineStr"/>
      <c r="F5699" s="12" t="inlineStr">
        <is>
          <t>Inlet-chilling e-house / transformer</t>
        </is>
      </c>
      <c r="G5699" s="12" t="inlineStr"/>
      <c r="H5699" s="12" t="inlineStr">
        <is>
          <t>CHW pumps</t>
        </is>
      </c>
      <c r="I5699" s="12" t="inlineStr">
        <is>
          <t>LV 600 V</t>
        </is>
      </c>
      <c r="J5699" s="12" t="inlineStr">
        <is>
          <t>Type TC-ER 600 V 3/C Cu XHHW-2 + ground, PVC jacket</t>
        </is>
      </c>
      <c r="K5699" s="12" t="inlineStr">
        <is>
          <t>LV|3/C+G|350</t>
        </is>
      </c>
      <c r="L5699" s="12" t="inlineStr">
        <is>
          <t>3/C+G</t>
        </is>
      </c>
      <c r="M5699" s="12" t="inlineStr">
        <is>
          <t>350 kcmil</t>
        </is>
      </c>
      <c r="N5699" s="12" t="n">
        <v>1</v>
      </c>
      <c r="O5699" s="12" t="n">
        <v>1</v>
      </c>
      <c r="P5699" s="12" t="n">
        <v>480</v>
      </c>
      <c r="Q5699" s="12" t="n">
        <v>150</v>
      </c>
      <c r="R5699" s="12" t="n">
        <v>212.3</v>
      </c>
      <c r="S5699" s="12" t="inlineStr">
        <is>
          <t>Duct bank</t>
        </is>
      </c>
      <c r="T5699" s="15" t="n">
        <v>579</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1.9 %</t>
        </is>
      </c>
      <c r="AA5699" s="12">
        <f>N5699*O5699</f>
        <v/>
      </c>
    </row>
    <row r="5700">
      <c r="A5700" s="12" t="inlineStr">
        <is>
          <t>J-P-0004</t>
        </is>
      </c>
      <c r="B5700" s="12" t="inlineStr">
        <is>
          <t>J</t>
        </is>
      </c>
      <c r="C5700" s="12" t="inlineStr">
        <is>
          <t>GT inlet chilling</t>
        </is>
      </c>
      <c r="D5700" s="12" t="inlineStr">
        <is>
          <t>Motor 4 of 4, 150 kW</t>
        </is>
      </c>
      <c r="E5700" s="12" t="inlineStr"/>
      <c r="F5700" s="12" t="inlineStr">
        <is>
          <t>Inlet-chilling e-house / transformer</t>
        </is>
      </c>
      <c r="G5700" s="12" t="inlineStr"/>
      <c r="H5700" s="12" t="inlineStr">
        <is>
          <t>CHW pumps</t>
        </is>
      </c>
      <c r="I5700" s="12" t="inlineStr">
        <is>
          <t>LV 600 V</t>
        </is>
      </c>
      <c r="J5700" s="12" t="inlineStr">
        <is>
          <t>Type TC-ER 600 V 3/C Cu XHHW-2 + ground, PVC jacket</t>
        </is>
      </c>
      <c r="K5700" s="12" t="inlineStr">
        <is>
          <t>LV|3/C+G|350</t>
        </is>
      </c>
      <c r="L5700" s="12" t="inlineStr">
        <is>
          <t>3/C+G</t>
        </is>
      </c>
      <c r="M5700" s="12" t="inlineStr">
        <is>
          <t>350 kcmil</t>
        </is>
      </c>
      <c r="N5700" s="12" t="n">
        <v>1</v>
      </c>
      <c r="O5700" s="12" t="n">
        <v>1</v>
      </c>
      <c r="P5700" s="12" t="n">
        <v>480</v>
      </c>
      <c r="Q5700" s="12" t="n">
        <v>150</v>
      </c>
      <c r="R5700" s="12" t="n">
        <v>212.3</v>
      </c>
      <c r="S5700" s="12" t="inlineStr">
        <is>
          <t>Duct bank</t>
        </is>
      </c>
      <c r="T5700" s="15" t="n">
        <v>579</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1.9 %</t>
        </is>
      </c>
      <c r="AA5700" s="12">
        <f>N5700*O5700</f>
        <v/>
      </c>
    </row>
    <row r="5701">
      <c r="A5701" s="12" t="inlineStr">
        <is>
          <t>J-P-0005</t>
        </is>
      </c>
      <c r="B5701" s="12" t="inlineStr">
        <is>
          <t>J</t>
        </is>
      </c>
      <c r="C5701" s="12" t="inlineStr">
        <is>
          <t>GT inlet chilling</t>
        </is>
      </c>
      <c r="D5701" s="12" t="inlineStr">
        <is>
          <t>LV power feeder</t>
        </is>
      </c>
      <c r="E5701" s="12" t="inlineStr"/>
      <c r="F5701" s="12" t="inlineStr">
        <is>
          <t>Inlet-chilling e-house / transformer</t>
        </is>
      </c>
      <c r="G5701" s="12" t="inlineStr"/>
      <c r="H5701" s="12" t="inlineStr">
        <is>
          <t>CONDITIONAL: TES chilled-water tank</t>
        </is>
      </c>
      <c r="I5701" s="12" t="inlineStr">
        <is>
          <t>LV 600 V</t>
        </is>
      </c>
      <c r="J5701" s="12" t="inlineStr">
        <is>
          <t>Type TC-ER 600 V 3/C Cu XHHW-2 + ground, PVC jacket</t>
        </is>
      </c>
      <c r="K5701" s="12" t="inlineStr">
        <is>
          <t>LV|3/C+G|8</t>
        </is>
      </c>
      <c r="L5701" s="12" t="inlineStr">
        <is>
          <t>3/C+G</t>
        </is>
      </c>
      <c r="M5701" s="12" t="inlineStr">
        <is>
          <t>8</t>
        </is>
      </c>
      <c r="N5701" s="12" t="n">
        <v>1</v>
      </c>
      <c r="O5701" s="12" t="n">
        <v>1</v>
      </c>
      <c r="P5701" s="12" t="n">
        <v>480</v>
      </c>
      <c r="Q5701" s="12" t="n">
        <v>10</v>
      </c>
      <c r="R5701" s="12" t="n">
        <v>14.2</v>
      </c>
      <c r="S5701" s="12" t="inlineStr">
        <is>
          <t>Duct bank</t>
        </is>
      </c>
      <c r="T5701" s="15" t="n">
        <v>271</v>
      </c>
      <c r="U5701" s="15" t="n">
        <v>217</v>
      </c>
      <c r="V5701" s="15">
        <f>ROUNDUP((T5701+U5701+2*'Read Me'!$B$13)*(1+'Read Me'!$B$12),-1)</f>
        <v/>
      </c>
      <c r="W5701" s="15">
        <f>V5701*N5701*O5701</f>
        <v/>
      </c>
      <c r="X5701" s="12">
        <f>IF(LEFT(I5701,2)="MV",2*N5701*IF(L5701="1/C",O5701,1),0)</f>
        <v/>
      </c>
      <c r="Y5701" s="12">
        <f>IF(OR(LEFT(K5701,4)="LVAX",LEFT(K5701,6)="MV15AX",LEFT(K5701,4)="CTAX",LEFT(K5701,2)="W|"),2*N5701*O5701,0)</f>
        <v/>
      </c>
      <c r="Z5701" s="12" t="inlineStr">
        <is>
          <t>VD 2.1 %</t>
        </is>
      </c>
      <c r="AA5701" s="12">
        <f>N5701*O5701</f>
        <v/>
      </c>
    </row>
    <row r="5702">
      <c r="A5702" s="12" t="inlineStr">
        <is>
          <t>J-P-0006</t>
        </is>
      </c>
      <c r="B5702" s="12" t="inlineStr">
        <is>
          <t>J</t>
        </is>
      </c>
      <c r="C5702" s="12" t="inlineStr">
        <is>
          <t>GT inlet chilling</t>
        </is>
      </c>
      <c r="D5702" s="12" t="inlineStr">
        <is>
          <t>Motor 1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J-P-0007</t>
        </is>
      </c>
      <c r="B5703" s="12" t="inlineStr">
        <is>
          <t>J</t>
        </is>
      </c>
      <c r="C5703" s="12" t="inlineStr">
        <is>
          <t>GT inlet chilling</t>
        </is>
      </c>
      <c r="D5703" s="12" t="inlineStr">
        <is>
          <t>Motor 2 of 6, 7 kW</t>
        </is>
      </c>
      <c r="E5703" s="12" t="inlineStr"/>
      <c r="F5703" s="12" t="inlineStr">
        <is>
          <t>Inlet-chilling e-house / transformer</t>
        </is>
      </c>
      <c r="G5703" s="12" t="inlineStr"/>
      <c r="H5703" s="12" t="inlineStr">
        <is>
          <t>Chillers x6 (water-cooled)</t>
        </is>
      </c>
      <c r="I5703" s="12" t="inlineStr">
        <is>
          <t>LV 600 V</t>
        </is>
      </c>
      <c r="J5703" s="12" t="inlineStr">
        <is>
          <t>Type TC-ER 600 V 3/C Cu XHHW-2 + ground, PVC jacket</t>
        </is>
      </c>
      <c r="K5703" s="12" t="inlineStr">
        <is>
          <t>LV|3/C+G|10</t>
        </is>
      </c>
      <c r="L5703" s="12" t="inlineStr">
        <is>
          <t>3/C+G</t>
        </is>
      </c>
      <c r="M5703" s="12" t="inlineStr">
        <is>
          <t>10</t>
        </is>
      </c>
      <c r="N5703" s="12" t="n">
        <v>1</v>
      </c>
      <c r="O5703" s="12" t="n">
        <v>1</v>
      </c>
      <c r="P5703" s="12" t="n">
        <v>480</v>
      </c>
      <c r="Q5703" s="12" t="n">
        <v>7</v>
      </c>
      <c r="R5703" s="12" t="n">
        <v>9.9</v>
      </c>
      <c r="S5703" s="12" t="inlineStr">
        <is>
          <t>Duct bank</t>
        </is>
      </c>
      <c r="T5703" s="15" t="n">
        <v>10</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is>
          <t>VD 0.2 %</t>
        </is>
      </c>
      <c r="AA5703" s="12">
        <f>N5703*O5703</f>
        <v/>
      </c>
    </row>
    <row r="5704">
      <c r="A5704" s="12" t="inlineStr">
        <is>
          <t>J-P-0008</t>
        </is>
      </c>
      <c r="B5704" s="12" t="inlineStr">
        <is>
          <t>J</t>
        </is>
      </c>
      <c r="C5704" s="12" t="inlineStr">
        <is>
          <t>GT inlet chilling</t>
        </is>
      </c>
      <c r="D5704" s="12" t="inlineStr">
        <is>
          <t>Motor 3 of 6, 7 kW</t>
        </is>
      </c>
      <c r="E5704" s="12" t="inlineStr"/>
      <c r="F5704" s="12" t="inlineStr">
        <is>
          <t>Inlet-chilling e-house / transformer</t>
        </is>
      </c>
      <c r="G5704" s="12" t="inlineStr"/>
      <c r="H5704" s="12" t="inlineStr">
        <is>
          <t>Chillers x6 (water-cooled)</t>
        </is>
      </c>
      <c r="I5704" s="12" t="inlineStr">
        <is>
          <t>LV 600 V</t>
        </is>
      </c>
      <c r="J5704" s="12" t="inlineStr">
        <is>
          <t>Type TC-ER 600 V 3/C Cu XHHW-2 + ground, PVC jacket</t>
        </is>
      </c>
      <c r="K5704" s="12" t="inlineStr">
        <is>
          <t>LV|3/C+G|10</t>
        </is>
      </c>
      <c r="L5704" s="12" t="inlineStr">
        <is>
          <t>3/C+G</t>
        </is>
      </c>
      <c r="M5704" s="12" t="inlineStr">
        <is>
          <t>10</t>
        </is>
      </c>
      <c r="N5704" s="12" t="n">
        <v>1</v>
      </c>
      <c r="O5704" s="12" t="n">
        <v>1</v>
      </c>
      <c r="P5704" s="12" t="n">
        <v>480</v>
      </c>
      <c r="Q5704" s="12" t="n">
        <v>7</v>
      </c>
      <c r="R5704" s="12" t="n">
        <v>9.9</v>
      </c>
      <c r="S5704" s="12" t="inlineStr">
        <is>
          <t>Duct bank</t>
        </is>
      </c>
      <c r="T5704" s="15" t="n">
        <v>10</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is>
          <t>VD 0.2 %</t>
        </is>
      </c>
      <c r="AA5704" s="12">
        <f>N5704*O5704</f>
        <v/>
      </c>
    </row>
    <row r="5705">
      <c r="A5705" s="12" t="inlineStr">
        <is>
          <t>J-P-0009</t>
        </is>
      </c>
      <c r="B5705" s="12" t="inlineStr">
        <is>
          <t>J</t>
        </is>
      </c>
      <c r="C5705" s="12" t="inlineStr">
        <is>
          <t>GT inlet chilling</t>
        </is>
      </c>
      <c r="D5705" s="12" t="inlineStr">
        <is>
          <t>Motor 4 of 6, 7 kW</t>
        </is>
      </c>
      <c r="E5705" s="12" t="inlineStr"/>
      <c r="F5705" s="12" t="inlineStr">
        <is>
          <t>Inlet-chilling e-house / transformer</t>
        </is>
      </c>
      <c r="G5705" s="12" t="inlineStr"/>
      <c r="H5705" s="12" t="inlineStr">
        <is>
          <t>Chillers x6 (water-cooled)</t>
        </is>
      </c>
      <c r="I5705" s="12" t="inlineStr">
        <is>
          <t>LV 600 V</t>
        </is>
      </c>
      <c r="J5705" s="12" t="inlineStr">
        <is>
          <t>Type TC-ER 600 V 3/C Cu XHHW-2 + ground, PVC jacket</t>
        </is>
      </c>
      <c r="K5705" s="12" t="inlineStr">
        <is>
          <t>LV|3/C+G|10</t>
        </is>
      </c>
      <c r="L5705" s="12" t="inlineStr">
        <is>
          <t>3/C+G</t>
        </is>
      </c>
      <c r="M5705" s="12" t="inlineStr">
        <is>
          <t>10</t>
        </is>
      </c>
      <c r="N5705" s="12" t="n">
        <v>1</v>
      </c>
      <c r="O5705" s="12" t="n">
        <v>1</v>
      </c>
      <c r="P5705" s="12" t="n">
        <v>480</v>
      </c>
      <c r="Q5705" s="12" t="n">
        <v>7</v>
      </c>
      <c r="R5705" s="12" t="n">
        <v>9.9</v>
      </c>
      <c r="S5705" s="12" t="inlineStr">
        <is>
          <t>Duct bank</t>
        </is>
      </c>
      <c r="T5705" s="15" t="n">
        <v>10</v>
      </c>
      <c r="U5705" s="15" t="n">
        <v>32</v>
      </c>
      <c r="V5705" s="15">
        <f>ROUNDUP((T5705+U5705+2*'Read Me'!$B$13)*(1+'Read Me'!$B$12),-1)</f>
        <v/>
      </c>
      <c r="W5705" s="15">
        <f>V5705*N5705*O5705</f>
        <v/>
      </c>
      <c r="X5705" s="12">
        <f>IF(LEFT(I5705,2)="MV",2*N5705*IF(L5705="1/C",O5705,1),0)</f>
        <v/>
      </c>
      <c r="Y5705" s="12">
        <f>IF(OR(LEFT(K5705,4)="LVAX",LEFT(K5705,6)="MV15AX",LEFT(K5705,4)="CTAX",LEFT(K5705,2)="W|"),2*N5705*O5705,0)</f>
        <v/>
      </c>
      <c r="Z5705" s="12" t="inlineStr">
        <is>
          <t>VD 0.2 %</t>
        </is>
      </c>
      <c r="AA5705" s="12">
        <f>N5705*O5705</f>
        <v/>
      </c>
    </row>
    <row r="5706">
      <c r="A5706" s="12" t="inlineStr">
        <is>
          <t>J-P-0010</t>
        </is>
      </c>
      <c r="B5706" s="12" t="inlineStr">
        <is>
          <t>J</t>
        </is>
      </c>
      <c r="C5706" s="12" t="inlineStr">
        <is>
          <t>GT inlet chilling</t>
        </is>
      </c>
      <c r="D5706" s="12" t="inlineStr">
        <is>
          <t>Motor 5 of 6, 7 kW</t>
        </is>
      </c>
      <c r="E5706" s="12" t="inlineStr"/>
      <c r="F5706" s="12" t="inlineStr">
        <is>
          <t>Inlet-chilling e-house / transformer</t>
        </is>
      </c>
      <c r="G5706" s="12" t="inlineStr"/>
      <c r="H5706" s="12" t="inlineStr">
        <is>
          <t>Chillers x6 (water-cooled)</t>
        </is>
      </c>
      <c r="I5706" s="12" t="inlineStr">
        <is>
          <t>LV 600 V</t>
        </is>
      </c>
      <c r="J5706" s="12" t="inlineStr">
        <is>
          <t>Type TC-ER 600 V 3/C Cu XHHW-2 + ground, PVC jacket</t>
        </is>
      </c>
      <c r="K5706" s="12" t="inlineStr">
        <is>
          <t>LV|3/C+G|10</t>
        </is>
      </c>
      <c r="L5706" s="12" t="inlineStr">
        <is>
          <t>3/C+G</t>
        </is>
      </c>
      <c r="M5706" s="12" t="inlineStr">
        <is>
          <t>10</t>
        </is>
      </c>
      <c r="N5706" s="12" t="n">
        <v>1</v>
      </c>
      <c r="O5706" s="12" t="n">
        <v>1</v>
      </c>
      <c r="P5706" s="12" t="n">
        <v>480</v>
      </c>
      <c r="Q5706" s="12" t="n">
        <v>7</v>
      </c>
      <c r="R5706" s="12" t="n">
        <v>9.9</v>
      </c>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is>
          <t>VD 0.2 %</t>
        </is>
      </c>
      <c r="AA5706" s="12">
        <f>N5706*O5706</f>
        <v/>
      </c>
    </row>
    <row r="5707">
      <c r="A5707" s="12" t="inlineStr">
        <is>
          <t>J-P-0011</t>
        </is>
      </c>
      <c r="B5707" s="12" t="inlineStr">
        <is>
          <t>J</t>
        </is>
      </c>
      <c r="C5707" s="12" t="inlineStr">
        <is>
          <t>GT inlet chilling</t>
        </is>
      </c>
      <c r="D5707" s="12" t="inlineStr">
        <is>
          <t>Motor 6 of 6, 7 kW</t>
        </is>
      </c>
      <c r="E5707" s="12" t="inlineStr"/>
      <c r="F5707" s="12" t="inlineStr">
        <is>
          <t>Inlet-chilling e-house / transformer</t>
        </is>
      </c>
      <c r="G5707" s="12" t="inlineStr"/>
      <c r="H5707" s="12" t="inlineStr">
        <is>
          <t>Chillers x6 (water-cooled)</t>
        </is>
      </c>
      <c r="I5707" s="12" t="inlineStr">
        <is>
          <t>LV 600 V</t>
        </is>
      </c>
      <c r="J5707" s="12" t="inlineStr">
        <is>
          <t>Type TC-ER 600 V 3/C Cu XHHW-2 + ground, PVC jacket</t>
        </is>
      </c>
      <c r="K5707" s="12" t="inlineStr">
        <is>
          <t>LV|3/C+G|10</t>
        </is>
      </c>
      <c r="L5707" s="12" t="inlineStr">
        <is>
          <t>3/C+G</t>
        </is>
      </c>
      <c r="M5707" s="12" t="inlineStr">
        <is>
          <t>10</t>
        </is>
      </c>
      <c r="N5707" s="12" t="n">
        <v>1</v>
      </c>
      <c r="O5707" s="12" t="n">
        <v>1</v>
      </c>
      <c r="P5707" s="12" t="n">
        <v>480</v>
      </c>
      <c r="Q5707" s="12" t="n">
        <v>7</v>
      </c>
      <c r="R5707" s="12" t="n">
        <v>9.9</v>
      </c>
      <c r="S5707" s="12" t="inlineStr">
        <is>
          <t>Duct bank</t>
        </is>
      </c>
      <c r="T5707" s="15" t="n">
        <v>10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is>
          <t>VD 0.2 %</t>
        </is>
      </c>
      <c r="AA5707" s="12">
        <f>N5707*O5707</f>
        <v/>
      </c>
    </row>
    <row r="5708">
      <c r="A5708" s="12" t="inlineStr">
        <is>
          <t>J-P-0012</t>
        </is>
      </c>
      <c r="B5708" s="12" t="inlineStr">
        <is>
          <t>J</t>
        </is>
      </c>
      <c r="C5708" s="12" t="inlineStr">
        <is>
          <t>GT inlet chilling</t>
        </is>
      </c>
      <c r="D5708" s="12" t="inlineStr">
        <is>
          <t>Motor 1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J-P-0013</t>
        </is>
      </c>
      <c r="B5709" s="12" t="inlineStr">
        <is>
          <t>J</t>
        </is>
      </c>
      <c r="C5709" s="12" t="inlineStr">
        <is>
          <t>GT inlet chilling</t>
        </is>
      </c>
      <c r="D5709" s="12" t="inlineStr">
        <is>
          <t>Motor 2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J-P-0014</t>
        </is>
      </c>
      <c r="B5710" s="12" t="inlineStr">
        <is>
          <t>J</t>
        </is>
      </c>
      <c r="C5710" s="12" t="inlineStr">
        <is>
          <t>GT inlet chilling</t>
        </is>
      </c>
      <c r="D5710" s="12" t="inlineStr">
        <is>
          <t>Motor 3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J-P-0015</t>
        </is>
      </c>
      <c r="B5711" s="12" t="inlineStr">
        <is>
          <t>J</t>
        </is>
      </c>
      <c r="C5711" s="12" t="inlineStr">
        <is>
          <t>GT inlet chilling</t>
        </is>
      </c>
      <c r="D5711" s="12" t="inlineStr">
        <is>
          <t>Motor 4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J-P-0016</t>
        </is>
      </c>
      <c r="B5712" s="12" t="inlineStr">
        <is>
          <t>J</t>
        </is>
      </c>
      <c r="C5712" s="12" t="inlineStr">
        <is>
          <t>GT inlet chilling</t>
        </is>
      </c>
      <c r="D5712" s="12" t="inlineStr">
        <is>
          <t>Motor 5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J-P-0017</t>
        </is>
      </c>
      <c r="B5713" s="12" t="inlineStr">
        <is>
          <t>J</t>
        </is>
      </c>
      <c r="C5713" s="12" t="inlineStr">
        <is>
          <t>GT inlet chilling</t>
        </is>
      </c>
      <c r="D5713" s="12" t="inlineStr">
        <is>
          <t>Motor 6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J-P-0018</t>
        </is>
      </c>
      <c r="B5714" s="12" t="inlineStr">
        <is>
          <t>J</t>
        </is>
      </c>
      <c r="C5714" s="12" t="inlineStr">
        <is>
          <t>GT inlet chilling</t>
        </is>
      </c>
      <c r="D5714" s="12" t="inlineStr">
        <is>
          <t>Motor 7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J-P-0019</t>
        </is>
      </c>
      <c r="B5715" s="12" t="inlineStr">
        <is>
          <t>J</t>
        </is>
      </c>
      <c r="C5715" s="12" t="inlineStr">
        <is>
          <t>GT inlet chilling</t>
        </is>
      </c>
      <c r="D5715" s="12" t="inlineStr">
        <is>
          <t>Motor 8 of 12, 75 kW (VFD output)</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VFD cable 600 V 3/C Cu XHHW-2, 3 symmetrical grounds, overall Cu tape shield, TC-ER</t>
        </is>
      </c>
      <c r="K5715" s="12" t="inlineStr">
        <is>
          <t>VFD|3/C+3G|2/0</t>
        </is>
      </c>
      <c r="L5715" s="12" t="inlineStr">
        <is>
          <t>3/C+3G</t>
        </is>
      </c>
      <c r="M5715" s="12" t="inlineStr">
        <is>
          <t>2/0</t>
        </is>
      </c>
      <c r="N5715" s="12" t="n">
        <v>1</v>
      </c>
      <c r="O5715" s="12" t="n">
        <v>1</v>
      </c>
      <c r="P5715" s="12" t="n">
        <v>480</v>
      </c>
      <c r="Q5715" s="12" t="n">
        <v>75</v>
      </c>
      <c r="R5715" s="12" t="n">
        <v>106</v>
      </c>
      <c r="S5715" s="12" t="inlineStr">
        <is>
          <t>Duct bank</t>
        </is>
      </c>
      <c r="T5715" s="15" t="n">
        <v>683</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VD 2.9 %</t>
        </is>
      </c>
      <c r="AA5715" s="12">
        <f>N5715*O5715</f>
        <v/>
      </c>
    </row>
    <row r="5716">
      <c r="A5716" s="12" t="inlineStr">
        <is>
          <t>J-P-0020</t>
        </is>
      </c>
      <c r="B5716" s="12" t="inlineStr">
        <is>
          <t>J</t>
        </is>
      </c>
      <c r="C5716" s="12" t="inlineStr">
        <is>
          <t>GT inlet chilling</t>
        </is>
      </c>
      <c r="D5716" s="12" t="inlineStr">
        <is>
          <t>Motor 9 of 12, 75 kW (VFD output)</t>
        </is>
      </c>
      <c r="E5716" s="12" t="inlineStr"/>
      <c r="F5716" s="12" t="inlineStr">
        <is>
          <t>Inlet-chilling e-house / transformer</t>
        </is>
      </c>
      <c r="G5716" s="12" t="inlineStr"/>
      <c r="H5716" s="12" t="inlineStr">
        <is>
          <t>Inlet-chilling tower (12 cells): chiller heat rejection</t>
        </is>
      </c>
      <c r="I5716" s="12" t="inlineStr">
        <is>
          <t>LV 600 V</t>
        </is>
      </c>
      <c r="J5716" s="12" t="inlineStr">
        <is>
          <t>VFD cable 600 V 3/C Cu XHHW-2, 3 symmetrical grounds, overall Cu tape shield, TC-ER</t>
        </is>
      </c>
      <c r="K5716" s="12" t="inlineStr">
        <is>
          <t>VFD|3/C+3G|2/0</t>
        </is>
      </c>
      <c r="L5716" s="12" t="inlineStr">
        <is>
          <t>3/C+3G</t>
        </is>
      </c>
      <c r="M5716" s="12" t="inlineStr">
        <is>
          <t>2/0</t>
        </is>
      </c>
      <c r="N5716" s="12" t="n">
        <v>1</v>
      </c>
      <c r="O5716" s="12" t="n">
        <v>1</v>
      </c>
      <c r="P5716" s="12" t="n">
        <v>480</v>
      </c>
      <c r="Q5716" s="12" t="n">
        <v>75</v>
      </c>
      <c r="R5716" s="12" t="n">
        <v>106</v>
      </c>
      <c r="S5716" s="12" t="inlineStr">
        <is>
          <t>Duct bank</t>
        </is>
      </c>
      <c r="T5716" s="15" t="n">
        <v>683</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is>
          <t>VD 2.9 %</t>
        </is>
      </c>
      <c r="AA5716" s="12">
        <f>N5716*O5716</f>
        <v/>
      </c>
    </row>
    <row r="5717">
      <c r="A5717" s="12" t="inlineStr">
        <is>
          <t>J-P-0021</t>
        </is>
      </c>
      <c r="B5717" s="12" t="inlineStr">
        <is>
          <t>J</t>
        </is>
      </c>
      <c r="C5717" s="12" t="inlineStr">
        <is>
          <t>GT inlet chilling</t>
        </is>
      </c>
      <c r="D5717" s="12" t="inlineStr">
        <is>
          <t>Motor 10 of 12, 75 kW (VFD output)</t>
        </is>
      </c>
      <c r="E5717" s="12" t="inlineStr"/>
      <c r="F5717" s="12" t="inlineStr">
        <is>
          <t>Inlet-chilling e-house / transformer</t>
        </is>
      </c>
      <c r="G5717" s="12" t="inlineStr"/>
      <c r="H5717" s="12" t="inlineStr">
        <is>
          <t>Inlet-chilling tower (12 cells): chiller heat rejection</t>
        </is>
      </c>
      <c r="I5717" s="12" t="inlineStr">
        <is>
          <t>LV 600 V</t>
        </is>
      </c>
      <c r="J5717" s="12" t="inlineStr">
        <is>
          <t>VFD cable 600 V 3/C Cu XHHW-2, 3 symmetrical grounds, overall Cu tape shield, TC-ER</t>
        </is>
      </c>
      <c r="K5717" s="12" t="inlineStr">
        <is>
          <t>VFD|3/C+3G|2/0</t>
        </is>
      </c>
      <c r="L5717" s="12" t="inlineStr">
        <is>
          <t>3/C+3G</t>
        </is>
      </c>
      <c r="M5717" s="12" t="inlineStr">
        <is>
          <t>2/0</t>
        </is>
      </c>
      <c r="N5717" s="12" t="n">
        <v>1</v>
      </c>
      <c r="O5717" s="12" t="n">
        <v>1</v>
      </c>
      <c r="P5717" s="12" t="n">
        <v>480</v>
      </c>
      <c r="Q5717" s="12" t="n">
        <v>75</v>
      </c>
      <c r="R5717" s="12" t="n">
        <v>106</v>
      </c>
      <c r="S5717" s="12" t="inlineStr">
        <is>
          <t>Duct bank</t>
        </is>
      </c>
      <c r="T5717" s="15" t="n">
        <v>683</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is>
          <t>VD 2.9 %</t>
        </is>
      </c>
      <c r="AA5717" s="12">
        <f>N5717*O5717</f>
        <v/>
      </c>
    </row>
    <row r="5718">
      <c r="A5718" s="12" t="inlineStr">
        <is>
          <t>J-P-0022</t>
        </is>
      </c>
      <c r="B5718" s="12" t="inlineStr">
        <is>
          <t>J</t>
        </is>
      </c>
      <c r="C5718" s="12" t="inlineStr">
        <is>
          <t>GT inlet chilling</t>
        </is>
      </c>
      <c r="D5718" s="12" t="inlineStr">
        <is>
          <t>Motor 11 of 12, 75 kW (VFD output)</t>
        </is>
      </c>
      <c r="E5718" s="12" t="inlineStr"/>
      <c r="F5718" s="12" t="inlineStr">
        <is>
          <t>Inlet-chilling e-house / transformer</t>
        </is>
      </c>
      <c r="G5718" s="12" t="inlineStr"/>
      <c r="H5718" s="12" t="inlineStr">
        <is>
          <t>Inlet-chilling tower (12 cells): chiller heat rejection</t>
        </is>
      </c>
      <c r="I5718" s="12" t="inlineStr">
        <is>
          <t>LV 600 V</t>
        </is>
      </c>
      <c r="J5718" s="12" t="inlineStr">
        <is>
          <t>VFD cable 600 V 3/C Cu XHHW-2, 3 symmetrical grounds, overall Cu tape shield, TC-ER</t>
        </is>
      </c>
      <c r="K5718" s="12" t="inlineStr">
        <is>
          <t>VFD|3/C+3G|2/0</t>
        </is>
      </c>
      <c r="L5718" s="12" t="inlineStr">
        <is>
          <t>3/C+3G</t>
        </is>
      </c>
      <c r="M5718" s="12" t="inlineStr">
        <is>
          <t>2/0</t>
        </is>
      </c>
      <c r="N5718" s="12" t="n">
        <v>1</v>
      </c>
      <c r="O5718" s="12" t="n">
        <v>1</v>
      </c>
      <c r="P5718" s="12" t="n">
        <v>480</v>
      </c>
      <c r="Q5718" s="12" t="n">
        <v>75</v>
      </c>
      <c r="R5718" s="12" t="n">
        <v>106</v>
      </c>
      <c r="S5718" s="12" t="inlineStr">
        <is>
          <t>Duct bank</t>
        </is>
      </c>
      <c r="T5718" s="15" t="n">
        <v>683</v>
      </c>
      <c r="U5718" s="15" t="n">
        <v>38</v>
      </c>
      <c r="V5718" s="15">
        <f>ROUNDUP((T5718+U5718+2*'Read Me'!$B$13)*(1+'Read Me'!$B$12),-1)</f>
        <v/>
      </c>
      <c r="W5718" s="15">
        <f>V5718*N5718*O5718</f>
        <v/>
      </c>
      <c r="X5718" s="12">
        <f>IF(LEFT(I5718,2)="MV",2*N5718*IF(L5718="1/C",O5718,1),0)</f>
        <v/>
      </c>
      <c r="Y5718" s="12">
        <f>IF(OR(LEFT(K5718,4)="LVAX",LEFT(K5718,6)="MV15AX",LEFT(K5718,4)="CTAX",LEFT(K5718,2)="W|"),2*N5718*O5718,0)</f>
        <v/>
      </c>
      <c r="Z5718" s="12" t="inlineStr">
        <is>
          <t>VD 2.9 %</t>
        </is>
      </c>
      <c r="AA5718" s="12">
        <f>N5718*O5718</f>
        <v/>
      </c>
    </row>
    <row r="5719">
      <c r="A5719" s="12" t="inlineStr">
        <is>
          <t>J-P-0023</t>
        </is>
      </c>
      <c r="B5719" s="12" t="inlineStr">
        <is>
          <t>J</t>
        </is>
      </c>
      <c r="C5719" s="12" t="inlineStr">
        <is>
          <t>GT inlet chilling</t>
        </is>
      </c>
      <c r="D5719" s="12" t="inlineStr">
        <is>
          <t>Motor 12 of 12, 75 kW (VFD output)</t>
        </is>
      </c>
      <c r="E5719" s="12" t="inlineStr"/>
      <c r="F5719" s="12" t="inlineStr">
        <is>
          <t>Inlet-chilling e-house / transformer</t>
        </is>
      </c>
      <c r="G5719" s="12" t="inlineStr"/>
      <c r="H5719" s="12" t="inlineStr">
        <is>
          <t>Inlet-chilling tower (12 cells): chiller heat rejection</t>
        </is>
      </c>
      <c r="I5719" s="12" t="inlineStr">
        <is>
          <t>LV 600 V</t>
        </is>
      </c>
      <c r="J5719" s="12" t="inlineStr">
        <is>
          <t>VFD cable 600 V 3/C Cu XHHW-2, 3 symmetrical grounds, overall Cu tape shield, TC-ER</t>
        </is>
      </c>
      <c r="K5719" s="12" t="inlineStr">
        <is>
          <t>VFD|3/C+3G|2/0</t>
        </is>
      </c>
      <c r="L5719" s="12" t="inlineStr">
        <is>
          <t>3/C+3G</t>
        </is>
      </c>
      <c r="M5719" s="12" t="inlineStr">
        <is>
          <t>2/0</t>
        </is>
      </c>
      <c r="N5719" s="12" t="n">
        <v>1</v>
      </c>
      <c r="O5719" s="12" t="n">
        <v>1</v>
      </c>
      <c r="P5719" s="12" t="n">
        <v>480</v>
      </c>
      <c r="Q5719" s="12" t="n">
        <v>75</v>
      </c>
      <c r="R5719" s="12" t="n">
        <v>106</v>
      </c>
      <c r="S5719" s="12" t="inlineStr">
        <is>
          <t>Duct bank</t>
        </is>
      </c>
      <c r="T5719" s="15" t="n">
        <v>683</v>
      </c>
      <c r="U5719" s="15" t="n">
        <v>38</v>
      </c>
      <c r="V5719" s="15">
        <f>ROUNDUP((T5719+U5719+2*'Read Me'!$B$13)*(1+'Read Me'!$B$12),-1)</f>
        <v/>
      </c>
      <c r="W5719" s="15">
        <f>V5719*N5719*O5719</f>
        <v/>
      </c>
      <c r="X5719" s="12">
        <f>IF(LEFT(I5719,2)="MV",2*N5719*IF(L5719="1/C",O5719,1),0)</f>
        <v/>
      </c>
      <c r="Y5719" s="12">
        <f>IF(OR(LEFT(K5719,4)="LVAX",LEFT(K5719,6)="MV15AX",LEFT(K5719,4)="CTAX",LEFT(K5719,2)="W|"),2*N5719*O5719,0)</f>
        <v/>
      </c>
      <c r="Z5719" s="12" t="inlineStr">
        <is>
          <t>VD 2.9 %</t>
        </is>
      </c>
      <c r="AA5719" s="12">
        <f>N5719*O5719</f>
        <v/>
      </c>
    </row>
    <row r="5720">
      <c r="A5720" s="12" t="inlineStr">
        <is>
          <t>J-P-0024</t>
        </is>
      </c>
      <c r="B5720" s="12" t="inlineStr">
        <is>
          <t>J</t>
        </is>
      </c>
      <c r="C5720" s="12" t="inlineStr">
        <is>
          <t>GT inlet chilling</t>
        </is>
      </c>
      <c r="D5720" s="12" t="inlineStr">
        <is>
          <t>Area / platform lighting circuit 1 (12 fixtures)</t>
        </is>
      </c>
      <c r="E5720" s="12" t="inlineStr"/>
      <c r="F5720" s="12" t="inlineStr">
        <is>
          <t>Inlet-chilling e-house / transformer</t>
        </is>
      </c>
      <c r="G5720" s="12" t="inlineStr"/>
      <c r="H5720" s="12" t="inlineStr">
        <is>
          <t>Inlet-chilling tower (12 cells): chiller heat rejection</t>
        </is>
      </c>
      <c r="I5720" s="12" t="inlineStr">
        <is>
          <t>LV 600 V</t>
        </is>
      </c>
      <c r="J5720" s="12" t="inlineStr">
        <is>
          <t>Type TC-ER 600 V 3/C Cu XHHW-2 + ground, PVC jacket</t>
        </is>
      </c>
      <c r="K5720" s="12" t="inlineStr">
        <is>
          <t>LV|3/C+G|10</t>
        </is>
      </c>
      <c r="L5720" s="12" t="inlineStr">
        <is>
          <t>3/C+G</t>
        </is>
      </c>
      <c r="M5720" s="12" t="inlineStr">
        <is>
          <t>10</t>
        </is>
      </c>
      <c r="N5720" s="12" t="n">
        <v>1</v>
      </c>
      <c r="O5720" s="12" t="n">
        <v>1</v>
      </c>
      <c r="P5720" s="12" t="n">
        <v>480</v>
      </c>
      <c r="Q5720" s="12" t="n">
        <v>3</v>
      </c>
      <c r="R5720" s="12" t="n">
        <v>5</v>
      </c>
      <c r="S5720" s="12" t="inlineStr">
        <is>
          <t>Duct bank</t>
        </is>
      </c>
      <c r="T5720" s="15" t="n">
        <v>778</v>
      </c>
      <c r="U5720" s="15" t="n">
        <v>38</v>
      </c>
      <c r="V5720" s="15">
        <f>ROUNDUP((T5720+U5720+2*'Read Me'!$B$13)*(1+'Read Me'!$B$12),-1)</f>
        <v/>
      </c>
      <c r="W5720" s="15">
        <f>V5720*N5720*O5720</f>
        <v/>
      </c>
      <c r="X5720" s="12">
        <f>IF(LEFT(I5720,2)="MV",2*N5720*IF(L5720="1/C",O5720,1),0)</f>
        <v/>
      </c>
      <c r="Y5720" s="12">
        <f>IF(OR(LEFT(K5720,4)="LVAX",LEFT(K5720,6)="MV15AX",LEFT(K5720,4)="CTAX",LEFT(K5720,2)="W|"),2*N5720*O5720,0)</f>
        <v/>
      </c>
      <c r="Z5720" s="12" t="inlineStr">
        <is>
          <t>fixture-to-fixture run included</t>
        </is>
      </c>
      <c r="AA5720" s="12">
        <f>N5720*O5720</f>
        <v/>
      </c>
    </row>
    <row r="5721">
      <c r="A5721" s="12" t="inlineStr">
        <is>
          <t>J-MV-0001</t>
        </is>
      </c>
      <c r="B5721" s="12" t="inlineStr">
        <is>
          <t>J</t>
        </is>
      </c>
      <c r="C5721" s="12" t="inlineStr">
        <is>
          <t>GT inlet chilling</t>
        </is>
      </c>
      <c r="D5721" s="12" t="inlineStr">
        <is>
          <t>Inlet-chilling e-house / transformer</t>
        </is>
      </c>
      <c r="E5721" s="12" t="inlineStr">
        <is>
          <t>SWGR-13.8-1</t>
        </is>
      </c>
      <c r="F5721" s="12" t="inlineStr">
        <is>
          <t>R1 SWGR-13.8-1 (11 x 36 in cubicles, 15 kV metal-clad)</t>
        </is>
      </c>
      <c r="G5721" s="12" t="inlineStr"/>
      <c r="H5721" s="12" t="inlineStr">
        <is>
          <t>Inlet-chilling e-house / transformer</t>
        </is>
      </c>
      <c r="I5721" s="12" t="inlineStr">
        <is>
          <t>MV 15 kV</t>
        </is>
      </c>
      <c r="J5721" s="12" t="inlineStr">
        <is>
          <t>MV-105 15 kV 1/C Cu, EPR 133%, Cu tape shield, PVC jacket (triplexed)</t>
        </is>
      </c>
      <c r="K5721" s="12" t="inlineStr">
        <is>
          <t>MV15|1/C|1000</t>
        </is>
      </c>
      <c r="L5721" s="12" t="inlineStr">
        <is>
          <t>1/C</t>
        </is>
      </c>
      <c r="M5721" s="12" t="inlineStr">
        <is>
          <t>1000 kcmil</t>
        </is>
      </c>
      <c r="N5721" s="12" t="n">
        <v>1</v>
      </c>
      <c r="O5721" s="12" t="n">
        <v>3</v>
      </c>
      <c r="P5721" s="12" t="n">
        <v>13800</v>
      </c>
      <c r="Q5721" s="12" t="n">
        <v>12000</v>
      </c>
      <c r="R5721" s="12" t="n">
        <v>502</v>
      </c>
      <c r="S5721" s="12" t="inlineStr">
        <is>
          <t>Duct bank</t>
        </is>
      </c>
      <c r="T5721" s="15" t="n">
        <v>629</v>
      </c>
      <c r="U5721" s="15" t="n">
        <v>38</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J-MV-0002</t>
        </is>
      </c>
      <c r="B5722" s="12" t="inlineStr">
        <is>
          <t>J</t>
        </is>
      </c>
      <c r="C5722" s="12" t="inlineStr">
        <is>
          <t>GT inlet chilling</t>
        </is>
      </c>
      <c r="D5722" s="12" t="inlineStr">
        <is>
          <t>Inlet-chilling CW pump 1</t>
        </is>
      </c>
      <c r="E5722" s="12" t="inlineStr"/>
      <c r="F5722" s="12" t="inlineStr">
        <is>
          <t>Inlet-chilling e-house / transformer</t>
        </is>
      </c>
      <c r="G5722" s="12" t="inlineStr"/>
      <c r="H5722" s="12" t="inlineStr">
        <is>
          <t>CW pumps (inlet chilling)</t>
        </is>
      </c>
      <c r="I5722" s="12" t="inlineStr">
        <is>
          <t>MV 5 kV</t>
        </is>
      </c>
      <c r="J5722" s="12" t="inlineStr">
        <is>
          <t>MV-105 5 kV 3/C Cu, EPR 133%, tape shield, gnd, PVC jacket</t>
        </is>
      </c>
      <c r="K5722" s="12" t="inlineStr">
        <is>
          <t>MV5|3/C|2</t>
        </is>
      </c>
      <c r="L5722" s="12" t="inlineStr">
        <is>
          <t>3/C</t>
        </is>
      </c>
      <c r="M5722" s="12" t="inlineStr">
        <is>
          <t>2</t>
        </is>
      </c>
      <c r="N5722" s="12" t="n">
        <v>1</v>
      </c>
      <c r="O5722" s="12" t="n">
        <v>1</v>
      </c>
      <c r="P5722" s="12" t="n">
        <v>4160</v>
      </c>
      <c r="Q5722" s="12" t="n">
        <v>450</v>
      </c>
      <c r="R5722" s="12" t="n">
        <v>69</v>
      </c>
      <c r="S5722" s="12" t="inlineStr">
        <is>
          <t>Tray</t>
        </is>
      </c>
      <c r="T5722" s="15" t="n">
        <v>0</v>
      </c>
      <c r="U5722" s="15" t="n">
        <v>70</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J-MV-0003</t>
        </is>
      </c>
      <c r="B5723" s="12" t="inlineStr">
        <is>
          <t>J</t>
        </is>
      </c>
      <c r="C5723" s="12" t="inlineStr">
        <is>
          <t>GT inlet chilling</t>
        </is>
      </c>
      <c r="D5723" s="12" t="inlineStr">
        <is>
          <t>Inlet-chilling CW pump 2</t>
        </is>
      </c>
      <c r="E5723" s="12" t="inlineStr"/>
      <c r="F5723" s="12" t="inlineStr">
        <is>
          <t>Inlet-chilling e-house / transformer</t>
        </is>
      </c>
      <c r="G5723" s="12" t="inlineStr"/>
      <c r="H5723" s="12" t="inlineStr">
        <is>
          <t>CW pumps (inlet chilling)</t>
        </is>
      </c>
      <c r="I5723" s="12" t="inlineStr">
        <is>
          <t>MV 5 kV</t>
        </is>
      </c>
      <c r="J5723" s="12" t="inlineStr">
        <is>
          <t>MV-105 5 kV 3/C Cu, EPR 133%, tape shield, gnd, PVC jacket</t>
        </is>
      </c>
      <c r="K5723" s="12" t="inlineStr">
        <is>
          <t>MV5|3/C|2</t>
        </is>
      </c>
      <c r="L5723" s="12" t="inlineStr">
        <is>
          <t>3/C</t>
        </is>
      </c>
      <c r="M5723" s="12" t="inlineStr">
        <is>
          <t>2</t>
        </is>
      </c>
      <c r="N5723" s="12" t="n">
        <v>1</v>
      </c>
      <c r="O5723" s="12" t="n">
        <v>1</v>
      </c>
      <c r="P5723" s="12" t="n">
        <v>4160</v>
      </c>
      <c r="Q5723" s="12" t="n">
        <v>450</v>
      </c>
      <c r="R5723" s="12" t="n">
        <v>69</v>
      </c>
      <c r="S5723" s="12" t="inlineStr">
        <is>
          <t>Tray</t>
        </is>
      </c>
      <c r="T5723" s="15" t="n">
        <v>0</v>
      </c>
      <c r="U5723" s="15" t="n">
        <v>70</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J-MV-0004</t>
        </is>
      </c>
      <c r="B5724" s="12" t="inlineStr">
        <is>
          <t>J</t>
        </is>
      </c>
      <c r="C5724" s="12" t="inlineStr">
        <is>
          <t>GT inlet chilling</t>
        </is>
      </c>
      <c r="D5724" s="12" t="inlineStr">
        <is>
          <t>Inlet-chilling CW pump 3</t>
        </is>
      </c>
      <c r="E5724" s="12" t="inlineStr"/>
      <c r="F5724" s="12" t="inlineStr">
        <is>
          <t>Inlet-chilling e-house / transformer</t>
        </is>
      </c>
      <c r="G5724" s="12" t="inlineStr"/>
      <c r="H5724" s="12" t="inlineStr">
        <is>
          <t>CW pumps (inlet chilling)</t>
        </is>
      </c>
      <c r="I5724" s="12" t="inlineStr">
        <is>
          <t>MV 5 kV</t>
        </is>
      </c>
      <c r="J5724" s="12" t="inlineStr">
        <is>
          <t>MV-105 5 kV 3/C Cu, EPR 133%, tape shield, gnd, PVC jacket</t>
        </is>
      </c>
      <c r="K5724" s="12" t="inlineStr">
        <is>
          <t>MV5|3/C|2</t>
        </is>
      </c>
      <c r="L5724" s="12" t="inlineStr">
        <is>
          <t>3/C</t>
        </is>
      </c>
      <c r="M5724" s="12" t="inlineStr">
        <is>
          <t>2</t>
        </is>
      </c>
      <c r="N5724" s="12" t="n">
        <v>1</v>
      </c>
      <c r="O5724" s="12" t="n">
        <v>1</v>
      </c>
      <c r="P5724" s="12" t="n">
        <v>4160</v>
      </c>
      <c r="Q5724" s="12" t="n">
        <v>450</v>
      </c>
      <c r="R5724" s="12" t="n">
        <v>69</v>
      </c>
      <c r="S5724" s="12" t="inlineStr">
        <is>
          <t>Tray</t>
        </is>
      </c>
      <c r="T5724" s="15" t="n">
        <v>0</v>
      </c>
      <c r="U5724" s="15" t="n">
        <v>70</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J-MV-0005</t>
        </is>
      </c>
      <c r="B5725" s="12" t="inlineStr">
        <is>
          <t>J</t>
        </is>
      </c>
      <c r="C5725" s="12" t="inlineStr">
        <is>
          <t>GT inlet chilling</t>
        </is>
      </c>
      <c r="D5725" s="12" t="inlineStr">
        <is>
          <t>Inlet-chilling CW pump 4</t>
        </is>
      </c>
      <c r="E5725" s="12" t="inlineStr"/>
      <c r="F5725" s="12" t="inlineStr">
        <is>
          <t>Inlet-chilling e-house / transformer</t>
        </is>
      </c>
      <c r="G5725" s="12" t="inlineStr"/>
      <c r="H5725" s="12" t="inlineStr">
        <is>
          <t>CW pumps (inlet chilling)</t>
        </is>
      </c>
      <c r="I5725" s="12" t="inlineStr">
        <is>
          <t>MV 5 kV</t>
        </is>
      </c>
      <c r="J5725" s="12" t="inlineStr">
        <is>
          <t>MV-105 5 kV 3/C Cu, EPR 133%, tape shield, gnd, PVC jacket</t>
        </is>
      </c>
      <c r="K5725" s="12" t="inlineStr">
        <is>
          <t>MV5|3/C|2</t>
        </is>
      </c>
      <c r="L5725" s="12" t="inlineStr">
        <is>
          <t>3/C</t>
        </is>
      </c>
      <c r="M5725" s="12" t="inlineStr">
        <is>
          <t>2</t>
        </is>
      </c>
      <c r="N5725" s="12" t="n">
        <v>1</v>
      </c>
      <c r="O5725" s="12" t="n">
        <v>1</v>
      </c>
      <c r="P5725" s="12" t="n">
        <v>4160</v>
      </c>
      <c r="Q5725" s="12" t="n">
        <v>450</v>
      </c>
      <c r="R5725" s="12" t="n">
        <v>69</v>
      </c>
      <c r="S5725" s="12" t="inlineStr">
        <is>
          <t>Tray</t>
        </is>
      </c>
      <c r="T5725" s="15" t="n">
        <v>0</v>
      </c>
      <c r="U5725" s="15" t="n">
        <v>70</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J-MV-0006</t>
        </is>
      </c>
      <c r="B5726" s="12" t="inlineStr">
        <is>
          <t>J</t>
        </is>
      </c>
      <c r="C5726" s="12" t="inlineStr">
        <is>
          <t>GT inlet chilling</t>
        </is>
      </c>
      <c r="D5726" s="12" t="inlineStr">
        <is>
          <t>Water-cooled chiller CH-1</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J-MV-0007</t>
        </is>
      </c>
      <c r="B5727" s="12" t="inlineStr">
        <is>
          <t>J</t>
        </is>
      </c>
      <c r="C5727" s="12" t="inlineStr">
        <is>
          <t>GT inlet chilling</t>
        </is>
      </c>
      <c r="D5727" s="12" t="inlineStr">
        <is>
          <t>Water-cooled chiller CH-2</t>
        </is>
      </c>
      <c r="E5727" s="12" t="inlineStr"/>
      <c r="F5727" s="12" t="inlineStr">
        <is>
          <t>Inlet-chilling e-house / transformer</t>
        </is>
      </c>
      <c r="G5727" s="12" t="inlineStr"/>
      <c r="H5727" s="12" t="inlineStr">
        <is>
          <t>Chillers x6 (water-cooled)</t>
        </is>
      </c>
      <c r="I5727" s="12" t="inlineStr">
        <is>
          <t>MV 5 kV</t>
        </is>
      </c>
      <c r="J5727" s="12" t="inlineStr">
        <is>
          <t>MV-105 5 kV 3/C Cu, EPR 133%, tape shield, gnd, PVC jacket</t>
        </is>
      </c>
      <c r="K5727" s="12" t="inlineStr">
        <is>
          <t>MV5|3/C|250</t>
        </is>
      </c>
      <c r="L5727" s="12" t="inlineStr">
        <is>
          <t>3/C</t>
        </is>
      </c>
      <c r="M5727" s="12" t="inlineStr">
        <is>
          <t>250 kcmil</t>
        </is>
      </c>
      <c r="N5727" s="12" t="n">
        <v>1</v>
      </c>
      <c r="O5727" s="12" t="n">
        <v>1</v>
      </c>
      <c r="P5727" s="12" t="n">
        <v>4160</v>
      </c>
      <c r="Q5727" s="12" t="n">
        <v>1500</v>
      </c>
      <c r="R5727" s="12" t="n">
        <v>231</v>
      </c>
      <c r="S5727" s="12" t="inlineStr">
        <is>
          <t>Duct bank</t>
        </is>
      </c>
      <c r="T5727" s="15" t="n">
        <v>10</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J-MV-0008</t>
        </is>
      </c>
      <c r="B5728" s="12" t="inlineStr">
        <is>
          <t>J</t>
        </is>
      </c>
      <c r="C5728" s="12" t="inlineStr">
        <is>
          <t>GT inlet chilling</t>
        </is>
      </c>
      <c r="D5728" s="12" t="inlineStr">
        <is>
          <t>Water-cooled chiller CH-3</t>
        </is>
      </c>
      <c r="E5728" s="12" t="inlineStr"/>
      <c r="F5728" s="12" t="inlineStr">
        <is>
          <t>Inlet-chilling e-house / transformer</t>
        </is>
      </c>
      <c r="G5728" s="12" t="inlineStr"/>
      <c r="H5728" s="12" t="inlineStr">
        <is>
          <t>Chillers x6 (water-cooled)</t>
        </is>
      </c>
      <c r="I5728" s="12" t="inlineStr">
        <is>
          <t>MV 5 kV</t>
        </is>
      </c>
      <c r="J5728" s="12" t="inlineStr">
        <is>
          <t>MV-105 5 kV 3/C Cu, EPR 133%, tape shield, gnd, PVC jacket</t>
        </is>
      </c>
      <c r="K5728" s="12" t="inlineStr">
        <is>
          <t>MV5|3/C|250</t>
        </is>
      </c>
      <c r="L5728" s="12" t="inlineStr">
        <is>
          <t>3/C</t>
        </is>
      </c>
      <c r="M5728" s="12" t="inlineStr">
        <is>
          <t>250 kcmil</t>
        </is>
      </c>
      <c r="N5728" s="12" t="n">
        <v>1</v>
      </c>
      <c r="O5728" s="12" t="n">
        <v>1</v>
      </c>
      <c r="P5728" s="12" t="n">
        <v>4160</v>
      </c>
      <c r="Q5728" s="12" t="n">
        <v>1500</v>
      </c>
      <c r="R5728" s="12" t="n">
        <v>231</v>
      </c>
      <c r="S5728" s="12" t="inlineStr">
        <is>
          <t>Duct bank</t>
        </is>
      </c>
      <c r="T5728" s="15" t="n">
        <v>10</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J-MV-0009</t>
        </is>
      </c>
      <c r="B5729" s="12" t="inlineStr">
        <is>
          <t>J</t>
        </is>
      </c>
      <c r="C5729" s="12" t="inlineStr">
        <is>
          <t>GT inlet chilling</t>
        </is>
      </c>
      <c r="D5729" s="12" t="inlineStr">
        <is>
          <t>Water-cooled chiller CH-4</t>
        </is>
      </c>
      <c r="E5729" s="12" t="inlineStr"/>
      <c r="F5729" s="12" t="inlineStr">
        <is>
          <t>Inlet-chilling e-house / transformer</t>
        </is>
      </c>
      <c r="G5729" s="12" t="inlineStr"/>
      <c r="H5729" s="12" t="inlineStr">
        <is>
          <t>Chillers x6 (water-cooled)</t>
        </is>
      </c>
      <c r="I5729" s="12" t="inlineStr">
        <is>
          <t>MV 5 kV</t>
        </is>
      </c>
      <c r="J5729" s="12" t="inlineStr">
        <is>
          <t>MV-105 5 kV 3/C Cu, EPR 133%, tape shield, gnd, PVC jacket</t>
        </is>
      </c>
      <c r="K5729" s="12" t="inlineStr">
        <is>
          <t>MV5|3/C|250</t>
        </is>
      </c>
      <c r="L5729" s="12" t="inlineStr">
        <is>
          <t>3/C</t>
        </is>
      </c>
      <c r="M5729" s="12" t="inlineStr">
        <is>
          <t>250 kcmil</t>
        </is>
      </c>
      <c r="N5729" s="12" t="n">
        <v>1</v>
      </c>
      <c r="O5729" s="12" t="n">
        <v>1</v>
      </c>
      <c r="P5729" s="12" t="n">
        <v>4160</v>
      </c>
      <c r="Q5729" s="12" t="n">
        <v>1500</v>
      </c>
      <c r="R5729" s="12" t="n">
        <v>231</v>
      </c>
      <c r="S5729" s="12" t="inlineStr">
        <is>
          <t>Duct bank</t>
        </is>
      </c>
      <c r="T5729" s="15" t="n">
        <v>10</v>
      </c>
      <c r="U5729" s="15" t="n">
        <v>32</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J-MV-0010</t>
        </is>
      </c>
      <c r="B5730" s="12" t="inlineStr">
        <is>
          <t>J</t>
        </is>
      </c>
      <c r="C5730" s="12" t="inlineStr">
        <is>
          <t>GT inlet chilling</t>
        </is>
      </c>
      <c r="D5730" s="12" t="inlineStr">
        <is>
          <t>Water-cooled chiller CH-5</t>
        </is>
      </c>
      <c r="E5730" s="12" t="inlineStr"/>
      <c r="F5730" s="12" t="inlineStr">
        <is>
          <t>Inlet-chilling e-house / transformer</t>
        </is>
      </c>
      <c r="G5730" s="12" t="inlineStr"/>
      <c r="H5730" s="12" t="inlineStr">
        <is>
          <t>Chillers x6 (water-cooled)</t>
        </is>
      </c>
      <c r="I5730" s="12" t="inlineStr">
        <is>
          <t>MV 5 kV</t>
        </is>
      </c>
      <c r="J5730" s="12" t="inlineStr">
        <is>
          <t>MV-105 5 kV 3/C Cu, EPR 133%, tape shield, gnd, PVC jacket</t>
        </is>
      </c>
      <c r="K5730" s="12" t="inlineStr">
        <is>
          <t>MV5|3/C|250</t>
        </is>
      </c>
      <c r="L5730" s="12" t="inlineStr">
        <is>
          <t>3/C</t>
        </is>
      </c>
      <c r="M5730" s="12" t="inlineStr">
        <is>
          <t>250 kcmil</t>
        </is>
      </c>
      <c r="N5730" s="12" t="n">
        <v>1</v>
      </c>
      <c r="O5730" s="12" t="n">
        <v>1</v>
      </c>
      <c r="P5730" s="12" t="n">
        <v>4160</v>
      </c>
      <c r="Q5730" s="12" t="n">
        <v>1500</v>
      </c>
      <c r="R5730" s="12" t="n">
        <v>231</v>
      </c>
      <c r="S5730" s="12" t="inlineStr">
        <is>
          <t>Duct bank</t>
        </is>
      </c>
      <c r="T5730" s="15" t="n">
        <v>10</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J-MV-0011</t>
        </is>
      </c>
      <c r="B5731" s="12" t="inlineStr">
        <is>
          <t>J</t>
        </is>
      </c>
      <c r="C5731" s="12" t="inlineStr">
        <is>
          <t>GT inlet chilling</t>
        </is>
      </c>
      <c r="D5731" s="12" t="inlineStr">
        <is>
          <t>Water-cooled chiller CH-6</t>
        </is>
      </c>
      <c r="E5731" s="12" t="inlineStr"/>
      <c r="F5731" s="12" t="inlineStr">
        <is>
          <t>Inlet-chilling e-house / transformer</t>
        </is>
      </c>
      <c r="G5731" s="12" t="inlineStr"/>
      <c r="H5731" s="12" t="inlineStr">
        <is>
          <t>Chillers x6 (water-cooled)</t>
        </is>
      </c>
      <c r="I5731" s="12" t="inlineStr">
        <is>
          <t>MV 5 kV</t>
        </is>
      </c>
      <c r="J5731" s="12" t="inlineStr">
        <is>
          <t>MV-105 5 kV 3/C Cu, EPR 133%, tape shield, gnd, PVC jacket</t>
        </is>
      </c>
      <c r="K5731" s="12" t="inlineStr">
        <is>
          <t>MV5|3/C|250</t>
        </is>
      </c>
      <c r="L5731" s="12" t="inlineStr">
        <is>
          <t>3/C</t>
        </is>
      </c>
      <c r="M5731" s="12" t="inlineStr">
        <is>
          <t>250 kcmil</t>
        </is>
      </c>
      <c r="N5731" s="12" t="n">
        <v>1</v>
      </c>
      <c r="O5731" s="12" t="n">
        <v>1</v>
      </c>
      <c r="P5731" s="12" t="n">
        <v>4160</v>
      </c>
      <c r="Q5731" s="12" t="n">
        <v>1500</v>
      </c>
      <c r="R5731" s="12" t="n">
        <v>231</v>
      </c>
      <c r="S5731" s="12" t="inlineStr">
        <is>
          <t>Duct bank</t>
        </is>
      </c>
      <c r="T5731" s="15" t="n">
        <v>10</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K-L-0001</t>
        </is>
      </c>
      <c r="B5732" s="12" t="inlineStr">
        <is>
          <t>K</t>
        </is>
      </c>
      <c r="C5732" s="12" t="inlineStr">
        <is>
          <t>Fuel supply (adjacent market)</t>
        </is>
      </c>
      <c r="D5732" s="12" t="inlineStr">
        <is>
          <t>Lighting, receptacles and small power branch circuits (allowance)</t>
        </is>
      </c>
      <c r="E5732" s="12" t="inlineStr"/>
      <c r="F5732" s="12" t="inlineStr">
        <is>
          <t>H2 20: 13.8 kV e-house</t>
        </is>
      </c>
      <c r="G5732" s="12" t="inlineStr"/>
      <c r="H5732" s="12" t="inlineStr">
        <is>
          <t>H2 20: 13.8 kV e-house</t>
        </is>
      </c>
      <c r="I5732" s="12" t="inlineStr">
        <is>
          <t>Building wire</t>
        </is>
      </c>
      <c r="J5732" s="12" t="inlineStr">
        <is>
          <t>SIMpull THHN/THWN-2 600 V 1/C Cu (lighting, receptacles, small power)</t>
        </is>
      </c>
      <c r="K5732" s="12" t="inlineStr">
        <is>
          <t>THHN|1/C|12</t>
        </is>
      </c>
      <c r="L5732" s="12" t="inlineStr">
        <is>
          <t>1/C</t>
        </is>
      </c>
      <c r="M5732" s="12" t="inlineStr">
        <is>
          <t>12</t>
        </is>
      </c>
      <c r="N5732" s="12" t="n">
        <v>1</v>
      </c>
      <c r="O5732" s="12" t="n">
        <v>1</v>
      </c>
      <c r="P5732" s="12" t="n">
        <v>277</v>
      </c>
      <c r="Q5732" s="12" t="n"/>
      <c r="R5732" s="12" t="n"/>
      <c r="S5732" s="12" t="inlineStr">
        <is>
          <t>Conduit</t>
        </is>
      </c>
      <c r="T5732" s="15" t="n">
        <v>1536</v>
      </c>
      <c r="U5732" s="15" t="n">
        <v>0</v>
      </c>
      <c r="V5732" s="15">
        <f>ROUNDUP((T5732+U5732+2*'Read Me'!$B$13)*(1+'Read Me'!$B$12),-1)</f>
        <v/>
      </c>
      <c r="W5732" s="15">
        <f>V5732*N5732*O5732</f>
        <v/>
      </c>
      <c r="X5732" s="12">
        <f>IF(LEFT(I5732,2)="MV",2*N5732*IF(L5732="1/C",O5732,1),0)</f>
        <v/>
      </c>
      <c r="Y5732" s="12">
        <f>IF(OR(LEFT(K5732,4)="LVAX",LEFT(K5732,6)="MV15AX",LEFT(K5732,4)="CTAX",LEFT(K5732,2)="W|"),2*N5732*O5732,0)</f>
        <v/>
      </c>
      <c r="Z5732" s="12" t="inlineStr">
        <is>
          <t>allowance: 1.6 ft of conductor per ft2 of floor</t>
        </is>
      </c>
      <c r="AA5732" s="12">
        <f>N5732*O5732</f>
        <v/>
      </c>
    </row>
    <row r="5733">
      <c r="A5733" s="12" t="inlineStr">
        <is>
          <t>K-L-0002</t>
        </is>
      </c>
      <c r="B5733" s="12" t="inlineStr">
        <is>
          <t>K</t>
        </is>
      </c>
      <c r="C5733" s="12" t="inlineStr">
        <is>
          <t>Fuel supply (adjacent market)</t>
        </is>
      </c>
      <c r="D5733" s="12" t="inlineStr">
        <is>
          <t>Lighting, receptacles and small power branch circuits (allowance)</t>
        </is>
      </c>
      <c r="E5733" s="12" t="inlineStr"/>
      <c r="F5733" s="12" t="inlineStr">
        <is>
          <t>LNG 17: LNG e-house (13.8 kV / 480 V)</t>
        </is>
      </c>
      <c r="G5733" s="12" t="inlineStr"/>
      <c r="H5733" s="12" t="inlineStr">
        <is>
          <t>LNG 17: LNG e-house (13.8 kV / 480 V)</t>
        </is>
      </c>
      <c r="I5733" s="12" t="inlineStr">
        <is>
          <t>Building wire</t>
        </is>
      </c>
      <c r="J5733" s="12" t="inlineStr">
        <is>
          <t>SIMpull THHN/THWN-2 600 V 1/C Cu (lighting, receptacles, small power)</t>
        </is>
      </c>
      <c r="K5733" s="12" t="inlineStr">
        <is>
          <t>THHN|1/C|12</t>
        </is>
      </c>
      <c r="L5733" s="12" t="inlineStr">
        <is>
          <t>1/C</t>
        </is>
      </c>
      <c r="M5733" s="12" t="inlineStr">
        <is>
          <t>12</t>
        </is>
      </c>
      <c r="N5733" s="12" t="n">
        <v>1</v>
      </c>
      <c r="O5733" s="12" t="n">
        <v>1</v>
      </c>
      <c r="P5733" s="12" t="n">
        <v>277</v>
      </c>
      <c r="Q5733" s="12" t="n"/>
      <c r="R5733" s="12" t="n"/>
      <c r="S5733" s="12" t="inlineStr">
        <is>
          <t>Conduit</t>
        </is>
      </c>
      <c r="T5733" s="15" t="n">
        <v>896</v>
      </c>
      <c r="U5733" s="15" t="n">
        <v>0</v>
      </c>
      <c r="V5733" s="15">
        <f>ROUNDUP((T5733+U5733+2*'Read Me'!$B$13)*(1+'Read Me'!$B$12),-1)</f>
        <v/>
      </c>
      <c r="W5733" s="15">
        <f>V5733*N5733*O5733</f>
        <v/>
      </c>
      <c r="X5733" s="12">
        <f>IF(LEFT(I5733,2)="MV",2*N5733*IF(L5733="1/C",O5733,1),0)</f>
        <v/>
      </c>
      <c r="Y5733" s="12">
        <f>IF(OR(LEFT(K5733,4)="LVAX",LEFT(K5733,6)="MV15AX",LEFT(K5733,4)="CTAX",LEFT(K5733,2)="W|"),2*N5733*O5733,0)</f>
        <v/>
      </c>
      <c r="Z5733" s="12" t="inlineStr">
        <is>
          <t>allowance: 1.6 ft of conductor per ft2 of floor</t>
        </is>
      </c>
      <c r="AA5733" s="12">
        <f>N5733*O5733</f>
        <v/>
      </c>
    </row>
    <row r="5734">
      <c r="A5734" s="12" t="inlineStr">
        <is>
          <t>K-L-0003</t>
        </is>
      </c>
      <c r="B5734" s="12" t="inlineStr">
        <is>
          <t>K</t>
        </is>
      </c>
      <c r="C5734" s="12" t="inlineStr">
        <is>
          <t>Fuel supply (adjacent market)</t>
        </is>
      </c>
      <c r="D5734" s="12" t="inlineStr">
        <is>
          <t>Lighting, receptacles and small power branch circuits (allowance)</t>
        </is>
      </c>
      <c r="E5734" s="12" t="inlineStr"/>
      <c r="F5734" s="12" t="inlineStr">
        <is>
          <t>M&amp;R 6: regulation / flow control building</t>
        </is>
      </c>
      <c r="G5734" s="12" t="inlineStr"/>
      <c r="H5734" s="12" t="inlineStr">
        <is>
          <t>M&amp;R 6: regulation / flow control building</t>
        </is>
      </c>
      <c r="I5734" s="12" t="inlineStr">
        <is>
          <t>Building wire</t>
        </is>
      </c>
      <c r="J5734" s="12" t="inlineStr">
        <is>
          <t>SIMpull THHN/THWN-2 600 V 1/C Cu (lighting, receptacles, small power)</t>
        </is>
      </c>
      <c r="K5734" s="12" t="inlineStr">
        <is>
          <t>THHN|1/C|12</t>
        </is>
      </c>
      <c r="L5734" s="12" t="inlineStr">
        <is>
          <t>1/C</t>
        </is>
      </c>
      <c r="M5734" s="12" t="inlineStr">
        <is>
          <t>12</t>
        </is>
      </c>
      <c r="N5734" s="12" t="n">
        <v>1</v>
      </c>
      <c r="O5734" s="12" t="n">
        <v>1</v>
      </c>
      <c r="P5734" s="12" t="n">
        <v>277</v>
      </c>
      <c r="Q5734" s="12" t="n"/>
      <c r="R5734" s="12" t="n"/>
      <c r="S5734" s="12" t="inlineStr">
        <is>
          <t>Conduit</t>
        </is>
      </c>
      <c r="T5734" s="15" t="n">
        <v>1440</v>
      </c>
      <c r="U5734" s="15" t="n">
        <v>0</v>
      </c>
      <c r="V5734" s="15">
        <f>ROUNDUP((T5734+U5734+2*'Read Me'!$B$13)*(1+'Read Me'!$B$12),-1)</f>
        <v/>
      </c>
      <c r="W5734" s="15">
        <f>V5734*N5734*O5734</f>
        <v/>
      </c>
      <c r="X5734" s="12">
        <f>IF(LEFT(I5734,2)="MV",2*N5734*IF(L5734="1/C",O5734,1),0)</f>
        <v/>
      </c>
      <c r="Y5734" s="12">
        <f>IF(OR(LEFT(K5734,4)="LVAX",LEFT(K5734,6)="MV15AX",LEFT(K5734,4)="CTAX",LEFT(K5734,2)="W|"),2*N5734*O5734,0)</f>
        <v/>
      </c>
      <c r="Z5734" s="12" t="inlineStr">
        <is>
          <t>allowance: 1.6 ft of conductor per ft2 of floor</t>
        </is>
      </c>
      <c r="AA5734" s="12">
        <f>N5734*O5734</f>
        <v/>
      </c>
    </row>
    <row r="5735">
      <c r="A5735" s="12" t="inlineStr">
        <is>
          <t>K-L-0004</t>
        </is>
      </c>
      <c r="B5735" s="12" t="inlineStr">
        <is>
          <t>K</t>
        </is>
      </c>
      <c r="C5735" s="12" t="inlineStr">
        <is>
          <t>Fuel supply (adjacent market)</t>
        </is>
      </c>
      <c r="D5735" s="12" t="inlineStr">
        <is>
          <t>Lighting, receptacles and small power branch circuits (allowance)</t>
        </is>
      </c>
      <c r="E5735" s="12" t="inlineStr"/>
      <c r="F5735" s="12" t="inlineStr">
        <is>
          <t>M&amp;R 7: gas quality + measurement building</t>
        </is>
      </c>
      <c r="G5735" s="12" t="inlineStr"/>
      <c r="H5735" s="12" t="inlineStr">
        <is>
          <t>M&amp;R 7: gas quality + measurement building</t>
        </is>
      </c>
      <c r="I5735" s="12" t="inlineStr">
        <is>
          <t>Building wire</t>
        </is>
      </c>
      <c r="J5735" s="12" t="inlineStr">
        <is>
          <t>SIMpull THHN/THWN-2 600 V 1/C Cu (lighting, receptacles, small power)</t>
        </is>
      </c>
      <c r="K5735" s="12" t="inlineStr">
        <is>
          <t>THHN|1/C|12</t>
        </is>
      </c>
      <c r="L5735" s="12" t="inlineStr">
        <is>
          <t>1/C</t>
        </is>
      </c>
      <c r="M5735" s="12" t="inlineStr">
        <is>
          <t>12</t>
        </is>
      </c>
      <c r="N5735" s="12" t="n">
        <v>1</v>
      </c>
      <c r="O5735" s="12" t="n">
        <v>1</v>
      </c>
      <c r="P5735" s="12" t="n">
        <v>277</v>
      </c>
      <c r="Q5735" s="12" t="n"/>
      <c r="R5735" s="12" t="n"/>
      <c r="S5735" s="12" t="inlineStr">
        <is>
          <t>Conduit</t>
        </is>
      </c>
      <c r="T5735" s="15" t="n">
        <v>205</v>
      </c>
      <c r="U5735" s="15" t="n">
        <v>0</v>
      </c>
      <c r="V5735" s="15">
        <f>ROUNDUP((T5735+U5735+2*'Read Me'!$B$13)*(1+'Read Me'!$B$12),-1)</f>
        <v/>
      </c>
      <c r="W5735" s="15">
        <f>V5735*N5735*O5735</f>
        <v/>
      </c>
      <c r="X5735" s="12">
        <f>IF(LEFT(I5735,2)="MV",2*N5735*IF(L5735="1/C",O5735,1),0)</f>
        <v/>
      </c>
      <c r="Y5735" s="12">
        <f>IF(OR(LEFT(K5735,4)="LVAX",LEFT(K5735,6)="MV15AX",LEFT(K5735,4)="CTAX",LEFT(K5735,2)="W|"),2*N5735*O5735,0)</f>
        <v/>
      </c>
      <c r="Z5735" s="12" t="inlineStr">
        <is>
          <t>allowance: 1.6 ft of conductor per ft2 of floor</t>
        </is>
      </c>
      <c r="AA5735" s="12">
        <f>N5735*O5735</f>
        <v/>
      </c>
    </row>
    <row r="5736">
      <c r="A5736" s="12" t="inlineStr">
        <is>
          <t>K-C-0001</t>
        </is>
      </c>
      <c r="B5736" s="12" t="inlineStr">
        <is>
          <t>K</t>
        </is>
      </c>
      <c r="C5736" s="12" t="inlineStr">
        <is>
          <t>Fuel supply (adjacent market)</t>
        </is>
      </c>
      <c r="D5736" s="12" t="inlineStr">
        <is>
          <t>Motor 1 of 1: control / local station</t>
        </is>
      </c>
      <c r="E5736" s="12" t="inlineStr"/>
      <c r="F5736" s="12" t="inlineStr">
        <is>
          <t>H2 20: 13.8 kV e-house</t>
        </is>
      </c>
      <c r="G5736" s="12" t="inlineStr">
        <is>
          <t>T-H2</t>
        </is>
      </c>
      <c r="H5736" s="12" t="inlineStr">
        <is>
          <t>H2 19: T-H2 230/13.8 kV (about 40 MVA)</t>
        </is>
      </c>
      <c r="I5736" s="12" t="inlineStr">
        <is>
          <t>Control</t>
        </is>
      </c>
      <c r="J5736" s="12" t="inlineStr">
        <is>
          <t>ARMOR-X MC-HL 600 V control, Cu #14 AWG (Class I Div 2)</t>
        </is>
      </c>
      <c r="K5736" s="12" t="inlineStr">
        <is>
          <t>CTAX|7/C|14</t>
        </is>
      </c>
      <c r="L5736" s="12" t="inlineStr">
        <is>
          <t>7/C</t>
        </is>
      </c>
      <c r="M5736" s="12" t="inlineStr">
        <is>
          <t>14</t>
        </is>
      </c>
      <c r="N5736" s="12" t="n">
        <v>1</v>
      </c>
      <c r="O5736" s="12" t="n">
        <v>1</v>
      </c>
      <c r="P5736" s="12" t="n"/>
      <c r="Q5736" s="12" t="n"/>
      <c r="R5736" s="12" t="n"/>
      <c r="S5736" s="12" t="inlineStr">
        <is>
          <t>Duct bank</t>
        </is>
      </c>
      <c r="T5736" s="15" t="n">
        <v>35</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K-C-0002</t>
        </is>
      </c>
      <c r="B5737" s="12" t="inlineStr">
        <is>
          <t>K</t>
        </is>
      </c>
      <c r="C5737" s="12" t="inlineStr">
        <is>
          <t>Fuel supply (adjacent market)</t>
        </is>
      </c>
      <c r="D5737" s="12" t="inlineStr">
        <is>
          <t>Solenoid to JB JB-T-H2-SOL01: 2 x 2/C (field cables)</t>
        </is>
      </c>
      <c r="E5737" s="12" t="inlineStr">
        <is>
          <t>T-H2</t>
        </is>
      </c>
      <c r="F5737" s="12" t="inlineStr">
        <is>
          <t>H2 19: T-H2 230/13.8 kV (about 40 MVA)</t>
        </is>
      </c>
      <c r="G5737" s="12" t="inlineStr">
        <is>
          <t>JB-T-H2-SOL01</t>
        </is>
      </c>
      <c r="H5737" s="12" t="inlineStr">
        <is>
          <t>H2 19: T-H2 230/13.8 kV (about 40 MVA)</t>
        </is>
      </c>
      <c r="I5737" s="12" t="inlineStr">
        <is>
          <t>Control</t>
        </is>
      </c>
      <c r="J5737" s="12" t="inlineStr">
        <is>
          <t>ARMOR-X MC-HL 600 V control, Cu #14 AWG (Class I Div 2)</t>
        </is>
      </c>
      <c r="K5737" s="12" t="inlineStr">
        <is>
          <t>CTAX|2/C|14</t>
        </is>
      </c>
      <c r="L5737" s="12" t="inlineStr">
        <is>
          <t>2/C</t>
        </is>
      </c>
      <c r="M5737" s="12" t="inlineStr">
        <is>
          <t>14</t>
        </is>
      </c>
      <c r="N5737" s="12" t="n">
        <v>2</v>
      </c>
      <c r="O5737" s="12" t="n">
        <v>1</v>
      </c>
      <c r="P5737" s="12" t="n"/>
      <c r="Q5737" s="12" t="n"/>
      <c r="R5737" s="12" t="n"/>
      <c r="S5737" s="12" t="inlineStr">
        <is>
          <t>Tray / conduit</t>
        </is>
      </c>
      <c r="T5737" s="15" t="n">
        <v>80</v>
      </c>
      <c r="U5737" s="15" t="n">
        <v>10</v>
      </c>
      <c r="V5737" s="15">
        <f>ROUNDUP((T5737+U5737+2*'Read Me'!$B$13)*(1+'Read Me'!$B$12),-1)</f>
        <v/>
      </c>
      <c r="W5737" s="15">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K-C-0003</t>
        </is>
      </c>
      <c r="B5738" s="12" t="inlineStr">
        <is>
          <t>K</t>
        </is>
      </c>
      <c r="C5738" s="12" t="inlineStr">
        <is>
          <t>Fuel supply (adjacent market)</t>
        </is>
      </c>
      <c r="D5738" s="12" t="inlineStr">
        <is>
          <t>Home run JB-T-H2-SOL01 to the control / marshalling room</t>
        </is>
      </c>
      <c r="E5738" s="12" t="inlineStr"/>
      <c r="F5738" s="12" t="inlineStr">
        <is>
          <t>H2 20: 13.8 kV e-house</t>
        </is>
      </c>
      <c r="G5738" s="12" t="inlineStr">
        <is>
          <t>JB-T-H2-SOL01</t>
        </is>
      </c>
      <c r="H5738" s="12" t="inlineStr">
        <is>
          <t>H2 19: T-H2 230/13.8 kV (about 40 MVA)</t>
        </is>
      </c>
      <c r="I5738" s="12" t="inlineStr">
        <is>
          <t>Control</t>
        </is>
      </c>
      <c r="J5738" s="12" t="inlineStr">
        <is>
          <t>ARMOR-X MC-HL 600 V control, Cu #14 AWG (Class I Div 2)</t>
        </is>
      </c>
      <c r="K5738" s="12" t="inlineStr">
        <is>
          <t>CTAX|25/C|14</t>
        </is>
      </c>
      <c r="L5738" s="12" t="inlineStr">
        <is>
          <t>25/C</t>
        </is>
      </c>
      <c r="M5738" s="12" t="inlineStr">
        <is>
          <t>14</t>
        </is>
      </c>
      <c r="N5738" s="12" t="n">
        <v>1</v>
      </c>
      <c r="O5738" s="12" t="n">
        <v>1</v>
      </c>
      <c r="P5738" s="12" t="n"/>
      <c r="Q5738" s="12" t="n"/>
      <c r="R5738" s="12" t="n"/>
      <c r="S5738" s="12" t="inlineStr">
        <is>
          <t>Duct bank</t>
        </is>
      </c>
      <c r="T5738" s="15" t="n">
        <v>35</v>
      </c>
      <c r="U5738" s="15" t="n">
        <v>32</v>
      </c>
      <c r="V5738" s="15">
        <f>ROUNDUP((T5738+U5738+2*'Read Me'!$B$13)*(1+'Read Me'!$B$12),-1)</f>
        <v/>
      </c>
      <c r="W5738" s="15">
        <f>V5738*N5738*O5738</f>
        <v/>
      </c>
      <c r="X5738" s="12">
        <f>IF(LEFT(I5738,2)="MV",2*N5738*IF(L5738="1/C",O5738,1),0)</f>
        <v/>
      </c>
      <c r="Y5738" s="12">
        <f>IF(OR(LEFT(K5738,4)="LVAX",LEFT(K5738,6)="MV15AX",LEFT(K5738,4)="CTAX",LEFT(K5738,2)="W|"),2*N5738*O5738,0)</f>
        <v/>
      </c>
      <c r="Z5738" s="12" t="inlineStr"/>
      <c r="AA5738" s="12">
        <f>N5738*O5738</f>
        <v/>
      </c>
    </row>
    <row r="5739">
      <c r="A5739" s="12" t="inlineStr">
        <is>
          <t>K-C-0004</t>
        </is>
      </c>
      <c r="B5739" s="12" t="inlineStr">
        <is>
          <t>K</t>
        </is>
      </c>
      <c r="C5739" s="12" t="inlineStr">
        <is>
          <t>Fuel supply (adjacent market)</t>
        </is>
      </c>
      <c r="D5739" s="12" t="inlineStr">
        <is>
          <t>Motor 1 of 1: control / local station</t>
        </is>
      </c>
      <c r="E5739" s="12" t="inlineStr"/>
      <c r="F5739" s="12" t="inlineStr">
        <is>
          <t>H2 20: 13.8 kV e-house</t>
        </is>
      </c>
      <c r="G5739" s="12" t="inlineStr"/>
      <c r="H5739" s="12" t="inlineStr">
        <is>
          <t>H2 20: 13.8 kV e-house</t>
        </is>
      </c>
      <c r="I5739" s="12" t="inlineStr">
        <is>
          <t>Control</t>
        </is>
      </c>
      <c r="J5739" s="12" t="inlineStr">
        <is>
          <t>ARMOR-X MC-HL 600 V control, Cu #14 AWG (Class I Div 2)</t>
        </is>
      </c>
      <c r="K5739" s="12" t="inlineStr">
        <is>
          <t>CTAX|7/C|14</t>
        </is>
      </c>
      <c r="L5739" s="12" t="inlineStr">
        <is>
          <t>7/C</t>
        </is>
      </c>
      <c r="M5739" s="12" t="inlineStr">
        <is>
          <t>14</t>
        </is>
      </c>
      <c r="N5739" s="12" t="n">
        <v>1</v>
      </c>
      <c r="O5739" s="12" t="n">
        <v>1</v>
      </c>
      <c r="P5739" s="12" t="n"/>
      <c r="Q5739" s="12" t="n"/>
      <c r="R5739" s="12" t="n"/>
      <c r="S5739" s="12" t="inlineStr">
        <is>
          <t>Tray</t>
        </is>
      </c>
      <c r="T5739" s="15" t="n">
        <v>0</v>
      </c>
      <c r="U5739" s="15" t="n">
        <v>32</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K-C-0005</t>
        </is>
      </c>
      <c r="B5740" s="12" t="inlineStr">
        <is>
          <t>K</t>
        </is>
      </c>
      <c r="C5740" s="12" t="inlineStr">
        <is>
          <t>Fuel supply (adjacent market)</t>
        </is>
      </c>
      <c r="D5740" s="12" t="inlineStr">
        <is>
          <t>Solenoid to JB JB-H2 20: 13.8 kV e-h-SOL01: 2 x 2/C (field cables)</t>
        </is>
      </c>
      <c r="E5740" s="12" t="inlineStr"/>
      <c r="F5740" s="12" t="inlineStr">
        <is>
          <t>H2 20: 13.8 kV e-house</t>
        </is>
      </c>
      <c r="G5740" s="12" t="inlineStr">
        <is>
          <t>JB-H2 20: 13.8 kV e-h-SOL01</t>
        </is>
      </c>
      <c r="H5740" s="12" t="inlineStr">
        <is>
          <t>H2 20: 13.8 kV e-house</t>
        </is>
      </c>
      <c r="I5740" s="12" t="inlineStr">
        <is>
          <t>Control</t>
        </is>
      </c>
      <c r="J5740" s="12" t="inlineStr">
        <is>
          <t>ARMOR-X MC-HL 600 V control, Cu #14 AWG (Class I Div 2)</t>
        </is>
      </c>
      <c r="K5740" s="12" t="inlineStr">
        <is>
          <t>CTAX|2/C|14</t>
        </is>
      </c>
      <c r="L5740" s="12" t="inlineStr">
        <is>
          <t>2/C</t>
        </is>
      </c>
      <c r="M5740" s="12" t="inlineStr">
        <is>
          <t>14</t>
        </is>
      </c>
      <c r="N5740" s="12" t="n">
        <v>2</v>
      </c>
      <c r="O5740" s="12" t="n">
        <v>1</v>
      </c>
      <c r="P5740" s="12" t="n"/>
      <c r="Q5740" s="12" t="n"/>
      <c r="R5740" s="12" t="n"/>
      <c r="S5740" s="12" t="inlineStr">
        <is>
          <t>Tray / conduit</t>
        </is>
      </c>
      <c r="T5740" s="15" t="n">
        <v>69</v>
      </c>
      <c r="U5740" s="15" t="n">
        <v>10</v>
      </c>
      <c r="V5740" s="15">
        <f>ROUNDUP((T5740+U5740+2*'Read Me'!$B$13)*(1+'Read Me'!$B$12),-1)</f>
        <v/>
      </c>
      <c r="W5740" s="15">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K-C-0006</t>
        </is>
      </c>
      <c r="B5741" s="12" t="inlineStr">
        <is>
          <t>K</t>
        </is>
      </c>
      <c r="C5741" s="12" t="inlineStr">
        <is>
          <t>Fuel supply (adjacent market)</t>
        </is>
      </c>
      <c r="D5741" s="12" t="inlineStr">
        <is>
          <t>Home run JB-H2 20: 13.8 kV e-h-SOL01 to the control / marshalling room</t>
        </is>
      </c>
      <c r="E5741" s="12" t="inlineStr"/>
      <c r="F5741" s="12" t="inlineStr">
        <is>
          <t>H2 20: 13.8 kV e-house</t>
        </is>
      </c>
      <c r="G5741" s="12" t="inlineStr">
        <is>
          <t>JB-H2 20: 13.8 kV e-h-SOL01</t>
        </is>
      </c>
      <c r="H5741" s="12" t="inlineStr">
        <is>
          <t>H2 20: 13.8 kV e-house</t>
        </is>
      </c>
      <c r="I5741" s="12" t="inlineStr">
        <is>
          <t>Control</t>
        </is>
      </c>
      <c r="J5741" s="12" t="inlineStr">
        <is>
          <t>ARMOR-X MC-HL 600 V control, Cu #14 AWG (Class I Div 2)</t>
        </is>
      </c>
      <c r="K5741" s="12" t="inlineStr">
        <is>
          <t>CTAX|25/C|14</t>
        </is>
      </c>
      <c r="L5741" s="12" t="inlineStr">
        <is>
          <t>25/C</t>
        </is>
      </c>
      <c r="M5741" s="12" t="inlineStr">
        <is>
          <t>14</t>
        </is>
      </c>
      <c r="N5741" s="12" t="n">
        <v>1</v>
      </c>
      <c r="O5741" s="12" t="n">
        <v>1</v>
      </c>
      <c r="P5741" s="12" t="n"/>
      <c r="Q5741" s="12" t="n"/>
      <c r="R5741" s="12" t="n"/>
      <c r="S5741" s="12" t="inlineStr">
        <is>
          <t>Tray</t>
        </is>
      </c>
      <c r="T5741" s="15" t="n">
        <v>0</v>
      </c>
      <c r="U5741" s="15" t="n">
        <v>32</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K-C-0007</t>
        </is>
      </c>
      <c r="B5742" s="12" t="inlineStr">
        <is>
          <t>K</t>
        </is>
      </c>
      <c r="C5742" s="12" t="inlineStr">
        <is>
          <t>Fuel supply (adjacent market)</t>
        </is>
      </c>
      <c r="D5742" s="12" t="inlineStr">
        <is>
          <t>Motor 1 of 1: control / local station</t>
        </is>
      </c>
      <c r="E5742" s="12" t="inlineStr"/>
      <c r="F5742" s="12" t="inlineStr">
        <is>
          <t>H2 20: 13.8 kV e-house</t>
        </is>
      </c>
      <c r="G5742" s="12" t="inlineStr"/>
      <c r="H5742" s="12" t="inlineStr">
        <is>
          <t>H2 21: rectifier transformer 1 (7 MVA)</t>
        </is>
      </c>
      <c r="I5742" s="12" t="inlineStr">
        <is>
          <t>Control</t>
        </is>
      </c>
      <c r="J5742" s="12" t="inlineStr">
        <is>
          <t>ARMOR-X MC-HL 600 V control, Cu #14 AWG (Class I Div 2)</t>
        </is>
      </c>
      <c r="K5742" s="12" t="inlineStr">
        <is>
          <t>CTAX|7/C|14</t>
        </is>
      </c>
      <c r="L5742" s="12" t="inlineStr">
        <is>
          <t>7/C</t>
        </is>
      </c>
      <c r="M5742" s="12" t="inlineStr">
        <is>
          <t>14</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K-C-0008</t>
        </is>
      </c>
      <c r="B5743" s="12" t="inlineStr">
        <is>
          <t>K</t>
        </is>
      </c>
      <c r="C5743" s="12" t="inlineStr">
        <is>
          <t>Fuel supply (adjacent market)</t>
        </is>
      </c>
      <c r="D5743" s="12" t="inlineStr">
        <is>
          <t>Solenoid to JB JB-H2 21: rectifier t-SOL01: 2 x 2/C (field cables)</t>
        </is>
      </c>
      <c r="E5743" s="12" t="inlineStr"/>
      <c r="F5743" s="12" t="inlineStr">
        <is>
          <t>H2 21: rectifier transformer 1 (7 MVA)</t>
        </is>
      </c>
      <c r="G5743" s="12" t="inlineStr">
        <is>
          <t>JB-H2 21: rectifier t-SOL01</t>
        </is>
      </c>
      <c r="H5743" s="12" t="inlineStr">
        <is>
          <t>H2 21: rectifier transformer 1 (7 MVA)</t>
        </is>
      </c>
      <c r="I5743" s="12" t="inlineStr">
        <is>
          <t>Control</t>
        </is>
      </c>
      <c r="J5743" s="12" t="inlineStr">
        <is>
          <t>ARMOR-X MC-HL 600 V control, Cu #14 AWG (Class I Div 2)</t>
        </is>
      </c>
      <c r="K5743" s="12" t="inlineStr">
        <is>
          <t>CTAX|2/C|14</t>
        </is>
      </c>
      <c r="L5743" s="12" t="inlineStr">
        <is>
          <t>2/C</t>
        </is>
      </c>
      <c r="M5743" s="12" t="inlineStr">
        <is>
          <t>14</t>
        </is>
      </c>
      <c r="N5743" s="12" t="n">
        <v>2</v>
      </c>
      <c r="O5743" s="12" t="n">
        <v>1</v>
      </c>
      <c r="P5743" s="12" t="n"/>
      <c r="Q5743" s="12" t="n"/>
      <c r="R5743" s="12" t="n"/>
      <c r="S5743" s="12" t="inlineStr">
        <is>
          <t>Tray / conduit</t>
        </is>
      </c>
      <c r="T5743" s="15" t="n">
        <v>41</v>
      </c>
      <c r="U5743" s="15" t="n">
        <v>10</v>
      </c>
      <c r="V5743" s="15">
        <f>ROUNDUP((T5743+U5743+2*'Read Me'!$B$13)*(1+'Read Me'!$B$12),-1)</f>
        <v/>
      </c>
      <c r="W5743" s="15">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K-C-0009</t>
        </is>
      </c>
      <c r="B5744" s="12" t="inlineStr">
        <is>
          <t>K</t>
        </is>
      </c>
      <c r="C5744" s="12" t="inlineStr">
        <is>
          <t>Fuel supply (adjacent market)</t>
        </is>
      </c>
      <c r="D5744" s="12" t="inlineStr">
        <is>
          <t>Home run JB-H2 21: rectifier t-SOL01 to the control / marshalling room</t>
        </is>
      </c>
      <c r="E5744" s="12" t="inlineStr"/>
      <c r="F5744" s="12" t="inlineStr">
        <is>
          <t>H2 20: 13.8 kV e-house</t>
        </is>
      </c>
      <c r="G5744" s="12" t="inlineStr">
        <is>
          <t>JB-H2 21: rectifier t-SOL01</t>
        </is>
      </c>
      <c r="H5744" s="12" t="inlineStr">
        <is>
          <t>H2 21: rectifier transformer 1 (7 MVA)</t>
        </is>
      </c>
      <c r="I5744" s="12" t="inlineStr">
        <is>
          <t>Control</t>
        </is>
      </c>
      <c r="J5744" s="12" t="inlineStr">
        <is>
          <t>ARMOR-X MC-HL 600 V control, Cu #14 AWG (Class I Div 2)</t>
        </is>
      </c>
      <c r="K5744" s="12" t="inlineStr">
        <is>
          <t>CTAX|25/C|14</t>
        </is>
      </c>
      <c r="L5744" s="12" t="inlineStr">
        <is>
          <t>25/C</t>
        </is>
      </c>
      <c r="M5744" s="12" t="inlineStr">
        <is>
          <t>14</t>
        </is>
      </c>
      <c r="N5744" s="12" t="n">
        <v>1</v>
      </c>
      <c r="O5744" s="12" t="n">
        <v>1</v>
      </c>
      <c r="P5744" s="12" t="n"/>
      <c r="Q5744" s="12" t="n"/>
      <c r="R5744" s="12" t="n"/>
      <c r="S5744" s="12" t="inlineStr">
        <is>
          <t>Duct bank</t>
        </is>
      </c>
      <c r="T5744" s="15" t="n">
        <v>356</v>
      </c>
      <c r="U5744" s="15" t="n">
        <v>48</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K-C-0010</t>
        </is>
      </c>
      <c r="B5745" s="12" t="inlineStr">
        <is>
          <t>K</t>
        </is>
      </c>
      <c r="C5745" s="12" t="inlineStr">
        <is>
          <t>Fuel supply (adjacent market)</t>
        </is>
      </c>
      <c r="D5745" s="12" t="inlineStr">
        <is>
          <t>Control</t>
        </is>
      </c>
      <c r="E5745" s="12" t="inlineStr"/>
      <c r="F5745" s="12" t="inlineStr">
        <is>
          <t>H2 20: 13.8 kV e-house</t>
        </is>
      </c>
      <c r="G5745" s="12" t="inlineStr"/>
      <c r="H5745" s="12" t="inlineStr">
        <is>
          <t>H2 21: rectifier transformer 1 (7 MVA)</t>
        </is>
      </c>
      <c r="I5745" s="12" t="inlineStr">
        <is>
          <t>Control</t>
        </is>
      </c>
      <c r="J5745" s="12" t="inlineStr">
        <is>
          <t>ARMOR-X MC-HL 600 V control, Cu #14 AWG (Class I Div 2)</t>
        </is>
      </c>
      <c r="K5745" s="12" t="inlineStr">
        <is>
          <t>CTAX|7/C|14</t>
        </is>
      </c>
      <c r="L5745" s="12" t="inlineStr">
        <is>
          <t>7/C</t>
        </is>
      </c>
      <c r="M5745" s="12" t="inlineStr">
        <is>
          <t>14</t>
        </is>
      </c>
      <c r="N5745" s="12" t="n">
        <v>1</v>
      </c>
      <c r="O5745" s="12" t="n">
        <v>1</v>
      </c>
      <c r="P5745" s="12" t="n"/>
      <c r="Q5745" s="12" t="n"/>
      <c r="R5745" s="12" t="n"/>
      <c r="S5745" s="12" t="inlineStr">
        <is>
          <t>Duct bank</t>
        </is>
      </c>
      <c r="T5745" s="15" t="n">
        <v>356</v>
      </c>
      <c r="U5745" s="15" t="n">
        <v>48</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K-C-0011</t>
        </is>
      </c>
      <c r="B5746" s="12" t="inlineStr">
        <is>
          <t>K</t>
        </is>
      </c>
      <c r="C5746" s="12" t="inlineStr">
        <is>
          <t>Fuel supply (adjacent market)</t>
        </is>
      </c>
      <c r="D5746" s="12" t="inlineStr">
        <is>
          <t>Control</t>
        </is>
      </c>
      <c r="E5746" s="12" t="inlineStr"/>
      <c r="F5746" s="12" t="inlineStr">
        <is>
          <t>H2 20: 13.8 kV e-house</t>
        </is>
      </c>
      <c r="G5746" s="12" t="inlineStr"/>
      <c r="H5746" s="12" t="inlineStr">
        <is>
          <t>H2 21: rectifier transformer 1 (7 MVA)</t>
        </is>
      </c>
      <c r="I5746" s="12" t="inlineStr">
        <is>
          <t>Control</t>
        </is>
      </c>
      <c r="J5746" s="12" t="inlineStr">
        <is>
          <t>ARMOR-X MC-HL 600 V control, Cu #14 AWG (Class I Div 2)</t>
        </is>
      </c>
      <c r="K5746" s="12" t="inlineStr">
        <is>
          <t>CTAX|12/C|14</t>
        </is>
      </c>
      <c r="L5746" s="12" t="inlineStr">
        <is>
          <t>12/C</t>
        </is>
      </c>
      <c r="M5746" s="12" t="inlineStr">
        <is>
          <t>14</t>
        </is>
      </c>
      <c r="N5746" s="12" t="n">
        <v>1</v>
      </c>
      <c r="O5746" s="12" t="n">
        <v>1</v>
      </c>
      <c r="P5746" s="12" t="n"/>
      <c r="Q5746" s="12" t="n"/>
      <c r="R5746" s="12" t="n"/>
      <c r="S5746" s="12" t="inlineStr">
        <is>
          <t>Duct bank</t>
        </is>
      </c>
      <c r="T5746" s="15" t="n">
        <v>356</v>
      </c>
      <c r="U5746" s="15" t="n">
        <v>48</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K-C-0012</t>
        </is>
      </c>
      <c r="B5747" s="12" t="inlineStr">
        <is>
          <t>K</t>
        </is>
      </c>
      <c r="C5747" s="12" t="inlineStr">
        <is>
          <t>Fuel supply (adjacent market)</t>
        </is>
      </c>
      <c r="D5747" s="12" t="inlineStr">
        <is>
          <t>CT / VT</t>
        </is>
      </c>
      <c r="E5747" s="12" t="inlineStr"/>
      <c r="F5747" s="12" t="inlineStr">
        <is>
          <t>H2 20: 13.8 kV e-house</t>
        </is>
      </c>
      <c r="G5747" s="12" t="inlineStr"/>
      <c r="H5747" s="12" t="inlineStr">
        <is>
          <t>H2 21: rectifier transformer 1 (7 MVA)</t>
        </is>
      </c>
      <c r="I5747" s="12" t="inlineStr">
        <is>
          <t>Control</t>
        </is>
      </c>
      <c r="J5747" s="12" t="inlineStr">
        <is>
          <t>Control cable 600 V Type TC-ER, Cu #10 AWG (CT / VT circuits)</t>
        </is>
      </c>
      <c r="K5747" s="12" t="inlineStr">
        <is>
          <t>CTCT|4/C|10</t>
        </is>
      </c>
      <c r="L5747" s="12" t="inlineStr">
        <is>
          <t>4/C</t>
        </is>
      </c>
      <c r="M5747" s="12" t="inlineStr">
        <is>
          <t>10</t>
        </is>
      </c>
      <c r="N5747" s="12" t="n">
        <v>1</v>
      </c>
      <c r="O5747" s="12" t="n">
        <v>1</v>
      </c>
      <c r="P5747" s="12" t="n"/>
      <c r="Q5747" s="12" t="n"/>
      <c r="R5747" s="12" t="n"/>
      <c r="S5747" s="12" t="inlineStr">
        <is>
          <t>Duct bank</t>
        </is>
      </c>
      <c r="T5747" s="15" t="n">
        <v>356</v>
      </c>
      <c r="U5747" s="15" t="n">
        <v>48</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K-C-0013</t>
        </is>
      </c>
      <c r="B5748" s="12" t="inlineStr">
        <is>
          <t>K</t>
        </is>
      </c>
      <c r="C5748" s="12" t="inlineStr">
        <is>
          <t>Fuel supply (adjacent market)</t>
        </is>
      </c>
      <c r="D5748" s="12" t="inlineStr">
        <is>
          <t>CT / VT</t>
        </is>
      </c>
      <c r="E5748" s="12" t="inlineStr"/>
      <c r="F5748" s="12" t="inlineStr">
        <is>
          <t>H2 20: 13.8 kV e-house</t>
        </is>
      </c>
      <c r="G5748" s="12" t="inlineStr"/>
      <c r="H5748" s="12" t="inlineStr">
        <is>
          <t>H2 21: rectifier transformer 1 (7 MVA)</t>
        </is>
      </c>
      <c r="I5748" s="12" t="inlineStr">
        <is>
          <t>Control</t>
        </is>
      </c>
      <c r="J5748" s="12" t="inlineStr">
        <is>
          <t>Control cable 600 V Type TC-ER, Cu #10 AWG (CT / VT circuits)</t>
        </is>
      </c>
      <c r="K5748" s="12" t="inlineStr">
        <is>
          <t>CTCT|4/C|10</t>
        </is>
      </c>
      <c r="L5748" s="12" t="inlineStr">
        <is>
          <t>4/C</t>
        </is>
      </c>
      <c r="M5748" s="12" t="inlineStr">
        <is>
          <t>10</t>
        </is>
      </c>
      <c r="N5748" s="12" t="n">
        <v>1</v>
      </c>
      <c r="O5748" s="12" t="n">
        <v>1</v>
      </c>
      <c r="P5748" s="12" t="n"/>
      <c r="Q5748" s="12" t="n"/>
      <c r="R5748" s="12" t="n"/>
      <c r="S5748" s="12" t="inlineStr">
        <is>
          <t>Duct bank</t>
        </is>
      </c>
      <c r="T5748" s="15" t="n">
        <v>356</v>
      </c>
      <c r="U5748" s="15" t="n">
        <v>48</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K-C-0014</t>
        </is>
      </c>
      <c r="B5749" s="12" t="inlineStr">
        <is>
          <t>K</t>
        </is>
      </c>
      <c r="C5749" s="12" t="inlineStr">
        <is>
          <t>Fuel supply (adjacent market)</t>
        </is>
      </c>
      <c r="D5749" s="12" t="inlineStr">
        <is>
          <t>Motor 1 of 1: control / local station</t>
        </is>
      </c>
      <c r="E5749" s="12" t="inlineStr"/>
      <c r="F5749" s="12" t="inlineStr">
        <is>
          <t>H2 20: 13.8 kV e-house</t>
        </is>
      </c>
      <c r="G5749" s="12" t="inlineStr"/>
      <c r="H5749" s="12" t="inlineStr">
        <is>
          <t>H2 21: rectifier transformer 2 (7 MVA)</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K-C-0015</t>
        </is>
      </c>
      <c r="B5750" s="12" t="inlineStr">
        <is>
          <t>K</t>
        </is>
      </c>
      <c r="C5750" s="12" t="inlineStr">
        <is>
          <t>Fuel supply (adjacent market)</t>
        </is>
      </c>
      <c r="D5750" s="12" t="inlineStr">
        <is>
          <t>Solenoid to JB JB-H2 21: rectifier t-SOL01: 2 x 2/C (field cables)</t>
        </is>
      </c>
      <c r="E5750" s="12" t="inlineStr"/>
      <c r="F5750" s="12" t="inlineStr">
        <is>
          <t>H2 21: rectifier transformer 2 (7 MVA)</t>
        </is>
      </c>
      <c r="G5750" s="12" t="inlineStr">
        <is>
          <t>JB-H2 21: rectifier t-SOL01</t>
        </is>
      </c>
      <c r="H5750" s="12" t="inlineStr">
        <is>
          <t>H2 21: rectifier transformer 2 (7 MVA)</t>
        </is>
      </c>
      <c r="I5750" s="12" t="inlineStr">
        <is>
          <t>Control</t>
        </is>
      </c>
      <c r="J5750" s="12" t="inlineStr">
        <is>
          <t>ARMOR-X MC-HL 600 V control, Cu #14 AWG (Class I Div 2)</t>
        </is>
      </c>
      <c r="K5750" s="12" t="inlineStr">
        <is>
          <t>CTAX|2/C|14</t>
        </is>
      </c>
      <c r="L5750" s="12" t="inlineStr">
        <is>
          <t>2/C</t>
        </is>
      </c>
      <c r="M5750" s="12" t="inlineStr">
        <is>
          <t>14</t>
        </is>
      </c>
      <c r="N5750" s="12" t="n">
        <v>2</v>
      </c>
      <c r="O5750" s="12" t="n">
        <v>1</v>
      </c>
      <c r="P5750" s="12" t="n"/>
      <c r="Q5750" s="12" t="n"/>
      <c r="R5750" s="12" t="n"/>
      <c r="S5750" s="12" t="inlineStr">
        <is>
          <t>Tray / conduit</t>
        </is>
      </c>
      <c r="T5750" s="15" t="n">
        <v>41</v>
      </c>
      <c r="U5750" s="15" t="n">
        <v>10</v>
      </c>
      <c r="V5750" s="15">
        <f>ROUNDUP((T5750+U5750+2*'Read Me'!$B$13)*(1+'Read Me'!$B$12),-1)</f>
        <v/>
      </c>
      <c r="W5750" s="15">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K-C-0016</t>
        </is>
      </c>
      <c r="B5751" s="12" t="inlineStr">
        <is>
          <t>K</t>
        </is>
      </c>
      <c r="C5751" s="12" t="inlineStr">
        <is>
          <t>Fuel supply (adjacent market)</t>
        </is>
      </c>
      <c r="D5751" s="12" t="inlineStr">
        <is>
          <t>Home run JB-H2 21: rectifier t-SOL01 to the control / marshalling room</t>
        </is>
      </c>
      <c r="E5751" s="12" t="inlineStr"/>
      <c r="F5751" s="12" t="inlineStr">
        <is>
          <t>H2 20: 13.8 kV e-house</t>
        </is>
      </c>
      <c r="G5751" s="12" t="inlineStr">
        <is>
          <t>JB-H2 21: rectifier t-SOL01</t>
        </is>
      </c>
      <c r="H5751" s="12" t="inlineStr">
        <is>
          <t>H2 21: rectifier transformer 2 (7 MVA)</t>
        </is>
      </c>
      <c r="I5751" s="12" t="inlineStr">
        <is>
          <t>Control</t>
        </is>
      </c>
      <c r="J5751" s="12" t="inlineStr">
        <is>
          <t>ARMOR-X MC-HL 600 V control, Cu #14 AWG (Class I Div 2)</t>
        </is>
      </c>
      <c r="K5751" s="12" t="inlineStr">
        <is>
          <t>CTAX|25/C|14</t>
        </is>
      </c>
      <c r="L5751" s="12" t="inlineStr">
        <is>
          <t>25/C</t>
        </is>
      </c>
      <c r="M5751" s="12" t="inlineStr">
        <is>
          <t>14</t>
        </is>
      </c>
      <c r="N5751" s="12" t="n">
        <v>1</v>
      </c>
      <c r="O5751" s="12" t="n">
        <v>1</v>
      </c>
      <c r="P5751" s="12" t="n"/>
      <c r="Q5751" s="12" t="n"/>
      <c r="R5751" s="12" t="n"/>
      <c r="S5751" s="12" t="inlineStr">
        <is>
          <t>Duct bank</t>
        </is>
      </c>
      <c r="T5751" s="15" t="n">
        <v>356</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K-C-0017</t>
        </is>
      </c>
      <c r="B5752" s="12" t="inlineStr">
        <is>
          <t>K</t>
        </is>
      </c>
      <c r="C5752" s="12" t="inlineStr">
        <is>
          <t>Fuel supply (adjacent market)</t>
        </is>
      </c>
      <c r="D5752" s="12" t="inlineStr">
        <is>
          <t>Control</t>
        </is>
      </c>
      <c r="E5752" s="12" t="inlineStr"/>
      <c r="F5752" s="12" t="inlineStr">
        <is>
          <t>H2 20: 13.8 kV e-house</t>
        </is>
      </c>
      <c r="G5752" s="12" t="inlineStr"/>
      <c r="H5752" s="12" t="inlineStr">
        <is>
          <t>H2 21: rectifier transformer 2 (7 MVA)</t>
        </is>
      </c>
      <c r="I5752" s="12" t="inlineStr">
        <is>
          <t>Control</t>
        </is>
      </c>
      <c r="J5752" s="12" t="inlineStr">
        <is>
          <t>ARMOR-X MC-HL 600 V control, Cu #14 AWG (Class I Div 2)</t>
        </is>
      </c>
      <c r="K5752" s="12" t="inlineStr">
        <is>
          <t>CTAX|7/C|14</t>
        </is>
      </c>
      <c r="L5752" s="12" t="inlineStr">
        <is>
          <t>7/C</t>
        </is>
      </c>
      <c r="M5752" s="12" t="inlineStr">
        <is>
          <t>14</t>
        </is>
      </c>
      <c r="N5752" s="12" t="n">
        <v>1</v>
      </c>
      <c r="O5752" s="12" t="n">
        <v>1</v>
      </c>
      <c r="P5752" s="12" t="n"/>
      <c r="Q5752" s="12" t="n"/>
      <c r="R5752" s="12" t="n"/>
      <c r="S5752" s="12" t="inlineStr">
        <is>
          <t>Duct bank</t>
        </is>
      </c>
      <c r="T5752" s="15" t="n">
        <v>356</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K-C-0018</t>
        </is>
      </c>
      <c r="B5753" s="12" t="inlineStr">
        <is>
          <t>K</t>
        </is>
      </c>
      <c r="C5753" s="12" t="inlineStr">
        <is>
          <t>Fuel supply (adjacent market)</t>
        </is>
      </c>
      <c r="D5753" s="12" t="inlineStr">
        <is>
          <t>Control</t>
        </is>
      </c>
      <c r="E5753" s="12" t="inlineStr"/>
      <c r="F5753" s="12" t="inlineStr">
        <is>
          <t>H2 20: 13.8 kV e-house</t>
        </is>
      </c>
      <c r="G5753" s="12" t="inlineStr"/>
      <c r="H5753" s="12" t="inlineStr">
        <is>
          <t>H2 21: rectifier transformer 2 (7 MVA)</t>
        </is>
      </c>
      <c r="I5753" s="12" t="inlineStr">
        <is>
          <t>Control</t>
        </is>
      </c>
      <c r="J5753" s="12" t="inlineStr">
        <is>
          <t>ARMOR-X MC-HL 600 V control, Cu #14 AWG (Class I Div 2)</t>
        </is>
      </c>
      <c r="K5753" s="12" t="inlineStr">
        <is>
          <t>CTAX|12/C|14</t>
        </is>
      </c>
      <c r="L5753" s="12" t="inlineStr">
        <is>
          <t>12/C</t>
        </is>
      </c>
      <c r="M5753" s="12" t="inlineStr">
        <is>
          <t>14</t>
        </is>
      </c>
      <c r="N5753" s="12" t="n">
        <v>1</v>
      </c>
      <c r="O5753" s="12" t="n">
        <v>1</v>
      </c>
      <c r="P5753" s="12" t="n"/>
      <c r="Q5753" s="12" t="n"/>
      <c r="R5753" s="12" t="n"/>
      <c r="S5753" s="12" t="inlineStr">
        <is>
          <t>Duct bank</t>
        </is>
      </c>
      <c r="T5753" s="15" t="n">
        <v>356</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K-C-0019</t>
        </is>
      </c>
      <c r="B5754" s="12" t="inlineStr">
        <is>
          <t>K</t>
        </is>
      </c>
      <c r="C5754" s="12" t="inlineStr">
        <is>
          <t>Fuel supply (adjacent market)</t>
        </is>
      </c>
      <c r="D5754" s="12" t="inlineStr">
        <is>
          <t>CT / VT</t>
        </is>
      </c>
      <c r="E5754" s="12" t="inlineStr"/>
      <c r="F5754" s="12" t="inlineStr">
        <is>
          <t>H2 20: 13.8 kV e-house</t>
        </is>
      </c>
      <c r="G5754" s="12" t="inlineStr"/>
      <c r="H5754" s="12" t="inlineStr">
        <is>
          <t>H2 21: rectifier transformer 2 (7 MVA)</t>
        </is>
      </c>
      <c r="I5754" s="12" t="inlineStr">
        <is>
          <t>Control</t>
        </is>
      </c>
      <c r="J5754" s="12" t="inlineStr">
        <is>
          <t>Control cable 600 V Type TC-ER, Cu #10 AWG (CT / VT circuits)</t>
        </is>
      </c>
      <c r="K5754" s="12" t="inlineStr">
        <is>
          <t>CTCT|4/C|10</t>
        </is>
      </c>
      <c r="L5754" s="12" t="inlineStr">
        <is>
          <t>4/C</t>
        </is>
      </c>
      <c r="M5754" s="12" t="inlineStr">
        <is>
          <t>10</t>
        </is>
      </c>
      <c r="N5754" s="12" t="n">
        <v>1</v>
      </c>
      <c r="O5754" s="12" t="n">
        <v>1</v>
      </c>
      <c r="P5754" s="12" t="n"/>
      <c r="Q5754" s="12" t="n"/>
      <c r="R5754" s="12" t="n"/>
      <c r="S5754" s="12" t="inlineStr">
        <is>
          <t>Duct bank</t>
        </is>
      </c>
      <c r="T5754" s="15" t="n">
        <v>356</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K-C-0020</t>
        </is>
      </c>
      <c r="B5755" s="12" t="inlineStr">
        <is>
          <t>K</t>
        </is>
      </c>
      <c r="C5755" s="12" t="inlineStr">
        <is>
          <t>Fuel supply (adjacent market)</t>
        </is>
      </c>
      <c r="D5755" s="12" t="inlineStr">
        <is>
          <t>CT / VT</t>
        </is>
      </c>
      <c r="E5755" s="12" t="inlineStr"/>
      <c r="F5755" s="12" t="inlineStr">
        <is>
          <t>H2 20: 13.8 kV e-house</t>
        </is>
      </c>
      <c r="G5755" s="12" t="inlineStr"/>
      <c r="H5755" s="12" t="inlineStr">
        <is>
          <t>H2 21: rectifier transformer 2 (7 MVA)</t>
        </is>
      </c>
      <c r="I5755" s="12" t="inlineStr">
        <is>
          <t>Control</t>
        </is>
      </c>
      <c r="J5755" s="12" t="inlineStr">
        <is>
          <t>Control cable 600 V Type TC-ER, Cu #10 AWG (CT / VT circuits)</t>
        </is>
      </c>
      <c r="K5755" s="12" t="inlineStr">
        <is>
          <t>CTCT|4/C|10</t>
        </is>
      </c>
      <c r="L5755" s="12" t="inlineStr">
        <is>
          <t>4/C</t>
        </is>
      </c>
      <c r="M5755" s="12" t="inlineStr">
        <is>
          <t>10</t>
        </is>
      </c>
      <c r="N5755" s="12" t="n">
        <v>1</v>
      </c>
      <c r="O5755" s="12" t="n">
        <v>1</v>
      </c>
      <c r="P5755" s="12" t="n"/>
      <c r="Q5755" s="12" t="n"/>
      <c r="R5755" s="12" t="n"/>
      <c r="S5755" s="12" t="inlineStr">
        <is>
          <t>Duct bank</t>
        </is>
      </c>
      <c r="T5755" s="15" t="n">
        <v>356</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K-C-0021</t>
        </is>
      </c>
      <c r="B5756" s="12" t="inlineStr">
        <is>
          <t>K</t>
        </is>
      </c>
      <c r="C5756" s="12" t="inlineStr">
        <is>
          <t>Fuel supply (adjacent market)</t>
        </is>
      </c>
      <c r="D5756" s="12" t="inlineStr">
        <is>
          <t>Motor 1 of 1: control / local station</t>
        </is>
      </c>
      <c r="E5756" s="12" t="inlineStr"/>
      <c r="F5756" s="12" t="inlineStr">
        <is>
          <t>H2 20: 13.8 kV e-house</t>
        </is>
      </c>
      <c r="G5756" s="12" t="inlineStr"/>
      <c r="H5756" s="12" t="inlineStr">
        <is>
          <t>H2 21: rectifier transformer 3 (7 MVA)</t>
        </is>
      </c>
      <c r="I5756" s="12" t="inlineStr">
        <is>
          <t>Control</t>
        </is>
      </c>
      <c r="J5756" s="12" t="inlineStr">
        <is>
          <t>ARMOR-X MC-HL 600 V control, Cu #14 AWG (Class I Div 2)</t>
        </is>
      </c>
      <c r="K5756" s="12" t="inlineStr">
        <is>
          <t>CTAX|7/C|14</t>
        </is>
      </c>
      <c r="L5756" s="12" t="inlineStr">
        <is>
          <t>7/C</t>
        </is>
      </c>
      <c r="M5756" s="12" t="inlineStr">
        <is>
          <t>14</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K-C-0022</t>
        </is>
      </c>
      <c r="B5757" s="12" t="inlineStr">
        <is>
          <t>K</t>
        </is>
      </c>
      <c r="C5757" s="12" t="inlineStr">
        <is>
          <t>Fuel supply (adjacent market)</t>
        </is>
      </c>
      <c r="D5757" s="12" t="inlineStr">
        <is>
          <t>Solenoid to JB JB-H2 21: rectifier t-SOL01: 2 x 2/C (field cables)</t>
        </is>
      </c>
      <c r="E5757" s="12" t="inlineStr"/>
      <c r="F5757" s="12" t="inlineStr">
        <is>
          <t>H2 21: rectifier transformer 3 (7 MVA)</t>
        </is>
      </c>
      <c r="G5757" s="12" t="inlineStr">
        <is>
          <t>JB-H2 21: rectifier t-SOL01</t>
        </is>
      </c>
      <c r="H5757" s="12" t="inlineStr">
        <is>
          <t>H2 21: rectifier transformer 3 (7 MVA)</t>
        </is>
      </c>
      <c r="I5757" s="12" t="inlineStr">
        <is>
          <t>Control</t>
        </is>
      </c>
      <c r="J5757" s="12" t="inlineStr">
        <is>
          <t>ARMOR-X MC-HL 600 V control, Cu #14 AWG (Class I Div 2)</t>
        </is>
      </c>
      <c r="K5757" s="12" t="inlineStr">
        <is>
          <t>CTAX|2/C|14</t>
        </is>
      </c>
      <c r="L5757" s="12" t="inlineStr">
        <is>
          <t>2/C</t>
        </is>
      </c>
      <c r="M5757" s="12" t="inlineStr">
        <is>
          <t>14</t>
        </is>
      </c>
      <c r="N5757" s="12" t="n">
        <v>2</v>
      </c>
      <c r="O5757" s="12" t="n">
        <v>1</v>
      </c>
      <c r="P5757" s="12" t="n"/>
      <c r="Q5757" s="12" t="n"/>
      <c r="R5757" s="12" t="n"/>
      <c r="S5757" s="12" t="inlineStr">
        <is>
          <t>Tray / conduit</t>
        </is>
      </c>
      <c r="T5757" s="15" t="n">
        <v>41</v>
      </c>
      <c r="U5757" s="15" t="n">
        <v>10</v>
      </c>
      <c r="V5757" s="15">
        <f>ROUNDUP((T5757+U5757+2*'Read Me'!$B$13)*(1+'Read Me'!$B$12),-1)</f>
        <v/>
      </c>
      <c r="W5757" s="15">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K-C-0023</t>
        </is>
      </c>
      <c r="B5758" s="12" t="inlineStr">
        <is>
          <t>K</t>
        </is>
      </c>
      <c r="C5758" s="12" t="inlineStr">
        <is>
          <t>Fuel supply (adjacent market)</t>
        </is>
      </c>
      <c r="D5758" s="12" t="inlineStr">
        <is>
          <t>Home run JB-H2 21: rectifier t-SOL01 to the control / marshalling room</t>
        </is>
      </c>
      <c r="E5758" s="12" t="inlineStr"/>
      <c r="F5758" s="12" t="inlineStr">
        <is>
          <t>H2 20: 13.8 kV e-house</t>
        </is>
      </c>
      <c r="G5758" s="12" t="inlineStr">
        <is>
          <t>JB-H2 21: rectifier t-SOL01</t>
        </is>
      </c>
      <c r="H5758" s="12" t="inlineStr">
        <is>
          <t>H2 21: rectifier transformer 3 (7 MVA)</t>
        </is>
      </c>
      <c r="I5758" s="12" t="inlineStr">
        <is>
          <t>Control</t>
        </is>
      </c>
      <c r="J5758" s="12" t="inlineStr">
        <is>
          <t>ARMOR-X MC-HL 600 V control, Cu #14 AWG (Class I Div 2)</t>
        </is>
      </c>
      <c r="K5758" s="12" t="inlineStr">
        <is>
          <t>CTAX|25/C|14</t>
        </is>
      </c>
      <c r="L5758" s="12" t="inlineStr">
        <is>
          <t>25/C</t>
        </is>
      </c>
      <c r="M5758" s="12" t="inlineStr">
        <is>
          <t>14</t>
        </is>
      </c>
      <c r="N5758" s="12" t="n">
        <v>1</v>
      </c>
      <c r="O5758" s="12" t="n">
        <v>1</v>
      </c>
      <c r="P5758" s="12" t="n"/>
      <c r="Q5758" s="12" t="n"/>
      <c r="R5758" s="12" t="n"/>
      <c r="S5758" s="12" t="inlineStr">
        <is>
          <t>Duct bank</t>
        </is>
      </c>
      <c r="T5758" s="15" t="n">
        <v>334</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K-C-0024</t>
        </is>
      </c>
      <c r="B5759" s="12" t="inlineStr">
        <is>
          <t>K</t>
        </is>
      </c>
      <c r="C5759" s="12" t="inlineStr">
        <is>
          <t>Fuel supply (adjacent market)</t>
        </is>
      </c>
      <c r="D5759" s="12" t="inlineStr">
        <is>
          <t>Control</t>
        </is>
      </c>
      <c r="E5759" s="12" t="inlineStr"/>
      <c r="F5759" s="12" t="inlineStr">
        <is>
          <t>H2 20: 13.8 kV e-house</t>
        </is>
      </c>
      <c r="G5759" s="12" t="inlineStr"/>
      <c r="H5759" s="12" t="inlineStr">
        <is>
          <t>H2 21: rectifier transformer 3 (7 MVA)</t>
        </is>
      </c>
      <c r="I5759" s="12" t="inlineStr">
        <is>
          <t>Control</t>
        </is>
      </c>
      <c r="J5759" s="12" t="inlineStr">
        <is>
          <t>ARMOR-X MC-HL 600 V control, Cu #14 AWG (Class I Div 2)</t>
        </is>
      </c>
      <c r="K5759" s="12" t="inlineStr">
        <is>
          <t>CTAX|7/C|14</t>
        </is>
      </c>
      <c r="L5759" s="12" t="inlineStr">
        <is>
          <t>7/C</t>
        </is>
      </c>
      <c r="M5759" s="12" t="inlineStr">
        <is>
          <t>14</t>
        </is>
      </c>
      <c r="N5759" s="12" t="n">
        <v>1</v>
      </c>
      <c r="O5759" s="12" t="n">
        <v>1</v>
      </c>
      <c r="P5759" s="12" t="n"/>
      <c r="Q5759" s="12" t="n"/>
      <c r="R5759" s="12" t="n"/>
      <c r="S5759" s="12" t="inlineStr">
        <is>
          <t>Duct bank</t>
        </is>
      </c>
      <c r="T5759" s="15" t="n">
        <v>334</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K-C-0025</t>
        </is>
      </c>
      <c r="B5760" s="12" t="inlineStr">
        <is>
          <t>K</t>
        </is>
      </c>
      <c r="C5760" s="12" t="inlineStr">
        <is>
          <t>Fuel supply (adjacent market)</t>
        </is>
      </c>
      <c r="D5760" s="12" t="inlineStr">
        <is>
          <t>Control</t>
        </is>
      </c>
      <c r="E5760" s="12" t="inlineStr"/>
      <c r="F5760" s="12" t="inlineStr">
        <is>
          <t>H2 20: 13.8 kV e-house</t>
        </is>
      </c>
      <c r="G5760" s="12" t="inlineStr"/>
      <c r="H5760" s="12" t="inlineStr">
        <is>
          <t>H2 21: rectifier transformer 3 (7 MVA)</t>
        </is>
      </c>
      <c r="I5760" s="12" t="inlineStr">
        <is>
          <t>Control</t>
        </is>
      </c>
      <c r="J5760" s="12" t="inlineStr">
        <is>
          <t>ARMOR-X MC-HL 600 V control, Cu #14 AWG (Class I Div 2)</t>
        </is>
      </c>
      <c r="K5760" s="12" t="inlineStr">
        <is>
          <t>CTAX|12/C|14</t>
        </is>
      </c>
      <c r="L5760" s="12" t="inlineStr">
        <is>
          <t>12/C</t>
        </is>
      </c>
      <c r="M5760" s="12" t="inlineStr">
        <is>
          <t>14</t>
        </is>
      </c>
      <c r="N5760" s="12" t="n">
        <v>1</v>
      </c>
      <c r="O5760" s="12" t="n">
        <v>1</v>
      </c>
      <c r="P5760" s="12" t="n"/>
      <c r="Q5760" s="12" t="n"/>
      <c r="R5760" s="12" t="n"/>
      <c r="S5760" s="12" t="inlineStr">
        <is>
          <t>Duct bank</t>
        </is>
      </c>
      <c r="T5760" s="15" t="n">
        <v>334</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K-C-0026</t>
        </is>
      </c>
      <c r="B5761" s="12" t="inlineStr">
        <is>
          <t>K</t>
        </is>
      </c>
      <c r="C5761" s="12" t="inlineStr">
        <is>
          <t>Fuel supply (adjacent market)</t>
        </is>
      </c>
      <c r="D5761" s="12" t="inlineStr">
        <is>
          <t>CT / VT</t>
        </is>
      </c>
      <c r="E5761" s="12" t="inlineStr"/>
      <c r="F5761" s="12" t="inlineStr">
        <is>
          <t>H2 20: 13.8 kV e-house</t>
        </is>
      </c>
      <c r="G5761" s="12" t="inlineStr"/>
      <c r="H5761" s="12" t="inlineStr">
        <is>
          <t>H2 21: rectifier transformer 3 (7 MVA)</t>
        </is>
      </c>
      <c r="I5761" s="12" t="inlineStr">
        <is>
          <t>Control</t>
        </is>
      </c>
      <c r="J5761" s="12" t="inlineStr">
        <is>
          <t>Control cable 600 V Type TC-ER, Cu #10 AWG (CT / VT circuits)</t>
        </is>
      </c>
      <c r="K5761" s="12" t="inlineStr">
        <is>
          <t>CTCT|4/C|10</t>
        </is>
      </c>
      <c r="L5761" s="12" t="inlineStr">
        <is>
          <t>4/C</t>
        </is>
      </c>
      <c r="M5761" s="12" t="inlineStr">
        <is>
          <t>10</t>
        </is>
      </c>
      <c r="N5761" s="12" t="n">
        <v>1</v>
      </c>
      <c r="O5761" s="12" t="n">
        <v>1</v>
      </c>
      <c r="P5761" s="12" t="n"/>
      <c r="Q5761" s="12" t="n"/>
      <c r="R5761" s="12" t="n"/>
      <c r="S5761" s="12" t="inlineStr">
        <is>
          <t>Duct bank</t>
        </is>
      </c>
      <c r="T5761" s="15" t="n">
        <v>334</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K-C-0027</t>
        </is>
      </c>
      <c r="B5762" s="12" t="inlineStr">
        <is>
          <t>K</t>
        </is>
      </c>
      <c r="C5762" s="12" t="inlineStr">
        <is>
          <t>Fuel supply (adjacent market)</t>
        </is>
      </c>
      <c r="D5762" s="12" t="inlineStr">
        <is>
          <t>CT / VT</t>
        </is>
      </c>
      <c r="E5762" s="12" t="inlineStr"/>
      <c r="F5762" s="12" t="inlineStr">
        <is>
          <t>H2 20: 13.8 kV e-house</t>
        </is>
      </c>
      <c r="G5762" s="12" t="inlineStr"/>
      <c r="H5762" s="12" t="inlineStr">
        <is>
          <t>H2 21: rectifier transformer 3 (7 MVA)</t>
        </is>
      </c>
      <c r="I5762" s="12" t="inlineStr">
        <is>
          <t>Control</t>
        </is>
      </c>
      <c r="J5762" s="12" t="inlineStr">
        <is>
          <t>Control cable 600 V Type TC-ER, Cu #10 AWG (CT / VT circuits)</t>
        </is>
      </c>
      <c r="K5762" s="12" t="inlineStr">
        <is>
          <t>CTCT|4/C|10</t>
        </is>
      </c>
      <c r="L5762" s="12" t="inlineStr">
        <is>
          <t>4/C</t>
        </is>
      </c>
      <c r="M5762" s="12" t="inlineStr">
        <is>
          <t>10</t>
        </is>
      </c>
      <c r="N5762" s="12" t="n">
        <v>1</v>
      </c>
      <c r="O5762" s="12" t="n">
        <v>1</v>
      </c>
      <c r="P5762" s="12" t="n"/>
      <c r="Q5762" s="12" t="n"/>
      <c r="R5762" s="12" t="n"/>
      <c r="S5762" s="12" t="inlineStr">
        <is>
          <t>Duct bank</t>
        </is>
      </c>
      <c r="T5762" s="15" t="n">
        <v>334</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K-C-0028</t>
        </is>
      </c>
      <c r="B5763" s="12" t="inlineStr">
        <is>
          <t>K</t>
        </is>
      </c>
      <c r="C5763" s="12" t="inlineStr">
        <is>
          <t>Fuel supply (adjacent market)</t>
        </is>
      </c>
      <c r="D5763" s="12" t="inlineStr">
        <is>
          <t>Motor 1 of 1: control / local station</t>
        </is>
      </c>
      <c r="E5763" s="12" t="inlineStr"/>
      <c r="F5763" s="12" t="inlineStr">
        <is>
          <t>H2 20: 13.8 kV e-house</t>
        </is>
      </c>
      <c r="G5763" s="12" t="inlineStr"/>
      <c r="H5763" s="12" t="inlineStr">
        <is>
          <t>H2 21: rectifier transformer 4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K-C-0029</t>
        </is>
      </c>
      <c r="B5764" s="12" t="inlineStr">
        <is>
          <t>K</t>
        </is>
      </c>
      <c r="C5764" s="12" t="inlineStr">
        <is>
          <t>Fuel supply (adjacent market)</t>
        </is>
      </c>
      <c r="D5764" s="12" t="inlineStr">
        <is>
          <t>Solenoid to JB JB-H2 21: rectifier t-SOL01: 2 x 2/C (field cables)</t>
        </is>
      </c>
      <c r="E5764" s="12" t="inlineStr"/>
      <c r="F5764" s="12" t="inlineStr">
        <is>
          <t>H2 21: rectifier transformer 4 (7 MVA)</t>
        </is>
      </c>
      <c r="G5764" s="12" t="inlineStr">
        <is>
          <t>JB-H2 21: rectifier t-SOL01</t>
        </is>
      </c>
      <c r="H5764" s="12" t="inlineStr">
        <is>
          <t>H2 21: rectifier transformer 4 (7 MVA)</t>
        </is>
      </c>
      <c r="I5764" s="12" t="inlineStr">
        <is>
          <t>Control</t>
        </is>
      </c>
      <c r="J5764" s="12" t="inlineStr">
        <is>
          <t>ARMOR-X MC-HL 600 V control, Cu #14 AWG (Class I Div 2)</t>
        </is>
      </c>
      <c r="K5764" s="12" t="inlineStr">
        <is>
          <t>CTAX|2/C|14</t>
        </is>
      </c>
      <c r="L5764" s="12" t="inlineStr">
        <is>
          <t>2/C</t>
        </is>
      </c>
      <c r="M5764" s="12" t="inlineStr">
        <is>
          <t>14</t>
        </is>
      </c>
      <c r="N5764" s="12" t="n">
        <v>2</v>
      </c>
      <c r="O5764" s="12" t="n">
        <v>1</v>
      </c>
      <c r="P5764" s="12" t="n"/>
      <c r="Q5764" s="12" t="n"/>
      <c r="R5764" s="12" t="n"/>
      <c r="S5764" s="12" t="inlineStr">
        <is>
          <t>Tray / conduit</t>
        </is>
      </c>
      <c r="T5764" s="15" t="n">
        <v>41</v>
      </c>
      <c r="U5764" s="15" t="n">
        <v>10</v>
      </c>
      <c r="V5764" s="15">
        <f>ROUNDUP((T5764+U5764+2*'Read Me'!$B$13)*(1+'Read Me'!$B$12),-1)</f>
        <v/>
      </c>
      <c r="W5764" s="15">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K-C-0030</t>
        </is>
      </c>
      <c r="B5765" s="12" t="inlineStr">
        <is>
          <t>K</t>
        </is>
      </c>
      <c r="C5765" s="12" t="inlineStr">
        <is>
          <t>Fuel supply (adjacent market)</t>
        </is>
      </c>
      <c r="D5765" s="12" t="inlineStr">
        <is>
          <t>Home run JB-H2 21: rectifier t-SOL01 to the control / marshalling room</t>
        </is>
      </c>
      <c r="E5765" s="12" t="inlineStr"/>
      <c r="F5765" s="12" t="inlineStr">
        <is>
          <t>H2 20: 13.8 kV e-house</t>
        </is>
      </c>
      <c r="G5765" s="12" t="inlineStr">
        <is>
          <t>JB-H2 21: rectifier t-SOL01</t>
        </is>
      </c>
      <c r="H5765" s="12" t="inlineStr">
        <is>
          <t>H2 21: rectifier transformer 4 (7 MVA)</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5" t="n">
        <v>312</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K-C-0031</t>
        </is>
      </c>
      <c r="B5766" s="12" t="inlineStr">
        <is>
          <t>K</t>
        </is>
      </c>
      <c r="C5766" s="12" t="inlineStr">
        <is>
          <t>Fuel supply (adjacent market)</t>
        </is>
      </c>
      <c r="D5766" s="12" t="inlineStr">
        <is>
          <t>Control</t>
        </is>
      </c>
      <c r="E5766" s="12" t="inlineStr"/>
      <c r="F5766" s="12" t="inlineStr">
        <is>
          <t>H2 20: 13.8 kV e-house</t>
        </is>
      </c>
      <c r="G5766" s="12" t="inlineStr"/>
      <c r="H5766" s="12" t="inlineStr">
        <is>
          <t>H2 21: rectifier transformer 4 (7 MVA)</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5" t="n">
        <v>312</v>
      </c>
      <c r="U5766" s="15" t="n">
        <v>32</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K-C-0032</t>
        </is>
      </c>
      <c r="B5767" s="12" t="inlineStr">
        <is>
          <t>K</t>
        </is>
      </c>
      <c r="C5767" s="12" t="inlineStr">
        <is>
          <t>Fuel supply (adjacent market)</t>
        </is>
      </c>
      <c r="D5767" s="12" t="inlineStr">
        <is>
          <t>Control</t>
        </is>
      </c>
      <c r="E5767" s="12" t="inlineStr"/>
      <c r="F5767" s="12" t="inlineStr">
        <is>
          <t>H2 20: 13.8 kV e-house</t>
        </is>
      </c>
      <c r="G5767" s="12" t="inlineStr"/>
      <c r="H5767" s="12" t="inlineStr">
        <is>
          <t>H2 21: rectifier transformer 4 (7 MVA)</t>
        </is>
      </c>
      <c r="I5767" s="12" t="inlineStr">
        <is>
          <t>Control</t>
        </is>
      </c>
      <c r="J5767" s="12" t="inlineStr">
        <is>
          <t>ARMOR-X MC-HL 600 V control, Cu #14 AWG (Class I Div 2)</t>
        </is>
      </c>
      <c r="K5767" s="12" t="inlineStr">
        <is>
          <t>CTAX|12/C|14</t>
        </is>
      </c>
      <c r="L5767" s="12" t="inlineStr">
        <is>
          <t>12/C</t>
        </is>
      </c>
      <c r="M5767" s="12" t="inlineStr">
        <is>
          <t>14</t>
        </is>
      </c>
      <c r="N5767" s="12" t="n">
        <v>1</v>
      </c>
      <c r="O5767" s="12" t="n">
        <v>1</v>
      </c>
      <c r="P5767" s="12" t="n"/>
      <c r="Q5767" s="12" t="n"/>
      <c r="R5767" s="12" t="n"/>
      <c r="S5767" s="12" t="inlineStr">
        <is>
          <t>Duct bank</t>
        </is>
      </c>
      <c r="T5767" s="15" t="n">
        <v>312</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K-C-0033</t>
        </is>
      </c>
      <c r="B5768" s="12" t="inlineStr">
        <is>
          <t>K</t>
        </is>
      </c>
      <c r="C5768" s="12" t="inlineStr">
        <is>
          <t>Fuel supply (adjacent market)</t>
        </is>
      </c>
      <c r="D5768" s="12" t="inlineStr">
        <is>
          <t>CT / VT</t>
        </is>
      </c>
      <c r="E5768" s="12" t="inlineStr"/>
      <c r="F5768" s="12" t="inlineStr">
        <is>
          <t>H2 20: 13.8 kV e-house</t>
        </is>
      </c>
      <c r="G5768" s="12" t="inlineStr"/>
      <c r="H5768" s="12" t="inlineStr">
        <is>
          <t>H2 21: rectifier transformer 4 (7 MVA)</t>
        </is>
      </c>
      <c r="I5768" s="12" t="inlineStr">
        <is>
          <t>Control</t>
        </is>
      </c>
      <c r="J5768" s="12" t="inlineStr">
        <is>
          <t>Control cable 600 V Type TC-ER, Cu #10 AWG (CT / VT circuits)</t>
        </is>
      </c>
      <c r="K5768" s="12" t="inlineStr">
        <is>
          <t>CTCT|4/C|10</t>
        </is>
      </c>
      <c r="L5768" s="12" t="inlineStr">
        <is>
          <t>4/C</t>
        </is>
      </c>
      <c r="M5768" s="12" t="inlineStr">
        <is>
          <t>10</t>
        </is>
      </c>
      <c r="N5768" s="12" t="n">
        <v>1</v>
      </c>
      <c r="O5768" s="12" t="n">
        <v>1</v>
      </c>
      <c r="P5768" s="12" t="n"/>
      <c r="Q5768" s="12" t="n"/>
      <c r="R5768" s="12" t="n"/>
      <c r="S5768" s="12" t="inlineStr">
        <is>
          <t>Duct bank</t>
        </is>
      </c>
      <c r="T5768" s="15" t="n">
        <v>312</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K-C-0034</t>
        </is>
      </c>
      <c r="B5769" s="12" t="inlineStr">
        <is>
          <t>K</t>
        </is>
      </c>
      <c r="C5769" s="12" t="inlineStr">
        <is>
          <t>Fuel supply (adjacent market)</t>
        </is>
      </c>
      <c r="D5769" s="12" t="inlineStr">
        <is>
          <t>CT / VT</t>
        </is>
      </c>
      <c r="E5769" s="12" t="inlineStr"/>
      <c r="F5769" s="12" t="inlineStr">
        <is>
          <t>H2 20: 13.8 kV e-house</t>
        </is>
      </c>
      <c r="G5769" s="12" t="inlineStr"/>
      <c r="H5769" s="12" t="inlineStr">
        <is>
          <t>H2 21: rectifier transformer 4 (7 MVA)</t>
        </is>
      </c>
      <c r="I5769" s="12" t="inlineStr">
        <is>
          <t>Control</t>
        </is>
      </c>
      <c r="J5769" s="12" t="inlineStr">
        <is>
          <t>Control cable 600 V Type TC-ER, Cu #10 AWG (CT / VT circuits)</t>
        </is>
      </c>
      <c r="K5769" s="12" t="inlineStr">
        <is>
          <t>CTCT|4/C|10</t>
        </is>
      </c>
      <c r="L5769" s="12" t="inlineStr">
        <is>
          <t>4/C</t>
        </is>
      </c>
      <c r="M5769" s="12" t="inlineStr">
        <is>
          <t>10</t>
        </is>
      </c>
      <c r="N5769" s="12" t="n">
        <v>1</v>
      </c>
      <c r="O5769" s="12" t="n">
        <v>1</v>
      </c>
      <c r="P5769" s="12" t="n"/>
      <c r="Q5769" s="12" t="n"/>
      <c r="R5769" s="12" t="n"/>
      <c r="S5769" s="12" t="inlineStr">
        <is>
          <t>Duct bank</t>
        </is>
      </c>
      <c r="T5769" s="15" t="n">
        <v>312</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K-C-0035</t>
        </is>
      </c>
      <c r="B5770" s="12" t="inlineStr">
        <is>
          <t>K</t>
        </is>
      </c>
      <c r="C5770" s="12" t="inlineStr">
        <is>
          <t>Fuel supply (adjacent market)</t>
        </is>
      </c>
      <c r="D5770" s="12" t="inlineStr">
        <is>
          <t>Motor 1 of 1: control / local station</t>
        </is>
      </c>
      <c r="E5770" s="12" t="inlineStr"/>
      <c r="F5770" s="12" t="inlineStr">
        <is>
          <t>H2 20: 13.8 kV e-house</t>
        </is>
      </c>
      <c r="G5770" s="12" t="inlineStr"/>
      <c r="H5770" s="12" t="inlineStr">
        <is>
          <t>H2 21: rectifier transformer 5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K-C-0036</t>
        </is>
      </c>
      <c r="B5771" s="12" t="inlineStr">
        <is>
          <t>K</t>
        </is>
      </c>
      <c r="C5771" s="12" t="inlineStr">
        <is>
          <t>Fuel supply (adjacent market)</t>
        </is>
      </c>
      <c r="D5771" s="12" t="inlineStr">
        <is>
          <t>Solenoid to JB JB-H2 21: rectifier t-SOL01: 2 x 2/C (field cables)</t>
        </is>
      </c>
      <c r="E5771" s="12" t="inlineStr"/>
      <c r="F5771" s="12" t="inlineStr">
        <is>
          <t>H2 21: rectifier transformer 5 (7 MVA)</t>
        </is>
      </c>
      <c r="G5771" s="12" t="inlineStr">
        <is>
          <t>JB-H2 21: rectifier t-SOL01</t>
        </is>
      </c>
      <c r="H5771" s="12" t="inlineStr">
        <is>
          <t>H2 21: rectifier transformer 5 (7 MVA)</t>
        </is>
      </c>
      <c r="I5771" s="12" t="inlineStr">
        <is>
          <t>Control</t>
        </is>
      </c>
      <c r="J5771" s="12" t="inlineStr">
        <is>
          <t>ARMOR-X MC-HL 600 V control, Cu #14 AWG (Class I Div 2)</t>
        </is>
      </c>
      <c r="K5771" s="12" t="inlineStr">
        <is>
          <t>CTAX|2/C|14</t>
        </is>
      </c>
      <c r="L5771" s="12" t="inlineStr">
        <is>
          <t>2/C</t>
        </is>
      </c>
      <c r="M5771" s="12" t="inlineStr">
        <is>
          <t>14</t>
        </is>
      </c>
      <c r="N5771" s="12" t="n">
        <v>2</v>
      </c>
      <c r="O5771" s="12" t="n">
        <v>1</v>
      </c>
      <c r="P5771" s="12" t="n"/>
      <c r="Q5771" s="12" t="n"/>
      <c r="R5771" s="12" t="n"/>
      <c r="S5771" s="12" t="inlineStr">
        <is>
          <t>Tray / conduit</t>
        </is>
      </c>
      <c r="T5771" s="15" t="n">
        <v>41</v>
      </c>
      <c r="U5771" s="15" t="n">
        <v>10</v>
      </c>
      <c r="V5771" s="15">
        <f>ROUNDUP((T5771+U5771+2*'Read Me'!$B$13)*(1+'Read Me'!$B$12),-1)</f>
        <v/>
      </c>
      <c r="W5771" s="15">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K-C-0037</t>
        </is>
      </c>
      <c r="B5772" s="12" t="inlineStr">
        <is>
          <t>K</t>
        </is>
      </c>
      <c r="C5772" s="12" t="inlineStr">
        <is>
          <t>Fuel supply (adjacent market)</t>
        </is>
      </c>
      <c r="D5772" s="12" t="inlineStr">
        <is>
          <t>Home run JB-H2 21: rectifier t-SOL01 to the control / marshalling room</t>
        </is>
      </c>
      <c r="E5772" s="12" t="inlineStr"/>
      <c r="F5772" s="12" t="inlineStr">
        <is>
          <t>H2 20: 13.8 kV e-house</t>
        </is>
      </c>
      <c r="G5772" s="12" t="inlineStr">
        <is>
          <t>JB-H2 21: rectifier t-SOL01</t>
        </is>
      </c>
      <c r="H5772" s="12" t="inlineStr">
        <is>
          <t>H2 21: rectifier transformer 5 (7 MVA)</t>
        </is>
      </c>
      <c r="I5772" s="12" t="inlineStr">
        <is>
          <t>Control</t>
        </is>
      </c>
      <c r="J5772" s="12" t="inlineStr">
        <is>
          <t>ARMOR-X MC-HL 600 V control, Cu #14 AWG (Class I Div 2)</t>
        </is>
      </c>
      <c r="K5772" s="12" t="inlineStr">
        <is>
          <t>CTAX|25/C|14</t>
        </is>
      </c>
      <c r="L5772" s="12" t="inlineStr">
        <is>
          <t>25/C</t>
        </is>
      </c>
      <c r="M5772" s="12" t="inlineStr">
        <is>
          <t>14</t>
        </is>
      </c>
      <c r="N5772" s="12" t="n">
        <v>1</v>
      </c>
      <c r="O5772" s="12" t="n">
        <v>1</v>
      </c>
      <c r="P5772" s="12" t="n"/>
      <c r="Q5772" s="12" t="n"/>
      <c r="R5772" s="12" t="n"/>
      <c r="S5772" s="12" t="inlineStr">
        <is>
          <t>Duct bank</t>
        </is>
      </c>
      <c r="T5772" s="15" t="n">
        <v>254</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K-C-0038</t>
        </is>
      </c>
      <c r="B5773" s="12" t="inlineStr">
        <is>
          <t>K</t>
        </is>
      </c>
      <c r="C5773" s="12" t="inlineStr">
        <is>
          <t>Fuel supply (adjacent market)</t>
        </is>
      </c>
      <c r="D5773" s="12" t="inlineStr">
        <is>
          <t>Control</t>
        </is>
      </c>
      <c r="E5773" s="12" t="inlineStr"/>
      <c r="F5773" s="12" t="inlineStr">
        <is>
          <t>H2 20: 13.8 kV e-house</t>
        </is>
      </c>
      <c r="G5773" s="12" t="inlineStr"/>
      <c r="H5773" s="12" t="inlineStr">
        <is>
          <t>H2 21: rectifier transformer 5 (7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254</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K-C-0039</t>
        </is>
      </c>
      <c r="B5774" s="12" t="inlineStr">
        <is>
          <t>K</t>
        </is>
      </c>
      <c r="C5774" s="12" t="inlineStr">
        <is>
          <t>Fuel supply (adjacent market)</t>
        </is>
      </c>
      <c r="D5774" s="12" t="inlineStr">
        <is>
          <t>Control</t>
        </is>
      </c>
      <c r="E5774" s="12" t="inlineStr"/>
      <c r="F5774" s="12" t="inlineStr">
        <is>
          <t>H2 20: 13.8 kV e-house</t>
        </is>
      </c>
      <c r="G5774" s="12" t="inlineStr"/>
      <c r="H5774" s="12" t="inlineStr">
        <is>
          <t>H2 21: rectifier transformer 5 (7 MVA)</t>
        </is>
      </c>
      <c r="I5774" s="12" t="inlineStr">
        <is>
          <t>Control</t>
        </is>
      </c>
      <c r="J5774" s="12" t="inlineStr">
        <is>
          <t>ARMOR-X MC-HL 600 V control, Cu #14 AWG (Class I Div 2)</t>
        </is>
      </c>
      <c r="K5774" s="12" t="inlineStr">
        <is>
          <t>CTAX|12/C|14</t>
        </is>
      </c>
      <c r="L5774" s="12" t="inlineStr">
        <is>
          <t>12/C</t>
        </is>
      </c>
      <c r="M5774" s="12" t="inlineStr">
        <is>
          <t>14</t>
        </is>
      </c>
      <c r="N5774" s="12" t="n">
        <v>1</v>
      </c>
      <c r="O5774" s="12" t="n">
        <v>1</v>
      </c>
      <c r="P5774" s="12" t="n"/>
      <c r="Q5774" s="12" t="n"/>
      <c r="R5774" s="12" t="n"/>
      <c r="S5774" s="12" t="inlineStr">
        <is>
          <t>Duct bank</t>
        </is>
      </c>
      <c r="T5774" s="15" t="n">
        <v>254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K-C-0040</t>
        </is>
      </c>
      <c r="B5775" s="12" t="inlineStr">
        <is>
          <t>K</t>
        </is>
      </c>
      <c r="C5775" s="12" t="inlineStr">
        <is>
          <t>Fuel supply (adjacent market)</t>
        </is>
      </c>
      <c r="D5775" s="12" t="inlineStr">
        <is>
          <t>CT / VT</t>
        </is>
      </c>
      <c r="E5775" s="12" t="inlineStr"/>
      <c r="F5775" s="12" t="inlineStr">
        <is>
          <t>H2 20: 13.8 kV e-house</t>
        </is>
      </c>
      <c r="G5775" s="12" t="inlineStr"/>
      <c r="H5775" s="12" t="inlineStr">
        <is>
          <t>H2 21: rectifier transformer 5 (7 MVA)</t>
        </is>
      </c>
      <c r="I5775" s="12" t="inlineStr">
        <is>
          <t>Control</t>
        </is>
      </c>
      <c r="J5775" s="12" t="inlineStr">
        <is>
          <t>Control cable 600 V Type TC-ER, Cu #10 AWG (CT / VT circuits)</t>
        </is>
      </c>
      <c r="K5775" s="12" t="inlineStr">
        <is>
          <t>CTCT|4/C|10</t>
        </is>
      </c>
      <c r="L5775" s="12" t="inlineStr">
        <is>
          <t>4/C</t>
        </is>
      </c>
      <c r="M5775" s="12" t="inlineStr">
        <is>
          <t>10</t>
        </is>
      </c>
      <c r="N5775" s="12" t="n">
        <v>1</v>
      </c>
      <c r="O5775" s="12" t="n">
        <v>1</v>
      </c>
      <c r="P5775" s="12" t="n"/>
      <c r="Q5775" s="12" t="n"/>
      <c r="R5775" s="12" t="n"/>
      <c r="S5775" s="12" t="inlineStr">
        <is>
          <t>Duct bank</t>
        </is>
      </c>
      <c r="T5775" s="15" t="n">
        <v>254</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K-C-0041</t>
        </is>
      </c>
      <c r="B5776" s="12" t="inlineStr">
        <is>
          <t>K</t>
        </is>
      </c>
      <c r="C5776" s="12" t="inlineStr">
        <is>
          <t>Fuel supply (adjacent market)</t>
        </is>
      </c>
      <c r="D5776" s="12" t="inlineStr">
        <is>
          <t>CT / VT</t>
        </is>
      </c>
      <c r="E5776" s="12" t="inlineStr"/>
      <c r="F5776" s="12" t="inlineStr">
        <is>
          <t>H2 20: 13.8 kV e-house</t>
        </is>
      </c>
      <c r="G5776" s="12" t="inlineStr"/>
      <c r="H5776" s="12" t="inlineStr">
        <is>
          <t>H2 21: rectifier transformer 5 (7 MVA)</t>
        </is>
      </c>
      <c r="I5776" s="12" t="inlineStr">
        <is>
          <t>Control</t>
        </is>
      </c>
      <c r="J5776" s="12" t="inlineStr">
        <is>
          <t>Control cable 600 V Type TC-ER, Cu #10 AWG (CT / VT circuits)</t>
        </is>
      </c>
      <c r="K5776" s="12" t="inlineStr">
        <is>
          <t>CTCT|4/C|10</t>
        </is>
      </c>
      <c r="L5776" s="12" t="inlineStr">
        <is>
          <t>4/C</t>
        </is>
      </c>
      <c r="M5776" s="12" t="inlineStr">
        <is>
          <t>10</t>
        </is>
      </c>
      <c r="N5776" s="12" t="n">
        <v>1</v>
      </c>
      <c r="O5776" s="12" t="n">
        <v>1</v>
      </c>
      <c r="P5776" s="12" t="n"/>
      <c r="Q5776" s="12" t="n"/>
      <c r="R5776" s="12" t="n"/>
      <c r="S5776" s="12" t="inlineStr">
        <is>
          <t>Duct bank</t>
        </is>
      </c>
      <c r="T5776" s="15" t="n">
        <v>254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K-C-0042</t>
        </is>
      </c>
      <c r="B5777" s="12" t="inlineStr">
        <is>
          <t>K</t>
        </is>
      </c>
      <c r="C5777" s="12" t="inlineStr">
        <is>
          <t>Fuel supply (adjacent market)</t>
        </is>
      </c>
      <c r="D5777" s="12" t="inlineStr">
        <is>
          <t>Motor 1 of 1: control / local station</t>
        </is>
      </c>
      <c r="E5777" s="12" t="inlineStr"/>
      <c r="F5777" s="12" t="inlineStr">
        <is>
          <t>H2 20: 13.8 kV e-house</t>
        </is>
      </c>
      <c r="G5777" s="12" t="inlineStr">
        <is>
          <t>H2-EL</t>
        </is>
      </c>
      <c r="H5777" s="12" t="inlineStr">
        <is>
          <t>H2 22: electrolyzer building (5 x HyLYZER-1000 + 5 rectifiers)</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346</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K-C-0043</t>
        </is>
      </c>
      <c r="B5778" s="12" t="inlineStr">
        <is>
          <t>K</t>
        </is>
      </c>
      <c r="C5778" s="12" t="inlineStr">
        <is>
          <t>Fuel supply (adjacent market)</t>
        </is>
      </c>
      <c r="D5778" s="12" t="inlineStr">
        <is>
          <t>Solenoid to JB JB-H2-EL-SOL01: 2 x 2/C (field cables)</t>
        </is>
      </c>
      <c r="E5778" s="12" t="inlineStr">
        <is>
          <t>H2-EL</t>
        </is>
      </c>
      <c r="F5778" s="12" t="inlineStr">
        <is>
          <t>H2 22: electrolyzer building (5 x HyLYZER-1000 + 5 rectifiers)</t>
        </is>
      </c>
      <c r="G5778" s="12" t="inlineStr">
        <is>
          <t>JB-H2-EL-SOL01</t>
        </is>
      </c>
      <c r="H5778" s="12" t="inlineStr">
        <is>
          <t>H2 22: electrolyzer building (5 x HyLYZER-1000 + 5 rectifiers)</t>
        </is>
      </c>
      <c r="I5778" s="12" t="inlineStr">
        <is>
          <t>Control</t>
        </is>
      </c>
      <c r="J5778" s="12" t="inlineStr">
        <is>
          <t>ARMOR-X MC-HL 600 V control, Cu #14 AWG (Class I Div 2)</t>
        </is>
      </c>
      <c r="K5778" s="12" t="inlineStr">
        <is>
          <t>CTAX|2/C|14</t>
        </is>
      </c>
      <c r="L5778" s="12" t="inlineStr">
        <is>
          <t>2/C</t>
        </is>
      </c>
      <c r="M5778" s="12" t="inlineStr">
        <is>
          <t>14</t>
        </is>
      </c>
      <c r="N5778" s="12" t="n">
        <v>2</v>
      </c>
      <c r="O5778" s="12" t="n">
        <v>1</v>
      </c>
      <c r="P5778" s="12" t="n"/>
      <c r="Q5778" s="12" t="n"/>
      <c r="R5778" s="12" t="n"/>
      <c r="S5778" s="12" t="inlineStr">
        <is>
          <t>Tray / conduit</t>
        </is>
      </c>
      <c r="T5778" s="15" t="n">
        <v>157</v>
      </c>
      <c r="U5778" s="15" t="n">
        <v>10</v>
      </c>
      <c r="V5778" s="15">
        <f>ROUNDUP((T5778+U5778+2*'Read Me'!$B$13)*(1+'Read Me'!$B$12),-1)</f>
        <v/>
      </c>
      <c r="W5778" s="15">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K-C-0044</t>
        </is>
      </c>
      <c r="B5779" s="12" t="inlineStr">
        <is>
          <t>K</t>
        </is>
      </c>
      <c r="C5779" s="12" t="inlineStr">
        <is>
          <t>Fuel supply (adjacent market)</t>
        </is>
      </c>
      <c r="D5779" s="12" t="inlineStr">
        <is>
          <t>Home run JB-H2-EL-SOL01 to the control / marshalling room</t>
        </is>
      </c>
      <c r="E5779" s="12" t="inlineStr"/>
      <c r="F5779" s="12" t="inlineStr">
        <is>
          <t>H2 20: 13.8 kV e-house</t>
        </is>
      </c>
      <c r="G5779" s="12" t="inlineStr">
        <is>
          <t>JB-H2-EL-SOL01</t>
        </is>
      </c>
      <c r="H5779" s="12" t="inlineStr">
        <is>
          <t>H2 22: electrolyzer building (5 x HyLYZER-1000 + 5 rectifiers)</t>
        </is>
      </c>
      <c r="I5779" s="12" t="inlineStr">
        <is>
          <t>Control</t>
        </is>
      </c>
      <c r="J5779" s="12" t="inlineStr">
        <is>
          <t>ARMOR-X MC-HL 600 V control, Cu #14 AWG (Class I Div 2)</t>
        </is>
      </c>
      <c r="K5779" s="12" t="inlineStr">
        <is>
          <t>CTAX|25/C|14</t>
        </is>
      </c>
      <c r="L5779" s="12" t="inlineStr">
        <is>
          <t>25/C</t>
        </is>
      </c>
      <c r="M5779" s="12" t="inlineStr">
        <is>
          <t>14</t>
        </is>
      </c>
      <c r="N5779" s="12" t="n">
        <v>1</v>
      </c>
      <c r="O5779" s="12" t="n">
        <v>1</v>
      </c>
      <c r="P5779" s="12" t="n"/>
      <c r="Q5779" s="12" t="n"/>
      <c r="R5779" s="12" t="n"/>
      <c r="S5779" s="12" t="inlineStr">
        <is>
          <t>Duct bank</t>
        </is>
      </c>
      <c r="T5779" s="15" t="n">
        <v>346</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K-C-0045</t>
        </is>
      </c>
      <c r="B5780" s="12" t="inlineStr">
        <is>
          <t>K</t>
        </is>
      </c>
      <c r="C5780" s="12" t="inlineStr">
        <is>
          <t>Fuel supply (adjacent market)</t>
        </is>
      </c>
      <c r="D5780" s="12" t="inlineStr">
        <is>
          <t>Motor 1 of 1: control / local station</t>
        </is>
      </c>
      <c r="E5780" s="12" t="inlineStr"/>
      <c r="F5780" s="12" t="inlineStr">
        <is>
          <t>H2 20: 13.8 kV e-house</t>
        </is>
      </c>
      <c r="G5780" s="12" t="inlineStr"/>
      <c r="H5780" s="12" t="inlineStr">
        <is>
          <t>H2 23: dry coolers</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100</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K-C-0046</t>
        </is>
      </c>
      <c r="B5781" s="12" t="inlineStr">
        <is>
          <t>K</t>
        </is>
      </c>
      <c r="C5781" s="12" t="inlineStr">
        <is>
          <t>Fuel supply (adjacent market)</t>
        </is>
      </c>
      <c r="D5781" s="12" t="inlineStr">
        <is>
          <t>Solenoid to JB JB-H2 23: dry coolers-SOL01: 2 x 2/C (field cables)</t>
        </is>
      </c>
      <c r="E5781" s="12" t="inlineStr"/>
      <c r="F5781" s="12" t="inlineStr">
        <is>
          <t>H2 23: dry coolers</t>
        </is>
      </c>
      <c r="G5781" s="12" t="inlineStr">
        <is>
          <t>JB-H2 23: dry coolers-SOL01</t>
        </is>
      </c>
      <c r="H5781" s="12" t="inlineStr">
        <is>
          <t>H2 23: dry coolers</t>
        </is>
      </c>
      <c r="I5781" s="12" t="inlineStr">
        <is>
          <t>Control</t>
        </is>
      </c>
      <c r="J5781" s="12" t="inlineStr">
        <is>
          <t>ARMOR-X MC-HL 600 V control, Cu #14 AWG (Class I Div 2)</t>
        </is>
      </c>
      <c r="K5781" s="12" t="inlineStr">
        <is>
          <t>CTAX|2/C|14</t>
        </is>
      </c>
      <c r="L5781" s="12" t="inlineStr">
        <is>
          <t>2/C</t>
        </is>
      </c>
      <c r="M5781" s="12" t="inlineStr">
        <is>
          <t>14</t>
        </is>
      </c>
      <c r="N5781" s="12" t="n">
        <v>2</v>
      </c>
      <c r="O5781" s="12" t="n">
        <v>1</v>
      </c>
      <c r="P5781" s="12" t="n"/>
      <c r="Q5781" s="12" t="n"/>
      <c r="R5781" s="12" t="n"/>
      <c r="S5781" s="12" t="inlineStr">
        <is>
          <t>Tray / conduit</t>
        </is>
      </c>
      <c r="T5781" s="15" t="n">
        <v>111</v>
      </c>
      <c r="U5781" s="15" t="n">
        <v>10</v>
      </c>
      <c r="V5781" s="15">
        <f>ROUNDUP((T5781+U5781+2*'Read Me'!$B$13)*(1+'Read Me'!$B$12),-1)</f>
        <v/>
      </c>
      <c r="W5781" s="15">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K-C-0047</t>
        </is>
      </c>
      <c r="B5782" s="12" t="inlineStr">
        <is>
          <t>K</t>
        </is>
      </c>
      <c r="C5782" s="12" t="inlineStr">
        <is>
          <t>Fuel supply (adjacent market)</t>
        </is>
      </c>
      <c r="D5782" s="12" t="inlineStr">
        <is>
          <t>Home run JB-H2 23: dry coolers-SOL01 to the control / marshalling room</t>
        </is>
      </c>
      <c r="E5782" s="12" t="inlineStr"/>
      <c r="F5782" s="12" t="inlineStr">
        <is>
          <t>H2 20: 13.8 kV e-house</t>
        </is>
      </c>
      <c r="G5782" s="12" t="inlineStr">
        <is>
          <t>JB-H2 23: dry coolers-SOL01</t>
        </is>
      </c>
      <c r="H5782" s="12" t="inlineStr">
        <is>
          <t>H2 23: dry coolers</t>
        </is>
      </c>
      <c r="I5782" s="12" t="inlineStr">
        <is>
          <t>Control</t>
        </is>
      </c>
      <c r="J5782" s="12" t="inlineStr">
        <is>
          <t>ARMOR-X MC-HL 600 V control, Cu #14 AWG (Class I Div 2)</t>
        </is>
      </c>
      <c r="K5782" s="12" t="inlineStr">
        <is>
          <t>CTAX|25/C|14</t>
        </is>
      </c>
      <c r="L5782" s="12" t="inlineStr">
        <is>
          <t>25/C</t>
        </is>
      </c>
      <c r="M5782" s="12" t="inlineStr">
        <is>
          <t>14</t>
        </is>
      </c>
      <c r="N5782" s="12" t="n">
        <v>1</v>
      </c>
      <c r="O5782" s="12" t="n">
        <v>1</v>
      </c>
      <c r="P5782" s="12" t="n"/>
      <c r="Q5782" s="12" t="n"/>
      <c r="R5782" s="12" t="n"/>
      <c r="S5782" s="12" t="inlineStr">
        <is>
          <t>Duct bank</t>
        </is>
      </c>
      <c r="T5782" s="15" t="n">
        <v>100</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K-C-0048</t>
        </is>
      </c>
      <c r="B5783" s="12" t="inlineStr">
        <is>
          <t>K</t>
        </is>
      </c>
      <c r="C5783" s="12" t="inlineStr">
        <is>
          <t>Fuel supply (adjacent market)</t>
        </is>
      </c>
      <c r="D5783" s="12" t="inlineStr">
        <is>
          <t>Motor 1 of 1: control / local station</t>
        </is>
      </c>
      <c r="E5783" s="12" t="inlineStr"/>
      <c r="F5783" s="12" t="inlineStr">
        <is>
          <t>H2 20: 13.8 kV e-house</t>
        </is>
      </c>
      <c r="G5783" s="12" t="inlineStr"/>
      <c r="H5783" s="12" t="inlineStr">
        <is>
          <t>H2 24: water purification (RO / EDI)</t>
        </is>
      </c>
      <c r="I5783" s="12" t="inlineStr">
        <is>
          <t>Control</t>
        </is>
      </c>
      <c r="J5783" s="12" t="inlineStr">
        <is>
          <t>ARMOR-X MC-HL 600 V control, Cu #14 AWG (Class I Div 2)</t>
        </is>
      </c>
      <c r="K5783" s="12" t="inlineStr">
        <is>
          <t>CTAX|7/C|14</t>
        </is>
      </c>
      <c r="L5783" s="12" t="inlineStr">
        <is>
          <t>7/C</t>
        </is>
      </c>
      <c r="M5783" s="12" t="inlineStr">
        <is>
          <t>14</t>
        </is>
      </c>
      <c r="N5783" s="12" t="n">
        <v>1</v>
      </c>
      <c r="O5783" s="12" t="n">
        <v>1</v>
      </c>
      <c r="P5783" s="12" t="n"/>
      <c r="Q5783" s="12" t="n"/>
      <c r="R5783" s="12" t="n"/>
      <c r="S5783" s="12" t="inlineStr">
        <is>
          <t>Duct bank</t>
        </is>
      </c>
      <c r="T5783" s="15" t="n">
        <v>146</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K-C-0049</t>
        </is>
      </c>
      <c r="B5784" s="12" t="inlineStr">
        <is>
          <t>K</t>
        </is>
      </c>
      <c r="C5784" s="12" t="inlineStr">
        <is>
          <t>Fuel supply (adjacent market)</t>
        </is>
      </c>
      <c r="D5784" s="12" t="inlineStr">
        <is>
          <t>Solenoid to JB JB-H2 24: water purif-SOL01: 2 x 2/C (field cables)</t>
        </is>
      </c>
      <c r="E5784" s="12" t="inlineStr"/>
      <c r="F5784" s="12" t="inlineStr">
        <is>
          <t>H2 24: water purification (RO / EDI)</t>
        </is>
      </c>
      <c r="G5784" s="12" t="inlineStr">
        <is>
          <t>JB-H2 24: water purif-SOL01</t>
        </is>
      </c>
      <c r="H5784" s="12" t="inlineStr">
        <is>
          <t>H2 24: water purification (RO / EDI)</t>
        </is>
      </c>
      <c r="I5784" s="12" t="inlineStr">
        <is>
          <t>Control</t>
        </is>
      </c>
      <c r="J5784" s="12" t="inlineStr">
        <is>
          <t>ARMOR-X MC-HL 600 V control, Cu #14 AWG (Class I Div 2)</t>
        </is>
      </c>
      <c r="K5784" s="12" t="inlineStr">
        <is>
          <t>CTAX|2/C|14</t>
        </is>
      </c>
      <c r="L5784" s="12" t="inlineStr">
        <is>
          <t>2/C</t>
        </is>
      </c>
      <c r="M5784" s="12" t="inlineStr">
        <is>
          <t>14</t>
        </is>
      </c>
      <c r="N5784" s="12" t="n">
        <v>2</v>
      </c>
      <c r="O5784" s="12" t="n">
        <v>1</v>
      </c>
      <c r="P5784" s="12" t="n"/>
      <c r="Q5784" s="12" t="n"/>
      <c r="R5784" s="12" t="n"/>
      <c r="S5784" s="12" t="inlineStr">
        <is>
          <t>Tray / conduit</t>
        </is>
      </c>
      <c r="T5784" s="15" t="n">
        <v>60</v>
      </c>
      <c r="U5784" s="15" t="n">
        <v>10</v>
      </c>
      <c r="V5784" s="15">
        <f>ROUNDUP((T5784+U5784+2*'Read Me'!$B$13)*(1+'Read Me'!$B$12),-1)</f>
        <v/>
      </c>
      <c r="W5784" s="15">
        <f>V5784*N5784*O5784</f>
        <v/>
      </c>
      <c r="X5784" s="12">
        <f>IF(LEFT(I5784,2)="MV",2*N5784*IF(L5784="1/C",O5784,1),0)</f>
        <v/>
      </c>
      <c r="Y5784" s="12">
        <f>IF(OR(LEFT(K5784,4)="LVAX",LEFT(K5784,6)="MV15AX",LEFT(K5784,4)="CTAX",LEFT(K5784,2)="W|"),2*N5784*O5784,0)</f>
        <v/>
      </c>
      <c r="Z5784" s="12" t="inlineStr">
        <is>
          <t>device-to-JB field wiring, one cable per device</t>
        </is>
      </c>
      <c r="AA5784" s="12">
        <f>N5784*O5784</f>
        <v/>
      </c>
    </row>
    <row r="5785">
      <c r="A5785" s="12" t="inlineStr">
        <is>
          <t>K-C-0050</t>
        </is>
      </c>
      <c r="B5785" s="12" t="inlineStr">
        <is>
          <t>K</t>
        </is>
      </c>
      <c r="C5785" s="12" t="inlineStr">
        <is>
          <t>Fuel supply (adjacent market)</t>
        </is>
      </c>
      <c r="D5785" s="12" t="inlineStr">
        <is>
          <t>Home run JB-H2 24: water purif-SOL01 to the control / marshalling room</t>
        </is>
      </c>
      <c r="E5785" s="12" t="inlineStr"/>
      <c r="F5785" s="12" t="inlineStr">
        <is>
          <t>H2 20: 13.8 kV e-house</t>
        </is>
      </c>
      <c r="G5785" s="12" t="inlineStr">
        <is>
          <t>JB-H2 24: water purif-SOL01</t>
        </is>
      </c>
      <c r="H5785" s="12" t="inlineStr">
        <is>
          <t>H2 24: water purification (RO / EDI)</t>
        </is>
      </c>
      <c r="I5785" s="12" t="inlineStr">
        <is>
          <t>Control</t>
        </is>
      </c>
      <c r="J5785" s="12" t="inlineStr">
        <is>
          <t>ARMOR-X MC-HL 600 V control, Cu #14 AWG (Class I Div 2)</t>
        </is>
      </c>
      <c r="K5785" s="12" t="inlineStr">
        <is>
          <t>CTAX|25/C|14</t>
        </is>
      </c>
      <c r="L5785" s="12" t="inlineStr">
        <is>
          <t>25/C</t>
        </is>
      </c>
      <c r="M5785" s="12" t="inlineStr">
        <is>
          <t>14</t>
        </is>
      </c>
      <c r="N5785" s="12" t="n">
        <v>1</v>
      </c>
      <c r="O5785" s="12" t="n">
        <v>1</v>
      </c>
      <c r="P5785" s="12" t="n"/>
      <c r="Q5785" s="12" t="n"/>
      <c r="R5785" s="12" t="n"/>
      <c r="S5785" s="12" t="inlineStr">
        <is>
          <t>Duct bank</t>
        </is>
      </c>
      <c r="T5785" s="15" t="n">
        <v>146</v>
      </c>
      <c r="U5785" s="15" t="n">
        <v>32</v>
      </c>
      <c r="V5785" s="15">
        <f>ROUNDUP((T5785+U5785+2*'Read Me'!$B$13)*(1+'Read Me'!$B$12),-1)</f>
        <v/>
      </c>
      <c r="W5785" s="15">
        <f>V5785*N5785*O5785</f>
        <v/>
      </c>
      <c r="X5785" s="12">
        <f>IF(LEFT(I5785,2)="MV",2*N5785*IF(L5785="1/C",O5785,1),0)</f>
        <v/>
      </c>
      <c r="Y5785" s="12">
        <f>IF(OR(LEFT(K5785,4)="LVAX",LEFT(K5785,6)="MV15AX",LEFT(K5785,4)="CTAX",LEFT(K5785,2)="W|"),2*N5785*O5785,0)</f>
        <v/>
      </c>
      <c r="Z5785" s="12" t="inlineStr"/>
      <c r="AA5785" s="12">
        <f>N5785*O5785</f>
        <v/>
      </c>
    </row>
    <row r="5786">
      <c r="A5786" s="12" t="inlineStr">
        <is>
          <t>K-C-0051</t>
        </is>
      </c>
      <c r="B5786" s="12" t="inlineStr">
        <is>
          <t>K</t>
        </is>
      </c>
      <c r="C5786" s="12" t="inlineStr">
        <is>
          <t>Fuel supply (adjacent market)</t>
        </is>
      </c>
      <c r="D5786" s="12" t="inlineStr">
        <is>
          <t>Motor 1 of 1: control / local station</t>
        </is>
      </c>
      <c r="E5786" s="12" t="inlineStr"/>
      <c r="F5786" s="12" t="inlineStr">
        <is>
          <t>H2 20: 13.8 kV e-house</t>
        </is>
      </c>
      <c r="G5786" s="12" t="inlineStr"/>
      <c r="H5786" s="12" t="inlineStr">
        <is>
          <t>H2 25: H2 dryer / purification</t>
        </is>
      </c>
      <c r="I5786" s="12" t="inlineStr">
        <is>
          <t>Control</t>
        </is>
      </c>
      <c r="J5786" s="12" t="inlineStr">
        <is>
          <t>ARMOR-X MC-HL 600 V control, Cu #14 AWG (Class I Div 2)</t>
        </is>
      </c>
      <c r="K5786" s="12" t="inlineStr">
        <is>
          <t>CTAX|7/C|14</t>
        </is>
      </c>
      <c r="L5786" s="12" t="inlineStr">
        <is>
          <t>7/C</t>
        </is>
      </c>
      <c r="M5786" s="12" t="inlineStr">
        <is>
          <t>14</t>
        </is>
      </c>
      <c r="N5786" s="12" t="n">
        <v>1</v>
      </c>
      <c r="O5786" s="12" t="n">
        <v>1</v>
      </c>
      <c r="P5786" s="12" t="n"/>
      <c r="Q5786" s="12" t="n"/>
      <c r="R5786" s="12" t="n"/>
      <c r="S5786" s="12" t="inlineStr">
        <is>
          <t>Duct bank</t>
        </is>
      </c>
      <c r="T5786" s="15" t="n">
        <v>0</v>
      </c>
      <c r="U5786" s="15" t="n">
        <v>49</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K-C-0052</t>
        </is>
      </c>
      <c r="B5787" s="12" t="inlineStr">
        <is>
          <t>K</t>
        </is>
      </c>
      <c r="C5787" s="12" t="inlineStr">
        <is>
          <t>Fuel supply (adjacent market)</t>
        </is>
      </c>
      <c r="D5787" s="12" t="inlineStr">
        <is>
          <t>Solenoid to JB JB-H2 25: H2 dryer / -SOL01: 2 x 2/C (field cables)</t>
        </is>
      </c>
      <c r="E5787" s="12" t="inlineStr"/>
      <c r="F5787" s="12" t="inlineStr">
        <is>
          <t>H2 25: H2 dryer / purification</t>
        </is>
      </c>
      <c r="G5787" s="12" t="inlineStr">
        <is>
          <t>JB-H2 25: H2 dryer / -SOL01</t>
        </is>
      </c>
      <c r="H5787" s="12" t="inlineStr">
        <is>
          <t>H2 25: H2 dryer / purification</t>
        </is>
      </c>
      <c r="I5787" s="12" t="inlineStr">
        <is>
          <t>Control</t>
        </is>
      </c>
      <c r="J5787" s="12" t="inlineStr">
        <is>
          <t>ARMOR-X MC-HL 600 V control, Cu #14 AWG (Class I Div 2)</t>
        </is>
      </c>
      <c r="K5787" s="12" t="inlineStr">
        <is>
          <t>CTAX|2/C|14</t>
        </is>
      </c>
      <c r="L5787" s="12" t="inlineStr">
        <is>
          <t>2/C</t>
        </is>
      </c>
      <c r="M5787" s="12" t="inlineStr">
        <is>
          <t>14</t>
        </is>
      </c>
      <c r="N5787" s="12" t="n">
        <v>2</v>
      </c>
      <c r="O5787" s="12" t="n">
        <v>1</v>
      </c>
      <c r="P5787" s="12" t="n"/>
      <c r="Q5787" s="12" t="n"/>
      <c r="R5787" s="12" t="n"/>
      <c r="S5787" s="12" t="inlineStr">
        <is>
          <t>Tray / conduit</t>
        </is>
      </c>
      <c r="T5787" s="15" t="n">
        <v>60</v>
      </c>
      <c r="U5787" s="15" t="n">
        <v>10</v>
      </c>
      <c r="V5787" s="15">
        <f>ROUNDUP((T5787+U5787+2*'Read Me'!$B$13)*(1+'Read Me'!$B$12),-1)</f>
        <v/>
      </c>
      <c r="W5787" s="15">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K-C-0053</t>
        </is>
      </c>
      <c r="B5788" s="12" t="inlineStr">
        <is>
          <t>K</t>
        </is>
      </c>
      <c r="C5788" s="12" t="inlineStr">
        <is>
          <t>Fuel supply (adjacent market)</t>
        </is>
      </c>
      <c r="D5788" s="12" t="inlineStr">
        <is>
          <t>Home run JB-H2 25: H2 dryer / -SOL01 to the control / marshalling room</t>
        </is>
      </c>
      <c r="E5788" s="12" t="inlineStr"/>
      <c r="F5788" s="12" t="inlineStr">
        <is>
          <t>H2 20: 13.8 kV e-house</t>
        </is>
      </c>
      <c r="G5788" s="12" t="inlineStr">
        <is>
          <t>JB-H2 25: H2 dryer / -SOL01</t>
        </is>
      </c>
      <c r="H5788" s="12" t="inlineStr">
        <is>
          <t>H2 25: H2 dryer / purification</t>
        </is>
      </c>
      <c r="I5788" s="12" t="inlineStr">
        <is>
          <t>Control</t>
        </is>
      </c>
      <c r="J5788" s="12" t="inlineStr">
        <is>
          <t>ARMOR-X MC-HL 600 V control, Cu #14 AWG (Class I Div 2)</t>
        </is>
      </c>
      <c r="K5788" s="12" t="inlineStr">
        <is>
          <t>CTAX|25/C|14</t>
        </is>
      </c>
      <c r="L5788" s="12" t="inlineStr">
        <is>
          <t>25/C</t>
        </is>
      </c>
      <c r="M5788" s="12" t="inlineStr">
        <is>
          <t>14</t>
        </is>
      </c>
      <c r="N5788" s="12" t="n">
        <v>1</v>
      </c>
      <c r="O5788" s="12" t="n">
        <v>1</v>
      </c>
      <c r="P5788" s="12" t="n"/>
      <c r="Q5788" s="12" t="n"/>
      <c r="R5788" s="12" t="n"/>
      <c r="S5788" s="12" t="inlineStr">
        <is>
          <t>Duct bank</t>
        </is>
      </c>
      <c r="T5788" s="15" t="n">
        <v>0</v>
      </c>
      <c r="U5788" s="15" t="n">
        <v>49</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K-C-0054</t>
        </is>
      </c>
      <c r="B5789" s="12" t="inlineStr">
        <is>
          <t>K</t>
        </is>
      </c>
      <c r="C5789" s="12" t="inlineStr">
        <is>
          <t>Fuel supply (adjacent market)</t>
        </is>
      </c>
      <c r="D5789" s="12" t="inlineStr">
        <is>
          <t>Motor 1 of 1: control / local station</t>
        </is>
      </c>
      <c r="E5789" s="12" t="inlineStr"/>
      <c r="F5789" s="12" t="inlineStr">
        <is>
          <t>H2 20: 13.8 kV e-house</t>
        </is>
      </c>
      <c r="G5789" s="12" t="inlineStr"/>
      <c r="H5789" s="12" t="inlineStr">
        <is>
          <t>H2 26: H2 compressor 1 (40 ft ISO)</t>
        </is>
      </c>
      <c r="I5789" s="12" t="inlineStr">
        <is>
          <t>Control</t>
        </is>
      </c>
      <c r="J5789" s="12" t="inlineStr">
        <is>
          <t>ARMOR-X MC-HL 600 V control, Cu #14 AWG (Class I Div 2)</t>
        </is>
      </c>
      <c r="K5789" s="12" t="inlineStr">
        <is>
          <t>CTAX|7/C|14</t>
        </is>
      </c>
      <c r="L5789" s="12" t="inlineStr">
        <is>
          <t>7/C</t>
        </is>
      </c>
      <c r="M5789" s="12" t="inlineStr">
        <is>
          <t>14</t>
        </is>
      </c>
      <c r="N5789" s="12" t="n">
        <v>1</v>
      </c>
      <c r="O5789" s="12" t="n">
        <v>1</v>
      </c>
      <c r="P5789" s="12" t="n"/>
      <c r="Q5789" s="12" t="n"/>
      <c r="R5789" s="12" t="n"/>
      <c r="S5789" s="12" t="inlineStr">
        <is>
          <t>Duct bank</t>
        </is>
      </c>
      <c r="T5789" s="15" t="n">
        <v>50</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K-C-0055</t>
        </is>
      </c>
      <c r="B5790" s="12" t="inlineStr">
        <is>
          <t>K</t>
        </is>
      </c>
      <c r="C5790" s="12" t="inlineStr">
        <is>
          <t>Fuel supply (adjacent market)</t>
        </is>
      </c>
      <c r="D5790" s="12" t="inlineStr">
        <is>
          <t>Solenoid to JB JB-H2 26: H2 compress-SOL01: 2 x 2/C (field cables)</t>
        </is>
      </c>
      <c r="E5790" s="12" t="inlineStr"/>
      <c r="F5790" s="12" t="inlineStr">
        <is>
          <t>H2 26: H2 compressor 1 (40 ft ISO)</t>
        </is>
      </c>
      <c r="G5790" s="12" t="inlineStr">
        <is>
          <t>JB-H2 26: H2 compress-SOL01</t>
        </is>
      </c>
      <c r="H5790" s="12" t="inlineStr">
        <is>
          <t>H2 26: H2 compressor 1 (40 ft ISO)</t>
        </is>
      </c>
      <c r="I5790" s="12" t="inlineStr">
        <is>
          <t>Control</t>
        </is>
      </c>
      <c r="J5790" s="12" t="inlineStr">
        <is>
          <t>ARMOR-X MC-HL 600 V control, Cu #14 AWG (Class I Div 2)</t>
        </is>
      </c>
      <c r="K5790" s="12" t="inlineStr">
        <is>
          <t>CTAX|2/C|14</t>
        </is>
      </c>
      <c r="L5790" s="12" t="inlineStr">
        <is>
          <t>2/C</t>
        </is>
      </c>
      <c r="M5790" s="12" t="inlineStr">
        <is>
          <t>14</t>
        </is>
      </c>
      <c r="N5790" s="12" t="n">
        <v>2</v>
      </c>
      <c r="O5790" s="12" t="n">
        <v>1</v>
      </c>
      <c r="P5790" s="12" t="n"/>
      <c r="Q5790" s="12" t="n"/>
      <c r="R5790" s="12" t="n"/>
      <c r="S5790" s="12" t="inlineStr">
        <is>
          <t>Tray / conduit</t>
        </is>
      </c>
      <c r="T5790" s="15" t="n">
        <v>53</v>
      </c>
      <c r="U5790" s="15" t="n">
        <v>10</v>
      </c>
      <c r="V5790" s="15">
        <f>ROUNDUP((T5790+U5790+2*'Read Me'!$B$13)*(1+'Read Me'!$B$12),-1)</f>
        <v/>
      </c>
      <c r="W5790" s="15">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K-C-0056</t>
        </is>
      </c>
      <c r="B5791" s="12" t="inlineStr">
        <is>
          <t>K</t>
        </is>
      </c>
      <c r="C5791" s="12" t="inlineStr">
        <is>
          <t>Fuel supply (adjacent market)</t>
        </is>
      </c>
      <c r="D5791" s="12" t="inlineStr">
        <is>
          <t>Home run JB-H2 26: H2 compress-SOL01 to the control / marshalling room</t>
        </is>
      </c>
      <c r="E5791" s="12" t="inlineStr"/>
      <c r="F5791" s="12" t="inlineStr">
        <is>
          <t>H2 20: 13.8 kV e-house</t>
        </is>
      </c>
      <c r="G5791" s="12" t="inlineStr">
        <is>
          <t>JB-H2 26: H2 compress-SOL01</t>
        </is>
      </c>
      <c r="H5791" s="12" t="inlineStr">
        <is>
          <t>H2 26: H2 compressor 1 (40 ft ISO)</t>
        </is>
      </c>
      <c r="I5791" s="12" t="inlineStr">
        <is>
          <t>Control</t>
        </is>
      </c>
      <c r="J5791" s="12" t="inlineStr">
        <is>
          <t>ARMOR-X MC-HL 600 V control, Cu #14 AWG (Class I Div 2)</t>
        </is>
      </c>
      <c r="K5791" s="12" t="inlineStr">
        <is>
          <t>CTAX|25/C|14</t>
        </is>
      </c>
      <c r="L5791" s="12" t="inlineStr">
        <is>
          <t>25/C</t>
        </is>
      </c>
      <c r="M5791" s="12" t="inlineStr">
        <is>
          <t>14</t>
        </is>
      </c>
      <c r="N5791" s="12" t="n">
        <v>1</v>
      </c>
      <c r="O5791" s="12" t="n">
        <v>1</v>
      </c>
      <c r="P5791" s="12" t="n"/>
      <c r="Q5791" s="12" t="n"/>
      <c r="R5791" s="12" t="n"/>
      <c r="S5791" s="12" t="inlineStr">
        <is>
          <t>Duct bank</t>
        </is>
      </c>
      <c r="T5791" s="15" t="n">
        <v>50</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K-C-0057</t>
        </is>
      </c>
      <c r="B5792" s="12" t="inlineStr">
        <is>
          <t>K</t>
        </is>
      </c>
      <c r="C5792" s="12" t="inlineStr">
        <is>
          <t>Fuel supply (adjacent market)</t>
        </is>
      </c>
      <c r="D5792" s="12" t="inlineStr">
        <is>
          <t>Motor 1 of 1: control / local station</t>
        </is>
      </c>
      <c r="E5792" s="12" t="inlineStr"/>
      <c r="F5792" s="12" t="inlineStr">
        <is>
          <t>H2 20: 13.8 kV e-house</t>
        </is>
      </c>
      <c r="G5792" s="12" t="inlineStr"/>
      <c r="H5792" s="12" t="inlineStr">
        <is>
          <t>H2 26: H2 compressor 2 (40 ft ISO)</t>
        </is>
      </c>
      <c r="I5792" s="12" t="inlineStr">
        <is>
          <t>Control</t>
        </is>
      </c>
      <c r="J5792" s="12" t="inlineStr">
        <is>
          <t>ARMOR-X MC-HL 600 V control, Cu #14 AWG (Class I Div 2)</t>
        </is>
      </c>
      <c r="K5792" s="12" t="inlineStr">
        <is>
          <t>CTAX|7/C|14</t>
        </is>
      </c>
      <c r="L5792" s="12" t="inlineStr">
        <is>
          <t>7/C</t>
        </is>
      </c>
      <c r="M5792" s="12" t="inlineStr">
        <is>
          <t>14</t>
        </is>
      </c>
      <c r="N5792" s="12" t="n">
        <v>1</v>
      </c>
      <c r="O5792" s="12" t="n">
        <v>1</v>
      </c>
      <c r="P5792" s="12" t="n"/>
      <c r="Q5792" s="12" t="n"/>
      <c r="R5792" s="12" t="n"/>
      <c r="S5792" s="12" t="inlineStr">
        <is>
          <t>Duct bank</t>
        </is>
      </c>
      <c r="T5792" s="15" t="n">
        <v>50</v>
      </c>
      <c r="U5792" s="15" t="n">
        <v>47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K-C-0058</t>
        </is>
      </c>
      <c r="B5793" s="12" t="inlineStr">
        <is>
          <t>K</t>
        </is>
      </c>
      <c r="C5793" s="12" t="inlineStr">
        <is>
          <t>Fuel supply (adjacent market)</t>
        </is>
      </c>
      <c r="D5793" s="12" t="inlineStr">
        <is>
          <t>Solenoid to JB JB-H2 26: H2 compress-SOL01: 2 x 2/C (field cables)</t>
        </is>
      </c>
      <c r="E5793" s="12" t="inlineStr"/>
      <c r="F5793" s="12" t="inlineStr">
        <is>
          <t>H2 26: H2 compressor 2 (40 ft ISO)</t>
        </is>
      </c>
      <c r="G5793" s="12" t="inlineStr">
        <is>
          <t>JB-H2 26: H2 compress-SOL01</t>
        </is>
      </c>
      <c r="H5793" s="12" t="inlineStr">
        <is>
          <t>H2 26: H2 compressor 2 (40 ft ISO)</t>
        </is>
      </c>
      <c r="I5793" s="12" t="inlineStr">
        <is>
          <t>Control</t>
        </is>
      </c>
      <c r="J5793" s="12" t="inlineStr">
        <is>
          <t>ARMOR-X MC-HL 600 V control, Cu #14 AWG (Class I Div 2)</t>
        </is>
      </c>
      <c r="K5793" s="12" t="inlineStr">
        <is>
          <t>CTAX|2/C|14</t>
        </is>
      </c>
      <c r="L5793" s="12" t="inlineStr">
        <is>
          <t>2/C</t>
        </is>
      </c>
      <c r="M5793" s="12" t="inlineStr">
        <is>
          <t>14</t>
        </is>
      </c>
      <c r="N5793" s="12" t="n">
        <v>2</v>
      </c>
      <c r="O5793" s="12" t="n">
        <v>1</v>
      </c>
      <c r="P5793" s="12" t="n"/>
      <c r="Q5793" s="12" t="n"/>
      <c r="R5793" s="12" t="n"/>
      <c r="S5793" s="12" t="inlineStr">
        <is>
          <t>Tray / conduit</t>
        </is>
      </c>
      <c r="T5793" s="15" t="n">
        <v>53</v>
      </c>
      <c r="U5793" s="15" t="n">
        <v>10</v>
      </c>
      <c r="V5793" s="15">
        <f>ROUNDUP((T5793+U5793+2*'Read Me'!$B$13)*(1+'Read Me'!$B$12),-1)</f>
        <v/>
      </c>
      <c r="W5793" s="15">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K-C-0059</t>
        </is>
      </c>
      <c r="B5794" s="12" t="inlineStr">
        <is>
          <t>K</t>
        </is>
      </c>
      <c r="C5794" s="12" t="inlineStr">
        <is>
          <t>Fuel supply (adjacent market)</t>
        </is>
      </c>
      <c r="D5794" s="12" t="inlineStr">
        <is>
          <t>Home run JB-H2 26: H2 compress-SOL01 to the control / marshalling room</t>
        </is>
      </c>
      <c r="E5794" s="12" t="inlineStr"/>
      <c r="F5794" s="12" t="inlineStr">
        <is>
          <t>H2 20: 13.8 kV e-house</t>
        </is>
      </c>
      <c r="G5794" s="12" t="inlineStr">
        <is>
          <t>JB-H2 26: H2 compress-SOL01</t>
        </is>
      </c>
      <c r="H5794" s="12" t="inlineStr">
        <is>
          <t>H2 26: H2 compressor 2 (40 ft ISO)</t>
        </is>
      </c>
      <c r="I5794" s="12" t="inlineStr">
        <is>
          <t>Control</t>
        </is>
      </c>
      <c r="J5794" s="12" t="inlineStr">
        <is>
          <t>ARMOR-X MC-HL 600 V control, Cu #14 AWG (Class I Div 2)</t>
        </is>
      </c>
      <c r="K5794" s="12" t="inlineStr">
        <is>
          <t>CTAX|25/C|14</t>
        </is>
      </c>
      <c r="L5794" s="12" t="inlineStr">
        <is>
          <t>25/C</t>
        </is>
      </c>
      <c r="M5794" s="12" t="inlineStr">
        <is>
          <t>14</t>
        </is>
      </c>
      <c r="N5794" s="12" t="n">
        <v>1</v>
      </c>
      <c r="O5794" s="12" t="n">
        <v>1</v>
      </c>
      <c r="P5794" s="12" t="n"/>
      <c r="Q5794" s="12" t="n"/>
      <c r="R5794" s="12" t="n"/>
      <c r="S5794" s="12" t="inlineStr">
        <is>
          <t>Duct bank</t>
        </is>
      </c>
      <c r="T5794" s="15" t="n">
        <v>50</v>
      </c>
      <c r="U5794" s="15" t="n">
        <v>47</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K-C-0060</t>
        </is>
      </c>
      <c r="B5795" s="12" t="inlineStr">
        <is>
          <t>K</t>
        </is>
      </c>
      <c r="C5795" s="12" t="inlineStr">
        <is>
          <t>Fuel supply (adjacent market)</t>
        </is>
      </c>
      <c r="D5795" s="12" t="inlineStr">
        <is>
          <t>Motor 1 of 1: control / local station</t>
        </is>
      </c>
      <c r="E5795" s="12" t="inlineStr"/>
      <c r="F5795" s="12" t="inlineStr">
        <is>
          <t>H2 20: 13.8 kV e-house</t>
        </is>
      </c>
      <c r="G5795" s="12" t="inlineStr"/>
      <c r="H5795" s="12" t="inlineStr">
        <is>
          <t>H2 27: storage tube bank (~40 ft tubes)</t>
        </is>
      </c>
      <c r="I5795" s="12" t="inlineStr">
        <is>
          <t>Control</t>
        </is>
      </c>
      <c r="J5795" s="12" t="inlineStr">
        <is>
          <t>ARMOR-X MC-HL 600 V control, Cu #14 AWG (Class I Div 2)</t>
        </is>
      </c>
      <c r="K5795" s="12" t="inlineStr">
        <is>
          <t>CTAX|7/C|14</t>
        </is>
      </c>
      <c r="L5795" s="12" t="inlineStr">
        <is>
          <t>7/C</t>
        </is>
      </c>
      <c r="M5795" s="12" t="inlineStr">
        <is>
          <t>14</t>
        </is>
      </c>
      <c r="N5795" s="12" t="n">
        <v>1</v>
      </c>
      <c r="O5795" s="12" t="n">
        <v>1</v>
      </c>
      <c r="P5795" s="12" t="n"/>
      <c r="Q5795" s="12" t="n"/>
      <c r="R5795" s="12" t="n"/>
      <c r="S5795" s="12" t="inlineStr">
        <is>
          <t>Duct bank</t>
        </is>
      </c>
      <c r="T5795" s="15" t="n">
        <v>50</v>
      </c>
      <c r="U5795" s="15" t="n">
        <v>97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K-C-0061</t>
        </is>
      </c>
      <c r="B5796" s="12" t="inlineStr">
        <is>
          <t>K</t>
        </is>
      </c>
      <c r="C5796" s="12" t="inlineStr">
        <is>
          <t>Fuel supply (adjacent market)</t>
        </is>
      </c>
      <c r="D5796" s="12" t="inlineStr">
        <is>
          <t>Solenoid to JB JB-H2 27: storage tub-SOL01: 2 x 2/C (field cables)</t>
        </is>
      </c>
      <c r="E5796" s="12" t="inlineStr"/>
      <c r="F5796" s="12" t="inlineStr">
        <is>
          <t>H2 27: storage tube bank (~40 ft tubes)</t>
        </is>
      </c>
      <c r="G5796" s="12" t="inlineStr">
        <is>
          <t>JB-H2 27: storage tub-SOL01</t>
        </is>
      </c>
      <c r="H5796" s="12" t="inlineStr">
        <is>
          <t>H2 27: storage tube bank (~40 ft tubes)</t>
        </is>
      </c>
      <c r="I5796" s="12" t="inlineStr">
        <is>
          <t>Control</t>
        </is>
      </c>
      <c r="J5796" s="12" t="inlineStr">
        <is>
          <t>ARMOR-X MC-HL 600 V control, Cu #14 AWG (Class I Div 2)</t>
        </is>
      </c>
      <c r="K5796" s="12" t="inlineStr">
        <is>
          <t>CTAX|2/C|14</t>
        </is>
      </c>
      <c r="L5796" s="12" t="inlineStr">
        <is>
          <t>2/C</t>
        </is>
      </c>
      <c r="M5796" s="12" t="inlineStr">
        <is>
          <t>14</t>
        </is>
      </c>
      <c r="N5796" s="12" t="n">
        <v>2</v>
      </c>
      <c r="O5796" s="12" t="n">
        <v>1</v>
      </c>
      <c r="P5796" s="12" t="n"/>
      <c r="Q5796" s="12" t="n"/>
      <c r="R5796" s="12" t="n"/>
      <c r="S5796" s="12" t="inlineStr">
        <is>
          <t>Tray / conduit</t>
        </is>
      </c>
      <c r="T5796" s="15" t="n">
        <v>54</v>
      </c>
      <c r="U5796" s="15" t="n">
        <v>10</v>
      </c>
      <c r="V5796" s="15">
        <f>ROUNDUP((T5796+U5796+2*'Read Me'!$B$13)*(1+'Read Me'!$B$12),-1)</f>
        <v/>
      </c>
      <c r="W5796" s="15">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K-C-0062</t>
        </is>
      </c>
      <c r="B5797" s="12" t="inlineStr">
        <is>
          <t>K</t>
        </is>
      </c>
      <c r="C5797" s="12" t="inlineStr">
        <is>
          <t>Fuel supply (adjacent market)</t>
        </is>
      </c>
      <c r="D5797" s="12" t="inlineStr">
        <is>
          <t>Home run JB-H2 27: storage tub-SOL01 to the control / marshalling room</t>
        </is>
      </c>
      <c r="E5797" s="12" t="inlineStr"/>
      <c r="F5797" s="12" t="inlineStr">
        <is>
          <t>H2 20: 13.8 kV e-house</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CTAX|25/C|14</t>
        </is>
      </c>
      <c r="L5797" s="12" t="inlineStr">
        <is>
          <t>25/C</t>
        </is>
      </c>
      <c r="M5797" s="12" t="inlineStr">
        <is>
          <t>14</t>
        </is>
      </c>
      <c r="N5797" s="12" t="n">
        <v>1</v>
      </c>
      <c r="O5797" s="12" t="n">
        <v>1</v>
      </c>
      <c r="P5797" s="12" t="n"/>
      <c r="Q5797" s="12" t="n"/>
      <c r="R5797" s="12" t="n"/>
      <c r="S5797" s="12" t="inlineStr">
        <is>
          <t>Duct bank</t>
        </is>
      </c>
      <c r="T5797" s="15" t="n">
        <v>50</v>
      </c>
      <c r="U5797" s="15" t="n">
        <v>97</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K-C-0063</t>
        </is>
      </c>
      <c r="B5798" s="12" t="inlineStr">
        <is>
          <t>K</t>
        </is>
      </c>
      <c r="C5798" s="12" t="inlineStr">
        <is>
          <t>Fuel supply (adjacent market)</t>
        </is>
      </c>
      <c r="D5798" s="12" t="inlineStr">
        <is>
          <t>Motor 1 of 1: control / local station</t>
        </is>
      </c>
      <c r="E5798" s="12" t="inlineStr"/>
      <c r="F5798" s="12" t="inlineStr">
        <is>
          <t>H2 20: 13.8 kV e-house</t>
        </is>
      </c>
      <c r="G5798" s="12" t="inlineStr"/>
      <c r="H5798" s="12" t="inlineStr">
        <is>
          <t>H2 27: storage tube bank (~40 ft tubes)</t>
        </is>
      </c>
      <c r="I5798" s="12" t="inlineStr">
        <is>
          <t>Control</t>
        </is>
      </c>
      <c r="J5798" s="12" t="inlineStr">
        <is>
          <t>ARMOR-X MC-HL 600 V control, Cu #14 AWG (Class I Div 2)</t>
        </is>
      </c>
      <c r="K5798" s="12" t="inlineStr">
        <is>
          <t>CTAX|7/C|14</t>
        </is>
      </c>
      <c r="L5798" s="12" t="inlineStr">
        <is>
          <t>7/C</t>
        </is>
      </c>
      <c r="M5798" s="12" t="inlineStr">
        <is>
          <t>14</t>
        </is>
      </c>
      <c r="N5798" s="12" t="n">
        <v>1</v>
      </c>
      <c r="O5798" s="12" t="n">
        <v>1</v>
      </c>
      <c r="P5798" s="12" t="n"/>
      <c r="Q5798" s="12" t="n"/>
      <c r="R5798" s="12" t="n"/>
      <c r="S5798" s="12" t="inlineStr">
        <is>
          <t>Duct bank</t>
        </is>
      </c>
      <c r="T5798" s="15" t="n">
        <v>50</v>
      </c>
      <c r="U5798" s="15" t="n">
        <v>117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K-C-0064</t>
        </is>
      </c>
      <c r="B5799" s="12" t="inlineStr">
        <is>
          <t>K</t>
        </is>
      </c>
      <c r="C5799" s="12" t="inlineStr">
        <is>
          <t>Fuel supply (adjacent market)</t>
        </is>
      </c>
      <c r="D5799" s="12" t="inlineStr">
        <is>
          <t>Solenoid to JB JB-H2 27: storage tub-SOL01: 2 x 2/C (field cables)</t>
        </is>
      </c>
      <c r="E5799" s="12" t="inlineStr"/>
      <c r="F5799" s="12" t="inlineStr">
        <is>
          <t>H2 27: storage tube bank (~40 ft tubes)</t>
        </is>
      </c>
      <c r="G5799" s="12" t="inlineStr">
        <is>
          <t>JB-H2 27: storage tub-SOL01</t>
        </is>
      </c>
      <c r="H5799" s="12" t="inlineStr">
        <is>
          <t>H2 27: storage tube bank (~40 ft tubes)</t>
        </is>
      </c>
      <c r="I5799" s="12" t="inlineStr">
        <is>
          <t>Control</t>
        </is>
      </c>
      <c r="J5799" s="12" t="inlineStr">
        <is>
          <t>ARMOR-X MC-HL 600 V control, Cu #14 AWG (Class I Div 2)</t>
        </is>
      </c>
      <c r="K5799" s="12" t="inlineStr">
        <is>
          <t>CTAX|2/C|14</t>
        </is>
      </c>
      <c r="L5799" s="12" t="inlineStr">
        <is>
          <t>2/C</t>
        </is>
      </c>
      <c r="M5799" s="12" t="inlineStr">
        <is>
          <t>14</t>
        </is>
      </c>
      <c r="N5799" s="12" t="n">
        <v>2</v>
      </c>
      <c r="O5799" s="12" t="n">
        <v>1</v>
      </c>
      <c r="P5799" s="12" t="n"/>
      <c r="Q5799" s="12" t="n"/>
      <c r="R5799" s="12" t="n"/>
      <c r="S5799" s="12" t="inlineStr">
        <is>
          <t>Tray / conduit</t>
        </is>
      </c>
      <c r="T5799" s="15" t="n">
        <v>54</v>
      </c>
      <c r="U5799" s="15" t="n">
        <v>10</v>
      </c>
      <c r="V5799" s="15">
        <f>ROUNDUP((T5799+U5799+2*'Read Me'!$B$13)*(1+'Read Me'!$B$12),-1)</f>
        <v/>
      </c>
      <c r="W5799" s="15">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K-C-0065</t>
        </is>
      </c>
      <c r="B5800" s="12" t="inlineStr">
        <is>
          <t>K</t>
        </is>
      </c>
      <c r="C5800" s="12" t="inlineStr">
        <is>
          <t>Fuel supply (adjacent market)</t>
        </is>
      </c>
      <c r="D5800" s="12" t="inlineStr">
        <is>
          <t>Home run JB-H2 27: storage tub-SOL01 to the control / marshalling room</t>
        </is>
      </c>
      <c r="E5800" s="12" t="inlineStr"/>
      <c r="F5800" s="12" t="inlineStr">
        <is>
          <t>H2 20: 13.8 kV e-house</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CTAX|25/C|14</t>
        </is>
      </c>
      <c r="L5800" s="12" t="inlineStr">
        <is>
          <t>25/C</t>
        </is>
      </c>
      <c r="M5800" s="12" t="inlineStr">
        <is>
          <t>14</t>
        </is>
      </c>
      <c r="N5800" s="12" t="n">
        <v>1</v>
      </c>
      <c r="O5800" s="12" t="n">
        <v>1</v>
      </c>
      <c r="P5800" s="12" t="n"/>
      <c r="Q5800" s="12" t="n"/>
      <c r="R5800" s="12" t="n"/>
      <c r="S5800" s="12" t="inlineStr">
        <is>
          <t>Duct bank</t>
        </is>
      </c>
      <c r="T5800" s="15" t="n">
        <v>50</v>
      </c>
      <c r="U5800" s="15" t="n">
        <v>117</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K-C-0066</t>
        </is>
      </c>
      <c r="B5801" s="12" t="inlineStr">
        <is>
          <t>K</t>
        </is>
      </c>
      <c r="C5801" s="12" t="inlineStr">
        <is>
          <t>Fuel supply (adjacent market)</t>
        </is>
      </c>
      <c r="D5801" s="12" t="inlineStr">
        <is>
          <t>Motor 1 of 1: control / local station</t>
        </is>
      </c>
      <c r="E5801" s="12" t="inlineStr"/>
      <c r="F5801" s="12" t="inlineStr">
        <is>
          <t>H2 20: 13.8 kV e-house</t>
        </is>
      </c>
      <c r="G5801" s="12" t="inlineStr"/>
      <c r="H5801" s="12" t="inlineStr">
        <is>
          <t>H2 27: storage tube bank (~40 ft tubes)</t>
        </is>
      </c>
      <c r="I5801" s="12" t="inlineStr">
        <is>
          <t>Control</t>
        </is>
      </c>
      <c r="J5801" s="12" t="inlineStr">
        <is>
          <t>ARMOR-X MC-HL 600 V control, Cu #14 AWG (Class I Div 2)</t>
        </is>
      </c>
      <c r="K5801" s="12" t="inlineStr">
        <is>
          <t>CTAX|7/C|14</t>
        </is>
      </c>
      <c r="L5801" s="12" t="inlineStr">
        <is>
          <t>7/C</t>
        </is>
      </c>
      <c r="M5801" s="12" t="inlineStr">
        <is>
          <t>14</t>
        </is>
      </c>
      <c r="N5801" s="12" t="n">
        <v>1</v>
      </c>
      <c r="O5801" s="12" t="n">
        <v>1</v>
      </c>
      <c r="P5801" s="12" t="n"/>
      <c r="Q5801" s="12" t="n"/>
      <c r="R5801" s="12" t="n"/>
      <c r="S5801" s="12" t="inlineStr">
        <is>
          <t>Duct bank</t>
        </is>
      </c>
      <c r="T5801" s="15" t="n">
        <v>50</v>
      </c>
      <c r="U5801" s="15" t="n">
        <v>97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K-C-0067</t>
        </is>
      </c>
      <c r="B5802" s="12" t="inlineStr">
        <is>
          <t>K</t>
        </is>
      </c>
      <c r="C5802" s="12" t="inlineStr">
        <is>
          <t>Fuel supply (adjacent market)</t>
        </is>
      </c>
      <c r="D5802" s="12" t="inlineStr">
        <is>
          <t>Solenoid to JB JB-H2 27: storage tub-SOL01: 2 x 2/C (field cables)</t>
        </is>
      </c>
      <c r="E5802" s="12" t="inlineStr"/>
      <c r="F5802" s="12" t="inlineStr">
        <is>
          <t>H2 27: storage tube bank (~40 ft tubes)</t>
        </is>
      </c>
      <c r="G5802" s="12" t="inlineStr">
        <is>
          <t>JB-H2 27: storage tub-SOL01</t>
        </is>
      </c>
      <c r="H5802" s="12" t="inlineStr">
        <is>
          <t>H2 27: storage tube bank (~40 ft tubes)</t>
        </is>
      </c>
      <c r="I5802" s="12" t="inlineStr">
        <is>
          <t>Control</t>
        </is>
      </c>
      <c r="J5802" s="12" t="inlineStr">
        <is>
          <t>ARMOR-X MC-HL 600 V control, Cu #14 AWG (Class I Div 2)</t>
        </is>
      </c>
      <c r="K5802" s="12" t="inlineStr">
        <is>
          <t>CTAX|2/C|14</t>
        </is>
      </c>
      <c r="L5802" s="12" t="inlineStr">
        <is>
          <t>2/C</t>
        </is>
      </c>
      <c r="M5802" s="12" t="inlineStr">
        <is>
          <t>14</t>
        </is>
      </c>
      <c r="N5802" s="12" t="n">
        <v>2</v>
      </c>
      <c r="O5802" s="12" t="n">
        <v>1</v>
      </c>
      <c r="P5802" s="12" t="n"/>
      <c r="Q5802" s="12" t="n"/>
      <c r="R5802" s="12" t="n"/>
      <c r="S5802" s="12" t="inlineStr">
        <is>
          <t>Tray / conduit</t>
        </is>
      </c>
      <c r="T5802" s="15" t="n">
        <v>54</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K-C-0068</t>
        </is>
      </c>
      <c r="B5803" s="12" t="inlineStr">
        <is>
          <t>K</t>
        </is>
      </c>
      <c r="C5803" s="12" t="inlineStr">
        <is>
          <t>Fuel supply (adjacent market)</t>
        </is>
      </c>
      <c r="D5803" s="12" t="inlineStr">
        <is>
          <t>Home run JB-H2 27: storage tub-SOL01 to the control / marshalling room</t>
        </is>
      </c>
      <c r="E5803" s="12" t="inlineStr"/>
      <c r="F5803" s="12" t="inlineStr">
        <is>
          <t>H2 20: 13.8 kV e-house</t>
        </is>
      </c>
      <c r="G5803" s="12" t="inlineStr">
        <is>
          <t>JB-H2 27: storage tub-SOL01</t>
        </is>
      </c>
      <c r="H5803" s="12" t="inlineStr">
        <is>
          <t>H2 27: storage tube bank (~40 ft tubes)</t>
        </is>
      </c>
      <c r="I5803" s="12" t="inlineStr">
        <is>
          <t>Control</t>
        </is>
      </c>
      <c r="J5803" s="12" t="inlineStr">
        <is>
          <t>ARMOR-X MC-HL 600 V control, Cu #14 AWG (Class I Div 2)</t>
        </is>
      </c>
      <c r="K5803" s="12" t="inlineStr">
        <is>
          <t>CTAX|25/C|14</t>
        </is>
      </c>
      <c r="L5803" s="12" t="inlineStr">
        <is>
          <t>25/C</t>
        </is>
      </c>
      <c r="M5803" s="12" t="inlineStr">
        <is>
          <t>14</t>
        </is>
      </c>
      <c r="N5803" s="12" t="n">
        <v>1</v>
      </c>
      <c r="O5803" s="12" t="n">
        <v>1</v>
      </c>
      <c r="P5803" s="12" t="n"/>
      <c r="Q5803" s="12" t="n"/>
      <c r="R5803" s="12" t="n"/>
      <c r="S5803" s="12" t="inlineStr">
        <is>
          <t>Duct bank</t>
        </is>
      </c>
      <c r="T5803" s="15" t="n">
        <v>50</v>
      </c>
      <c r="U5803" s="15" t="n">
        <v>97</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K-C-0069</t>
        </is>
      </c>
      <c r="B5804" s="12" t="inlineStr">
        <is>
          <t>K</t>
        </is>
      </c>
      <c r="C5804" s="12" t="inlineStr">
        <is>
          <t>Fuel supply (adjacent market)</t>
        </is>
      </c>
      <c r="D5804" s="12" t="inlineStr">
        <is>
          <t>Motor 1 of 1: control / local station</t>
        </is>
      </c>
      <c r="E5804" s="12" t="inlineStr"/>
      <c r="F5804" s="12" t="inlineStr">
        <is>
          <t>H2 20: 13.8 kV e-house</t>
        </is>
      </c>
      <c r="G5804" s="12" t="inlineStr"/>
      <c r="H5804" s="12" t="inlineStr">
        <is>
          <t>H2 27: storage tube bank (~40 ft tubes)</t>
        </is>
      </c>
      <c r="I5804" s="12" t="inlineStr">
        <is>
          <t>Control</t>
        </is>
      </c>
      <c r="J5804" s="12" t="inlineStr">
        <is>
          <t>ARMOR-X MC-HL 600 V control, Cu #14 AWG (Class I Div 2)</t>
        </is>
      </c>
      <c r="K5804" s="12" t="inlineStr">
        <is>
          <t>CTAX|7/C|14</t>
        </is>
      </c>
      <c r="L5804" s="12" t="inlineStr">
        <is>
          <t>7/C</t>
        </is>
      </c>
      <c r="M5804" s="12" t="inlineStr">
        <is>
          <t>14</t>
        </is>
      </c>
      <c r="N5804" s="12" t="n">
        <v>1</v>
      </c>
      <c r="O5804" s="12" t="n">
        <v>1</v>
      </c>
      <c r="P5804" s="12" t="n"/>
      <c r="Q5804" s="12" t="n"/>
      <c r="R5804" s="12" t="n"/>
      <c r="S5804" s="12" t="inlineStr">
        <is>
          <t>Duct bank</t>
        </is>
      </c>
      <c r="T5804" s="15" t="n">
        <v>50</v>
      </c>
      <c r="U5804" s="15" t="n">
        <v>117</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K-C-0070</t>
        </is>
      </c>
      <c r="B5805" s="12" t="inlineStr">
        <is>
          <t>K</t>
        </is>
      </c>
      <c r="C5805" s="12" t="inlineStr">
        <is>
          <t>Fuel supply (adjacent market)</t>
        </is>
      </c>
      <c r="D5805" s="12" t="inlineStr">
        <is>
          <t>Solenoid to JB JB-H2 27: storage tub-SOL01: 2 x 2/C (field cables)</t>
        </is>
      </c>
      <c r="E5805" s="12" t="inlineStr"/>
      <c r="F5805" s="12" t="inlineStr">
        <is>
          <t>H2 27: storage tube bank (~40 ft tubes)</t>
        </is>
      </c>
      <c r="G5805" s="12" t="inlineStr">
        <is>
          <t>JB-H2 27: storage tub-SOL01</t>
        </is>
      </c>
      <c r="H5805" s="12" t="inlineStr">
        <is>
          <t>H2 27: storage tube bank (~40 ft tubes)</t>
        </is>
      </c>
      <c r="I5805" s="12" t="inlineStr">
        <is>
          <t>Control</t>
        </is>
      </c>
      <c r="J5805" s="12" t="inlineStr">
        <is>
          <t>ARMOR-X MC-HL 600 V control, Cu #14 AWG (Class I Div 2)</t>
        </is>
      </c>
      <c r="K5805" s="12" t="inlineStr">
        <is>
          <t>CTAX|2/C|14</t>
        </is>
      </c>
      <c r="L5805" s="12" t="inlineStr">
        <is>
          <t>2/C</t>
        </is>
      </c>
      <c r="M5805" s="12" t="inlineStr">
        <is>
          <t>14</t>
        </is>
      </c>
      <c r="N5805" s="12" t="n">
        <v>2</v>
      </c>
      <c r="O5805" s="12" t="n">
        <v>1</v>
      </c>
      <c r="P5805" s="12" t="n"/>
      <c r="Q5805" s="12" t="n"/>
      <c r="R5805" s="12" t="n"/>
      <c r="S5805" s="12" t="inlineStr">
        <is>
          <t>Tray / conduit</t>
        </is>
      </c>
      <c r="T5805" s="15" t="n">
        <v>54</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K-C-0071</t>
        </is>
      </c>
      <c r="B5806" s="12" t="inlineStr">
        <is>
          <t>K</t>
        </is>
      </c>
      <c r="C5806" s="12" t="inlineStr">
        <is>
          <t>Fuel supply (adjacent market)</t>
        </is>
      </c>
      <c r="D5806" s="12" t="inlineStr">
        <is>
          <t>Home run JB-H2 27: storage tub-SOL01 to the control / marshalling room</t>
        </is>
      </c>
      <c r="E5806" s="12" t="inlineStr"/>
      <c r="F5806" s="12" t="inlineStr">
        <is>
          <t>H2 20: 13.8 kV e-house</t>
        </is>
      </c>
      <c r="G5806" s="12" t="inlineStr">
        <is>
          <t>JB-H2 27: storage tub-SOL01</t>
        </is>
      </c>
      <c r="H5806" s="12" t="inlineStr">
        <is>
          <t>H2 27: storage tube bank (~40 ft tubes)</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50</v>
      </c>
      <c r="U5806" s="15" t="n">
        <v>117</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K-C-0072</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28: N2 purge supply</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53</v>
      </c>
      <c r="U5807" s="15" t="n">
        <v>36</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K-C-0073</t>
        </is>
      </c>
      <c r="B5808" s="12" t="inlineStr">
        <is>
          <t>K</t>
        </is>
      </c>
      <c r="C5808" s="12" t="inlineStr">
        <is>
          <t>Fuel supply (adjacent market)</t>
        </is>
      </c>
      <c r="D5808" s="12" t="inlineStr">
        <is>
          <t>Solenoid to JB JB-H2 28: N2 purge su-SOL01: 2 x 2/C (field cables)</t>
        </is>
      </c>
      <c r="E5808" s="12" t="inlineStr"/>
      <c r="F5808" s="12" t="inlineStr">
        <is>
          <t>H2 28: N2 purge supply</t>
        </is>
      </c>
      <c r="G5808" s="12" t="inlineStr">
        <is>
          <t>JB-H2 28: N2 purge su-SOL01</t>
        </is>
      </c>
      <c r="H5808" s="12" t="inlineStr">
        <is>
          <t>H2 28: N2 purge supply</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5" t="n">
        <v>56</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K-C-0074</t>
        </is>
      </c>
      <c r="B5809" s="12" t="inlineStr">
        <is>
          <t>K</t>
        </is>
      </c>
      <c r="C5809" s="12" t="inlineStr">
        <is>
          <t>Fuel supply (adjacent market)</t>
        </is>
      </c>
      <c r="D5809" s="12" t="inlineStr">
        <is>
          <t>Home run JB-H2 28: N2 purge su-SOL01 to the control / marshalling room</t>
        </is>
      </c>
      <c r="E5809" s="12" t="inlineStr"/>
      <c r="F5809" s="12" t="inlineStr">
        <is>
          <t>H2 20: 13.8 kV e-house</t>
        </is>
      </c>
      <c r="G5809" s="12" t="inlineStr">
        <is>
          <t>JB-H2 28: N2 purge su-SOL01</t>
        </is>
      </c>
      <c r="H5809" s="12" t="inlineStr">
        <is>
          <t>H2 28: N2 purge supply</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5" t="n">
        <v>53</v>
      </c>
      <c r="U5809" s="15" t="n">
        <v>36</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K-C-0075</t>
        </is>
      </c>
      <c r="B5810" s="12" t="inlineStr">
        <is>
          <t>K</t>
        </is>
      </c>
      <c r="C5810" s="12" t="inlineStr">
        <is>
          <t>Fuel supply (adjacent market)</t>
        </is>
      </c>
      <c r="D5810" s="12" t="inlineStr">
        <is>
          <t>Motor 1 of 1: control / local station</t>
        </is>
      </c>
      <c r="E5810" s="12" t="inlineStr"/>
      <c r="F5810" s="12" t="inlineStr">
        <is>
          <t>H2 20: 13.8 kV e-house</t>
        </is>
      </c>
      <c r="G5810" s="12" t="inlineStr"/>
      <c r="H5810" s="12" t="inlineStr">
        <is>
          <t>H2 29: vent stack</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5" t="n">
        <v>55</v>
      </c>
      <c r="U5810" s="15" t="n">
        <v>205</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K-C-0076</t>
        </is>
      </c>
      <c r="B5811" s="12" t="inlineStr">
        <is>
          <t>K</t>
        </is>
      </c>
      <c r="C5811" s="12" t="inlineStr">
        <is>
          <t>Fuel supply (adjacent market)</t>
        </is>
      </c>
      <c r="D5811" s="12" t="inlineStr">
        <is>
          <t>Solenoid to JB JB-H2 29: vent stack-SOL01: 2 x 2/C (field cables)</t>
        </is>
      </c>
      <c r="E5811" s="12" t="inlineStr"/>
      <c r="F5811" s="12" t="inlineStr">
        <is>
          <t>H2 29: vent stack</t>
        </is>
      </c>
      <c r="G5811" s="12" t="inlineStr">
        <is>
          <t>JB-H2 29: vent stack-SOL01</t>
        </is>
      </c>
      <c r="H5811" s="12" t="inlineStr">
        <is>
          <t>H2 29: vent stack</t>
        </is>
      </c>
      <c r="I5811" s="12" t="inlineStr">
        <is>
          <t>Control</t>
        </is>
      </c>
      <c r="J5811" s="12" t="inlineStr">
        <is>
          <t>ARMOR-X MC-HL 600 V control, Cu #14 AWG (Class I Div 2)</t>
        </is>
      </c>
      <c r="K5811" s="12" t="inlineStr">
        <is>
          <t>CTAX|2/C|14</t>
        </is>
      </c>
      <c r="L5811" s="12" t="inlineStr">
        <is>
          <t>2/C</t>
        </is>
      </c>
      <c r="M5811" s="12" t="inlineStr">
        <is>
          <t>14</t>
        </is>
      </c>
      <c r="N5811" s="12" t="n">
        <v>2</v>
      </c>
      <c r="O5811" s="12" t="n">
        <v>1</v>
      </c>
      <c r="P5811" s="12" t="n"/>
      <c r="Q5811" s="12" t="n"/>
      <c r="R5811" s="12" t="n"/>
      <c r="S5811" s="12" t="inlineStr">
        <is>
          <t>Tray / conduit</t>
        </is>
      </c>
      <c r="T5811" s="15" t="n">
        <v>45</v>
      </c>
      <c r="U5811" s="15" t="n">
        <v>10</v>
      </c>
      <c r="V5811" s="15">
        <f>ROUNDUP((T5811+U5811+2*'Read Me'!$B$13)*(1+'Read Me'!$B$12),-1)</f>
        <v/>
      </c>
      <c r="W5811" s="15">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K-C-0077</t>
        </is>
      </c>
      <c r="B5812" s="12" t="inlineStr">
        <is>
          <t>K</t>
        </is>
      </c>
      <c r="C5812" s="12" t="inlineStr">
        <is>
          <t>Fuel supply (adjacent market)</t>
        </is>
      </c>
      <c r="D5812" s="12" t="inlineStr">
        <is>
          <t>Home run JB-H2 29: vent stack-SOL01 to the control / marshalling room</t>
        </is>
      </c>
      <c r="E5812" s="12" t="inlineStr"/>
      <c r="F5812" s="12" t="inlineStr">
        <is>
          <t>H2 20: 13.8 kV e-house</t>
        </is>
      </c>
      <c r="G5812" s="12" t="inlineStr">
        <is>
          <t>JB-H2 29: vent stack-SOL01</t>
        </is>
      </c>
      <c r="H5812" s="12" t="inlineStr">
        <is>
          <t>H2 29: vent stack</t>
        </is>
      </c>
      <c r="I5812" s="12" t="inlineStr">
        <is>
          <t>Control</t>
        </is>
      </c>
      <c r="J5812" s="12" t="inlineStr">
        <is>
          <t>ARMOR-X MC-HL 600 V control, Cu #14 AWG (Class I Div 2)</t>
        </is>
      </c>
      <c r="K5812" s="12" t="inlineStr">
        <is>
          <t>CTAX|25/C|14</t>
        </is>
      </c>
      <c r="L5812" s="12" t="inlineStr">
        <is>
          <t>25/C</t>
        </is>
      </c>
      <c r="M5812" s="12" t="inlineStr">
        <is>
          <t>14</t>
        </is>
      </c>
      <c r="N5812" s="12" t="n">
        <v>1</v>
      </c>
      <c r="O5812" s="12" t="n">
        <v>1</v>
      </c>
      <c r="P5812" s="12" t="n"/>
      <c r="Q5812" s="12" t="n"/>
      <c r="R5812" s="12" t="n"/>
      <c r="S5812" s="12" t="inlineStr">
        <is>
          <t>Duct bank</t>
        </is>
      </c>
      <c r="T5812" s="15" t="n">
        <v>55</v>
      </c>
      <c r="U5812" s="15" t="n">
        <v>205</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K-C-0078</t>
        </is>
      </c>
      <c r="B5813" s="12" t="inlineStr">
        <is>
          <t>K</t>
        </is>
      </c>
      <c r="C5813" s="12" t="inlineStr">
        <is>
          <t>Fuel supply (adjacent market)</t>
        </is>
      </c>
      <c r="D5813" s="12" t="inlineStr">
        <is>
          <t>Motor 1 of 1: control / local station</t>
        </is>
      </c>
      <c r="E5813" s="12" t="inlineStr"/>
      <c r="F5813" s="12" t="inlineStr">
        <is>
          <t>LNG 17: LNG e-house (13.8 kV / 480 V)</t>
        </is>
      </c>
      <c r="G5813" s="12" t="inlineStr"/>
      <c r="H5813" s="12" t="inlineStr">
        <is>
          <t>H2 30: H2 / gas blending station (plant gas yard)</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994</v>
      </c>
      <c r="U5813" s="15" t="n">
        <v>114</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K-C-0079</t>
        </is>
      </c>
      <c r="B5814" s="12" t="inlineStr">
        <is>
          <t>K</t>
        </is>
      </c>
      <c r="C5814" s="12" t="inlineStr">
        <is>
          <t>Fuel supply (adjacent market)</t>
        </is>
      </c>
      <c r="D5814" s="12" t="inlineStr">
        <is>
          <t>Solenoid to JB JB-H2 30: H2 / gas bl-SOL01: 2 x 2/C (field cables)</t>
        </is>
      </c>
      <c r="E5814" s="12" t="inlineStr"/>
      <c r="F5814" s="12" t="inlineStr">
        <is>
          <t>H2 30: H2 / gas blending station (plant gas yard)</t>
        </is>
      </c>
      <c r="G5814" s="12" t="inlineStr">
        <is>
          <t>JB-H2 30: H2 / gas bl-SOL01</t>
        </is>
      </c>
      <c r="H5814" s="12" t="inlineStr">
        <is>
          <t>H2 30: H2 / gas blending station (plant gas yard)</t>
        </is>
      </c>
      <c r="I5814" s="12" t="inlineStr">
        <is>
          <t>Control</t>
        </is>
      </c>
      <c r="J5814" s="12" t="inlineStr">
        <is>
          <t>ARMOR-X MC-HL 600 V control, Cu #14 AWG (Class I Div 2)</t>
        </is>
      </c>
      <c r="K5814" s="12" t="inlineStr">
        <is>
          <t>CTAX|2/C|14</t>
        </is>
      </c>
      <c r="L5814" s="12" t="inlineStr">
        <is>
          <t>2/C</t>
        </is>
      </c>
      <c r="M5814" s="12" t="inlineStr">
        <is>
          <t>14</t>
        </is>
      </c>
      <c r="N5814" s="12" t="n">
        <v>2</v>
      </c>
      <c r="O5814" s="12" t="n">
        <v>1</v>
      </c>
      <c r="P5814" s="12" t="n"/>
      <c r="Q5814" s="12" t="n"/>
      <c r="R5814" s="12" t="n"/>
      <c r="S5814" s="12" t="inlineStr">
        <is>
          <t>Tray / conduit</t>
        </is>
      </c>
      <c r="T5814" s="15" t="n">
        <v>129</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K-C-0080</t>
        </is>
      </c>
      <c r="B5815" s="12" t="inlineStr">
        <is>
          <t>K</t>
        </is>
      </c>
      <c r="C5815" s="12" t="inlineStr">
        <is>
          <t>Fuel supply (adjacent market)</t>
        </is>
      </c>
      <c r="D5815" s="12" t="inlineStr">
        <is>
          <t>Home run JB-H2 30: H2 / gas bl-SOL01 to the control / marshalling room</t>
        </is>
      </c>
      <c r="E5815" s="12" t="inlineStr"/>
      <c r="F5815" s="12" t="inlineStr">
        <is>
          <t>LNG 17: LNG e-house (13.8 kV / 480 V)</t>
        </is>
      </c>
      <c r="G5815" s="12" t="inlineStr">
        <is>
          <t>JB-H2 30: H2 / gas bl-SOL01</t>
        </is>
      </c>
      <c r="H5815" s="12" t="inlineStr">
        <is>
          <t>H2 30: H2 / gas blending station (plant gas yard)</t>
        </is>
      </c>
      <c r="I5815" s="12" t="inlineStr">
        <is>
          <t>Control</t>
        </is>
      </c>
      <c r="J5815" s="12" t="inlineStr">
        <is>
          <t>ARMOR-X MC-HL 600 V control, Cu #14 AWG (Class I Div 2)</t>
        </is>
      </c>
      <c r="K5815" s="12" t="inlineStr">
        <is>
          <t>CTAX|25/C|14</t>
        </is>
      </c>
      <c r="L5815" s="12" t="inlineStr">
        <is>
          <t>25/C</t>
        </is>
      </c>
      <c r="M5815" s="12" t="inlineStr">
        <is>
          <t>14</t>
        </is>
      </c>
      <c r="N5815" s="12" t="n">
        <v>1</v>
      </c>
      <c r="O5815" s="12" t="n">
        <v>1</v>
      </c>
      <c r="P5815" s="12" t="n"/>
      <c r="Q5815" s="12" t="n"/>
      <c r="R5815" s="12" t="n"/>
      <c r="S5815" s="12" t="inlineStr">
        <is>
          <t>Duct bank</t>
        </is>
      </c>
      <c r="T5815" s="15" t="n">
        <v>994</v>
      </c>
      <c r="U5815" s="15" t="n">
        <v>114</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K-C-0081</t>
        </is>
      </c>
      <c r="B5816" s="12" t="inlineStr">
        <is>
          <t>K</t>
        </is>
      </c>
      <c r="C5816" s="12" t="inlineStr">
        <is>
          <t>Fuel supply (adjacent market)</t>
        </is>
      </c>
      <c r="D5816" s="12" t="inlineStr">
        <is>
          <t>Motor 1 of 2: control / local station</t>
        </is>
      </c>
      <c r="E5816" s="12" t="inlineStr"/>
      <c r="F5816" s="12" t="inlineStr">
        <is>
          <t>H2 20: 13.8 kV e-house</t>
        </is>
      </c>
      <c r="G5816" s="12" t="inlineStr"/>
      <c r="H5816" s="12" t="inlineStr">
        <is>
          <t>H2 pipe track and cable trench, hall -&gt; dryer / compressors (N2, instr</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53</v>
      </c>
      <c r="U5816" s="15" t="n">
        <v>62</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K-C-0082</t>
        </is>
      </c>
      <c r="B5817" s="12" t="inlineStr">
        <is>
          <t>K</t>
        </is>
      </c>
      <c r="C5817" s="12" t="inlineStr">
        <is>
          <t>Fuel supply (adjacent market)</t>
        </is>
      </c>
      <c r="D5817" s="12" t="inlineStr">
        <is>
          <t>Motor 2 of 2: control / local station</t>
        </is>
      </c>
      <c r="E5817" s="12" t="inlineStr"/>
      <c r="F5817" s="12" t="inlineStr">
        <is>
          <t>H2 20: 13.8 kV e-house</t>
        </is>
      </c>
      <c r="G5817" s="12" t="inlineStr"/>
      <c r="H5817" s="12" t="inlineStr">
        <is>
          <t>H2 pipe track and cable trench, hall -&gt; dryer / compressors (N2, instr</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53</v>
      </c>
      <c r="U5817" s="15" t="n">
        <v>62</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K-C-0083</t>
        </is>
      </c>
      <c r="B5818" s="12" t="inlineStr">
        <is>
          <t>K</t>
        </is>
      </c>
      <c r="C5818" s="12" t="inlineStr">
        <is>
          <t>Fuel supply (adjacent market)</t>
        </is>
      </c>
      <c r="D5818" s="12" t="inlineStr">
        <is>
          <t>Control</t>
        </is>
      </c>
      <c r="E5818" s="12" t="inlineStr"/>
      <c r="F5818" s="12" t="inlineStr">
        <is>
          <t>H2 20: 13.8 kV e-house</t>
        </is>
      </c>
      <c r="G5818" s="12" t="inlineStr">
        <is>
          <t>H2-ST</t>
        </is>
      </c>
      <c r="H5818" s="12" t="inlineStr">
        <is>
          <t>H2 storage tube banks x4</t>
        </is>
      </c>
      <c r="I5818" s="12" t="inlineStr">
        <is>
          <t>Control</t>
        </is>
      </c>
      <c r="J5818" s="12" t="inlineStr">
        <is>
          <t>ARMOR-X MC-HL 600 V control, Cu #14 AWG (Class I Div 2)</t>
        </is>
      </c>
      <c r="K5818" s="12" t="inlineStr">
        <is>
          <t>CTAX|7/C|14</t>
        </is>
      </c>
      <c r="L5818" s="12" t="inlineStr">
        <is>
          <t>7/C</t>
        </is>
      </c>
      <c r="M5818" s="12" t="inlineStr">
        <is>
          <t>14</t>
        </is>
      </c>
      <c r="N5818" s="12" t="n">
        <v>1</v>
      </c>
      <c r="O5818" s="12" t="n">
        <v>1</v>
      </c>
      <c r="P5818" s="12" t="n"/>
      <c r="Q5818" s="12" t="n"/>
      <c r="R5818" s="12" t="n"/>
      <c r="S5818" s="12" t="inlineStr">
        <is>
          <t>Duct bank</t>
        </is>
      </c>
      <c r="T5818" s="15" t="n">
        <v>50</v>
      </c>
      <c r="U5818" s="15" t="n">
        <v>92</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K-C-0084</t>
        </is>
      </c>
      <c r="B5819" s="12" t="inlineStr">
        <is>
          <t>K</t>
        </is>
      </c>
      <c r="C5819" s="12" t="inlineStr">
        <is>
          <t>Fuel supply (adjacent market)</t>
        </is>
      </c>
      <c r="D5819" s="12" t="inlineStr">
        <is>
          <t>Motor 1 of 1: control / local station</t>
        </is>
      </c>
      <c r="E5819" s="12" t="inlineStr"/>
      <c r="F5819" s="12" t="inlineStr">
        <is>
          <t>LNG 17: LNG e-house (13.8 kV / 480 V)</t>
        </is>
      </c>
      <c r="G5819" s="12" t="inlineStr"/>
      <c r="H5819" s="12" t="inlineStr">
        <is>
          <t>LNG 10: truck unloading bay 1</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237</v>
      </c>
      <c r="U5819" s="15" t="n">
        <v>61</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K-C-0085</t>
        </is>
      </c>
      <c r="B5820" s="12" t="inlineStr">
        <is>
          <t>K</t>
        </is>
      </c>
      <c r="C5820" s="12" t="inlineStr">
        <is>
          <t>Fuel supply (adjacent market)</t>
        </is>
      </c>
      <c r="D5820" s="12" t="inlineStr">
        <is>
          <t>Solenoid to JB JB-LNG 10: truck unlo-SOL01: 2 x 2/C (field cables)</t>
        </is>
      </c>
      <c r="E5820" s="12" t="inlineStr"/>
      <c r="F5820" s="12" t="inlineStr">
        <is>
          <t>LNG 10: truck unloading bay 1</t>
        </is>
      </c>
      <c r="G5820" s="12" t="inlineStr">
        <is>
          <t>JB-LNG 10: truck unlo-SOL01</t>
        </is>
      </c>
      <c r="H5820" s="12" t="inlineStr">
        <is>
          <t>LNG 10: truck unloading bay 1</t>
        </is>
      </c>
      <c r="I5820" s="12" t="inlineStr">
        <is>
          <t>Control</t>
        </is>
      </c>
      <c r="J5820" s="12" t="inlineStr">
        <is>
          <t>ARMOR-X MC-HL 600 V control, Cu #14 AWG (Class I Div 2)</t>
        </is>
      </c>
      <c r="K5820" s="12" t="inlineStr">
        <is>
          <t>CTAX|2/C|14</t>
        </is>
      </c>
      <c r="L5820" s="12" t="inlineStr">
        <is>
          <t>2/C</t>
        </is>
      </c>
      <c r="M5820" s="12" t="inlineStr">
        <is>
          <t>14</t>
        </is>
      </c>
      <c r="N5820" s="12" t="n">
        <v>2</v>
      </c>
      <c r="O5820" s="12" t="n">
        <v>1</v>
      </c>
      <c r="P5820" s="12" t="n"/>
      <c r="Q5820" s="12" t="n"/>
      <c r="R5820" s="12" t="n"/>
      <c r="S5820" s="12" t="inlineStr">
        <is>
          <t>Tray / conduit</t>
        </is>
      </c>
      <c r="T5820" s="15" t="n">
        <v>80</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K-C-0086</t>
        </is>
      </c>
      <c r="B5821" s="12" t="inlineStr">
        <is>
          <t>K</t>
        </is>
      </c>
      <c r="C5821" s="12" t="inlineStr">
        <is>
          <t>Fuel supply (adjacent market)</t>
        </is>
      </c>
      <c r="D5821" s="12" t="inlineStr">
        <is>
          <t>Home run JB-LNG 10: truck unlo-SOL01 to the control / marshalling room</t>
        </is>
      </c>
      <c r="E5821" s="12" t="inlineStr"/>
      <c r="F5821" s="12" t="inlineStr">
        <is>
          <t>LNG 17: LNG e-house (13.8 kV / 480 V)</t>
        </is>
      </c>
      <c r="G5821" s="12" t="inlineStr">
        <is>
          <t>JB-LNG 10: truck unlo-SOL01</t>
        </is>
      </c>
      <c r="H5821" s="12" t="inlineStr">
        <is>
          <t>LNG 10: truck unloading bay 1</t>
        </is>
      </c>
      <c r="I5821" s="12" t="inlineStr">
        <is>
          <t>Control</t>
        </is>
      </c>
      <c r="J5821" s="12" t="inlineStr">
        <is>
          <t>ARMOR-X MC-HL 600 V control, Cu #14 AWG (Class I Div 2)</t>
        </is>
      </c>
      <c r="K5821" s="12" t="inlineStr">
        <is>
          <t>CTAX|25/C|14</t>
        </is>
      </c>
      <c r="L5821" s="12" t="inlineStr">
        <is>
          <t>25/C</t>
        </is>
      </c>
      <c r="M5821" s="12" t="inlineStr">
        <is>
          <t>14</t>
        </is>
      </c>
      <c r="N5821" s="12" t="n">
        <v>1</v>
      </c>
      <c r="O5821" s="12" t="n">
        <v>1</v>
      </c>
      <c r="P5821" s="12" t="n"/>
      <c r="Q5821" s="12" t="n"/>
      <c r="R5821" s="12" t="n"/>
      <c r="S5821" s="12" t="inlineStr">
        <is>
          <t>Duct bank</t>
        </is>
      </c>
      <c r="T5821" s="15" t="n">
        <v>237</v>
      </c>
      <c r="U5821" s="15" t="n">
        <v>61</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K-C-0087</t>
        </is>
      </c>
      <c r="B5822" s="12" t="inlineStr">
        <is>
          <t>K</t>
        </is>
      </c>
      <c r="C5822" s="12" t="inlineStr">
        <is>
          <t>Fuel supply (adjacent market)</t>
        </is>
      </c>
      <c r="D5822" s="12" t="inlineStr">
        <is>
          <t>Motor 1 of 1: control / local station</t>
        </is>
      </c>
      <c r="E5822" s="12" t="inlineStr"/>
      <c r="F5822" s="12" t="inlineStr">
        <is>
          <t>LNG 17: LNG e-house (13.8 kV / 480 V)</t>
        </is>
      </c>
      <c r="G5822" s="12" t="inlineStr"/>
      <c r="H5822" s="12" t="inlineStr">
        <is>
          <t>LNG 10: truck unloading bay 2</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147</v>
      </c>
      <c r="U5822" s="15" t="n">
        <v>66</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K-C-0088</t>
        </is>
      </c>
      <c r="B5823" s="12" t="inlineStr">
        <is>
          <t>K</t>
        </is>
      </c>
      <c r="C5823" s="12" t="inlineStr">
        <is>
          <t>Fuel supply (adjacent market)</t>
        </is>
      </c>
      <c r="D5823" s="12" t="inlineStr">
        <is>
          <t>Solenoid to JB JB-LNG 10: truck unlo-SOL01: 2 x 2/C (field cables)</t>
        </is>
      </c>
      <c r="E5823" s="12" t="inlineStr"/>
      <c r="F5823" s="12" t="inlineStr">
        <is>
          <t>LNG 10: truck unloading bay 2</t>
        </is>
      </c>
      <c r="G5823" s="12" t="inlineStr">
        <is>
          <t>JB-LNG 10: truck unlo-SOL01</t>
        </is>
      </c>
      <c r="H5823" s="12" t="inlineStr">
        <is>
          <t>LNG 10: truck unloading bay 2</t>
        </is>
      </c>
      <c r="I5823" s="12" t="inlineStr">
        <is>
          <t>Control</t>
        </is>
      </c>
      <c r="J5823" s="12" t="inlineStr">
        <is>
          <t>ARMOR-X MC-HL 600 V control, Cu #14 AWG (Class I Div 2)</t>
        </is>
      </c>
      <c r="K5823" s="12" t="inlineStr">
        <is>
          <t>CTAX|2/C|14</t>
        </is>
      </c>
      <c r="L5823" s="12" t="inlineStr">
        <is>
          <t>2/C</t>
        </is>
      </c>
      <c r="M5823" s="12" t="inlineStr">
        <is>
          <t>14</t>
        </is>
      </c>
      <c r="N5823" s="12" t="n">
        <v>2</v>
      </c>
      <c r="O5823" s="12" t="n">
        <v>1</v>
      </c>
      <c r="P5823" s="12" t="n"/>
      <c r="Q5823" s="12" t="n"/>
      <c r="R5823" s="12" t="n"/>
      <c r="S5823" s="12" t="inlineStr">
        <is>
          <t>Tray / conduit</t>
        </is>
      </c>
      <c r="T5823" s="15" t="n">
        <v>80</v>
      </c>
      <c r="U5823" s="15" t="n">
        <v>10</v>
      </c>
      <c r="V5823" s="15">
        <f>ROUNDUP((T5823+U5823+2*'Read Me'!$B$13)*(1+'Read Me'!$B$12),-1)</f>
        <v/>
      </c>
      <c r="W5823" s="15">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K-C-0089</t>
        </is>
      </c>
      <c r="B5824" s="12" t="inlineStr">
        <is>
          <t>K</t>
        </is>
      </c>
      <c r="C5824" s="12" t="inlineStr">
        <is>
          <t>Fuel supply (adjacent market)</t>
        </is>
      </c>
      <c r="D5824" s="12" t="inlineStr">
        <is>
          <t>Home run JB-LNG 10: truck unlo-SOL01 to the control / marshalling room</t>
        </is>
      </c>
      <c r="E5824" s="12" t="inlineStr"/>
      <c r="F5824" s="12" t="inlineStr">
        <is>
          <t>LNG 17: LNG e-house (13.8 kV / 480 V)</t>
        </is>
      </c>
      <c r="G5824" s="12" t="inlineStr">
        <is>
          <t>JB-LNG 10: truck unlo-SOL01</t>
        </is>
      </c>
      <c r="H5824" s="12" t="inlineStr">
        <is>
          <t>LNG 10: truck unloading bay 2</t>
        </is>
      </c>
      <c r="I5824" s="12" t="inlineStr">
        <is>
          <t>Control</t>
        </is>
      </c>
      <c r="J5824" s="12" t="inlineStr">
        <is>
          <t>ARMOR-X MC-HL 600 V control, Cu #14 AWG (Class I Div 2)</t>
        </is>
      </c>
      <c r="K5824" s="12" t="inlineStr">
        <is>
          <t>CTAX|25/C|14</t>
        </is>
      </c>
      <c r="L5824" s="12" t="inlineStr">
        <is>
          <t>25/C</t>
        </is>
      </c>
      <c r="M5824" s="12" t="inlineStr">
        <is>
          <t>14</t>
        </is>
      </c>
      <c r="N5824" s="12" t="n">
        <v>1</v>
      </c>
      <c r="O5824" s="12" t="n">
        <v>1</v>
      </c>
      <c r="P5824" s="12" t="n"/>
      <c r="Q5824" s="12" t="n"/>
      <c r="R5824" s="12" t="n"/>
      <c r="S5824" s="12" t="inlineStr">
        <is>
          <t>Duct bank</t>
        </is>
      </c>
      <c r="T5824" s="15" t="n">
        <v>147</v>
      </c>
      <c r="U5824" s="15" t="n">
        <v>66</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K-C-0090</t>
        </is>
      </c>
      <c r="B5825" s="12" t="inlineStr">
        <is>
          <t>K</t>
        </is>
      </c>
      <c r="C5825" s="12" t="inlineStr">
        <is>
          <t>Fuel supply (adjacent market)</t>
        </is>
      </c>
      <c r="D5825" s="12" t="inlineStr">
        <is>
          <t>Motor 1 of 1: control / local station</t>
        </is>
      </c>
      <c r="E5825" s="12" t="inlineStr"/>
      <c r="F5825" s="12" t="inlineStr">
        <is>
          <t>LNG 17: LNG e-house (13.8 kV / 480 V)</t>
        </is>
      </c>
      <c r="G5825" s="12" t="inlineStr"/>
      <c r="H5825" s="12" t="inlineStr">
        <is>
          <t>LNG 10: unloading skid</t>
        </is>
      </c>
      <c r="I5825" s="12" t="inlineStr">
        <is>
          <t>Control</t>
        </is>
      </c>
      <c r="J5825" s="12" t="inlineStr">
        <is>
          <t>ARMOR-X MC-HL 600 V control, Cu #14 AWG (Class I Div 2)</t>
        </is>
      </c>
      <c r="K5825" s="12" t="inlineStr">
        <is>
          <t>CTAX|7/C|14</t>
        </is>
      </c>
      <c r="L5825" s="12" t="inlineStr">
        <is>
          <t>7/C</t>
        </is>
      </c>
      <c r="M5825" s="12" t="inlineStr">
        <is>
          <t>14</t>
        </is>
      </c>
      <c r="N5825" s="12" t="n">
        <v>1</v>
      </c>
      <c r="O5825" s="12" t="n">
        <v>1</v>
      </c>
      <c r="P5825" s="12" t="n"/>
      <c r="Q5825" s="12" t="n"/>
      <c r="R5825" s="12" t="n"/>
      <c r="S5825" s="12" t="inlineStr">
        <is>
          <t>Duct bank</t>
        </is>
      </c>
      <c r="T5825" s="15" t="n">
        <v>237</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K-C-0091</t>
        </is>
      </c>
      <c r="B5826" s="12" t="inlineStr">
        <is>
          <t>K</t>
        </is>
      </c>
      <c r="C5826" s="12" t="inlineStr">
        <is>
          <t>Fuel supply (adjacent market)</t>
        </is>
      </c>
      <c r="D5826" s="12" t="inlineStr">
        <is>
          <t>Solenoid to JB JB-LNG 10: unloading -SOL01: 2 x 2/C (field cables)</t>
        </is>
      </c>
      <c r="E5826" s="12" t="inlineStr"/>
      <c r="F5826" s="12" t="inlineStr">
        <is>
          <t>LNG 10: unloading skid</t>
        </is>
      </c>
      <c r="G5826" s="12" t="inlineStr">
        <is>
          <t>JB-LNG 10: unloading -SOL01</t>
        </is>
      </c>
      <c r="H5826" s="12" t="inlineStr">
        <is>
          <t>LNG 10: unloading skid</t>
        </is>
      </c>
      <c r="I5826" s="12" t="inlineStr">
        <is>
          <t>Control</t>
        </is>
      </c>
      <c r="J5826" s="12" t="inlineStr">
        <is>
          <t>ARMOR-X MC-HL 600 V control, Cu #14 AWG (Class I Div 2)</t>
        </is>
      </c>
      <c r="K5826" s="12" t="inlineStr">
        <is>
          <t>CTAX|2/C|14</t>
        </is>
      </c>
      <c r="L5826" s="12" t="inlineStr">
        <is>
          <t>2/C</t>
        </is>
      </c>
      <c r="M5826" s="12" t="inlineStr">
        <is>
          <t>14</t>
        </is>
      </c>
      <c r="N5826" s="12" t="n">
        <v>2</v>
      </c>
      <c r="O5826" s="12" t="n">
        <v>1</v>
      </c>
      <c r="P5826" s="12" t="n"/>
      <c r="Q5826" s="12" t="n"/>
      <c r="R5826" s="12" t="n"/>
      <c r="S5826" s="12" t="inlineStr">
        <is>
          <t>Tray / conduit</t>
        </is>
      </c>
      <c r="T5826" s="15" t="n">
        <v>54</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K-C-0092</t>
        </is>
      </c>
      <c r="B5827" s="12" t="inlineStr">
        <is>
          <t>K</t>
        </is>
      </c>
      <c r="C5827" s="12" t="inlineStr">
        <is>
          <t>Fuel supply (adjacent market)</t>
        </is>
      </c>
      <c r="D5827" s="12" t="inlineStr">
        <is>
          <t>Home run JB-LNG 10: unloading -SOL01 to the control / marshalling room</t>
        </is>
      </c>
      <c r="E5827" s="12" t="inlineStr"/>
      <c r="F5827" s="12" t="inlineStr">
        <is>
          <t>LNG 17: LNG e-house (13.8 kV / 480 V)</t>
        </is>
      </c>
      <c r="G5827" s="12" t="inlineStr">
        <is>
          <t>JB-LNG 10: unloading -SOL01</t>
        </is>
      </c>
      <c r="H5827" s="12" t="inlineStr">
        <is>
          <t>LNG 10: unloading skid</t>
        </is>
      </c>
      <c r="I5827" s="12" t="inlineStr">
        <is>
          <t>Control</t>
        </is>
      </c>
      <c r="J5827" s="12" t="inlineStr">
        <is>
          <t>ARMOR-X MC-HL 600 V control, Cu #14 AWG (Class I Div 2)</t>
        </is>
      </c>
      <c r="K5827" s="12" t="inlineStr">
        <is>
          <t>CTAX|25/C|14</t>
        </is>
      </c>
      <c r="L5827" s="12" t="inlineStr">
        <is>
          <t>25/C</t>
        </is>
      </c>
      <c r="M5827" s="12" t="inlineStr">
        <is>
          <t>14</t>
        </is>
      </c>
      <c r="N5827" s="12" t="n">
        <v>1</v>
      </c>
      <c r="O5827" s="12" t="n">
        <v>1</v>
      </c>
      <c r="P5827" s="12" t="n"/>
      <c r="Q5827" s="12" t="n"/>
      <c r="R5827" s="12" t="n"/>
      <c r="S5827" s="12" t="inlineStr">
        <is>
          <t>Duct bank</t>
        </is>
      </c>
      <c r="T5827" s="15" t="n">
        <v>237</v>
      </c>
      <c r="U5827" s="15" t="n">
        <v>32</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K-C-0093</t>
        </is>
      </c>
      <c r="B5828" s="12" t="inlineStr">
        <is>
          <t>K</t>
        </is>
      </c>
      <c r="C5828" s="12" t="inlineStr">
        <is>
          <t>Fuel supply (adjacent market)</t>
        </is>
      </c>
      <c r="D5828" s="12" t="inlineStr">
        <is>
          <t>Motor 1 of 1: control / local station</t>
        </is>
      </c>
      <c r="E5828" s="12" t="inlineStr"/>
      <c r="F5828" s="12" t="inlineStr">
        <is>
          <t>LNG 17: LNG e-house (13.8 kV / 480 V)</t>
        </is>
      </c>
      <c r="G5828" s="12" t="inlineStr"/>
      <c r="H5828" s="12" t="inlineStr">
        <is>
          <t>LNG 12: spill impoundment (NFPA 59A, to verify)</t>
        </is>
      </c>
      <c r="I5828" s="12" t="inlineStr">
        <is>
          <t>Control</t>
        </is>
      </c>
      <c r="J5828" s="12" t="inlineStr">
        <is>
          <t>ARMOR-X MC-HL 600 V control, Cu #14 AWG (Class I Div 2)</t>
        </is>
      </c>
      <c r="K5828" s="12" t="inlineStr">
        <is>
          <t>CTAX|7/C|14</t>
        </is>
      </c>
      <c r="L5828" s="12" t="inlineStr">
        <is>
          <t>7/C</t>
        </is>
      </c>
      <c r="M5828" s="12" t="inlineStr">
        <is>
          <t>14</t>
        </is>
      </c>
      <c r="N5828" s="12" t="n">
        <v>1</v>
      </c>
      <c r="O5828" s="12" t="n">
        <v>1</v>
      </c>
      <c r="P5828" s="12" t="n"/>
      <c r="Q5828" s="12" t="n"/>
      <c r="R5828" s="12" t="n"/>
      <c r="S5828" s="12" t="inlineStr">
        <is>
          <t>Duct bank</t>
        </is>
      </c>
      <c r="T5828" s="15" t="n">
        <v>230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K-C-0094</t>
        </is>
      </c>
      <c r="B5829" s="12" t="inlineStr">
        <is>
          <t>K</t>
        </is>
      </c>
      <c r="C5829" s="12" t="inlineStr">
        <is>
          <t>Fuel supply (adjacent market)</t>
        </is>
      </c>
      <c r="D5829" s="12" t="inlineStr">
        <is>
          <t>Solenoid to JB JB-LNG 12: spill impo-SOL01: 2 x 2/C (field cables)</t>
        </is>
      </c>
      <c r="E5829" s="12" t="inlineStr"/>
      <c r="F5829" s="12" t="inlineStr">
        <is>
          <t>LNG 12: spill impoundment (NFPA 59A, to verify)</t>
        </is>
      </c>
      <c r="G5829" s="12" t="inlineStr">
        <is>
          <t>JB-LNG 12: spill impo-SOL01</t>
        </is>
      </c>
      <c r="H5829" s="12" t="inlineStr">
        <is>
          <t>LNG 12: spill impoundment (NFPA 59A, to verify)</t>
        </is>
      </c>
      <c r="I5829" s="12" t="inlineStr">
        <is>
          <t>Control</t>
        </is>
      </c>
      <c r="J5829" s="12" t="inlineStr">
        <is>
          <t>ARMOR-X MC-HL 600 V control, Cu #14 AWG (Class I Div 2)</t>
        </is>
      </c>
      <c r="K5829" s="12" t="inlineStr">
        <is>
          <t>CTAX|2/C|14</t>
        </is>
      </c>
      <c r="L5829" s="12" t="inlineStr">
        <is>
          <t>2/C</t>
        </is>
      </c>
      <c r="M5829" s="12" t="inlineStr">
        <is>
          <t>14</t>
        </is>
      </c>
      <c r="N5829" s="12" t="n">
        <v>2</v>
      </c>
      <c r="O5829" s="12" t="n">
        <v>1</v>
      </c>
      <c r="P5829" s="12" t="n"/>
      <c r="Q5829" s="12" t="n"/>
      <c r="R5829" s="12" t="n"/>
      <c r="S5829" s="12" t="inlineStr">
        <is>
          <t>Tray / conduit</t>
        </is>
      </c>
      <c r="T5829" s="15" t="n">
        <v>170</v>
      </c>
      <c r="U5829" s="15" t="n">
        <v>10</v>
      </c>
      <c r="V5829" s="15">
        <f>ROUNDUP((T5829+U5829+2*'Read Me'!$B$13)*(1+'Read Me'!$B$12),-1)</f>
        <v/>
      </c>
      <c r="W5829" s="15">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K-C-0095</t>
        </is>
      </c>
      <c r="B5830" s="12" t="inlineStr">
        <is>
          <t>K</t>
        </is>
      </c>
      <c r="C5830" s="12" t="inlineStr">
        <is>
          <t>Fuel supply (adjacent market)</t>
        </is>
      </c>
      <c r="D5830" s="12" t="inlineStr">
        <is>
          <t>Home run JB-LNG 12: spill impo-SOL01 to the control / marshalling room</t>
        </is>
      </c>
      <c r="E5830" s="12" t="inlineStr"/>
      <c r="F5830" s="12" t="inlineStr">
        <is>
          <t>LNG 17: LNG e-house (13.8 kV / 480 V)</t>
        </is>
      </c>
      <c r="G5830" s="12" t="inlineStr">
        <is>
          <t>JB-LNG 12: spill impo-SOL01</t>
        </is>
      </c>
      <c r="H5830" s="12" t="inlineStr">
        <is>
          <t>LNG 12: spill impoundment (NFPA 59A, to verify)</t>
        </is>
      </c>
      <c r="I5830" s="12" t="inlineStr">
        <is>
          <t>Control</t>
        </is>
      </c>
      <c r="J5830" s="12" t="inlineStr">
        <is>
          <t>ARMOR-X MC-HL 600 V control, Cu #14 AWG (Class I Div 2)</t>
        </is>
      </c>
      <c r="K5830" s="12" t="inlineStr">
        <is>
          <t>CTAX|25/C|14</t>
        </is>
      </c>
      <c r="L5830" s="12" t="inlineStr">
        <is>
          <t>25/C</t>
        </is>
      </c>
      <c r="M5830" s="12" t="inlineStr">
        <is>
          <t>14</t>
        </is>
      </c>
      <c r="N5830" s="12" t="n">
        <v>1</v>
      </c>
      <c r="O5830" s="12" t="n">
        <v>1</v>
      </c>
      <c r="P5830" s="12" t="n"/>
      <c r="Q5830" s="12" t="n"/>
      <c r="R5830" s="12" t="n"/>
      <c r="S5830" s="12" t="inlineStr">
        <is>
          <t>Duct bank</t>
        </is>
      </c>
      <c r="T5830" s="15" t="n">
        <v>230</v>
      </c>
      <c r="U5830" s="15" t="n">
        <v>32</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K-C-0096</t>
        </is>
      </c>
      <c r="B5831" s="12" t="inlineStr">
        <is>
          <t>K</t>
        </is>
      </c>
      <c r="C5831" s="12" t="inlineStr">
        <is>
          <t>Fuel supply (adjacent market)</t>
        </is>
      </c>
      <c r="D5831" s="12" t="inlineStr">
        <is>
          <t>Motor 1 of 1: control / local station</t>
        </is>
      </c>
      <c r="E5831" s="12" t="inlineStr"/>
      <c r="F5831" s="12" t="inlineStr">
        <is>
          <t>LNG 17: LNG e-house (13.8 kV / 480 V)</t>
        </is>
      </c>
      <c r="G5831" s="12" t="inlineStr"/>
      <c r="H5831" s="12" t="inlineStr">
        <is>
          <t>LNG 13: send-out pumps 2 x 100%</t>
        </is>
      </c>
      <c r="I5831" s="12" t="inlineStr">
        <is>
          <t>Control</t>
        </is>
      </c>
      <c r="J5831" s="12" t="inlineStr">
        <is>
          <t>ARMOR-X MC-HL 600 V control, Cu #14 AWG (Class I Div 2)</t>
        </is>
      </c>
      <c r="K5831" s="12" t="inlineStr">
        <is>
          <t>CTAX|7/C|14</t>
        </is>
      </c>
      <c r="L5831" s="12" t="inlineStr">
        <is>
          <t>7/C</t>
        </is>
      </c>
      <c r="M5831" s="12" t="inlineStr">
        <is>
          <t>14</t>
        </is>
      </c>
      <c r="N5831" s="12" t="n">
        <v>1</v>
      </c>
      <c r="O5831" s="12" t="n">
        <v>1</v>
      </c>
      <c r="P5831" s="12" t="n"/>
      <c r="Q5831" s="12" t="n"/>
      <c r="R5831" s="12" t="n"/>
      <c r="S5831" s="12" t="inlineStr">
        <is>
          <t>Duct bank</t>
        </is>
      </c>
      <c r="T5831" s="15" t="n">
        <v>110</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K-C-0097</t>
        </is>
      </c>
      <c r="B5832" s="12" t="inlineStr">
        <is>
          <t>K</t>
        </is>
      </c>
      <c r="C5832" s="12" t="inlineStr">
        <is>
          <t>Fuel supply (adjacent market)</t>
        </is>
      </c>
      <c r="D5832" s="12" t="inlineStr">
        <is>
          <t>Solenoid to JB JB-LNG 13: send-out p-SOL01: 2 x 2/C (field cables)</t>
        </is>
      </c>
      <c r="E5832" s="12" t="inlineStr"/>
      <c r="F5832" s="12" t="inlineStr">
        <is>
          <t>LNG 13: send-out pumps 2 x 100%</t>
        </is>
      </c>
      <c r="G5832" s="12" t="inlineStr">
        <is>
          <t>JB-LNG 13: send-out p-SOL01</t>
        </is>
      </c>
      <c r="H5832" s="12" t="inlineStr">
        <is>
          <t>LNG 13: send-out pumps 2 x 100%</t>
        </is>
      </c>
      <c r="I5832" s="12" t="inlineStr">
        <is>
          <t>Control</t>
        </is>
      </c>
      <c r="J5832" s="12" t="inlineStr">
        <is>
          <t>ARMOR-X MC-HL 600 V control, Cu #14 AWG (Class I Div 2)</t>
        </is>
      </c>
      <c r="K5832" s="12" t="inlineStr">
        <is>
          <t>CTAX|2/C|14</t>
        </is>
      </c>
      <c r="L5832" s="12" t="inlineStr">
        <is>
          <t>2/C</t>
        </is>
      </c>
      <c r="M5832" s="12" t="inlineStr">
        <is>
          <t>14</t>
        </is>
      </c>
      <c r="N5832" s="12" t="n">
        <v>2</v>
      </c>
      <c r="O5832" s="12" t="n">
        <v>1</v>
      </c>
      <c r="P5832" s="12" t="n"/>
      <c r="Q5832" s="12" t="n"/>
      <c r="R5832" s="12" t="n"/>
      <c r="S5832" s="12" t="inlineStr">
        <is>
          <t>Tray / conduit</t>
        </is>
      </c>
      <c r="T5832" s="15" t="n">
        <v>63</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K-C-0098</t>
        </is>
      </c>
      <c r="B5833" s="12" t="inlineStr">
        <is>
          <t>K</t>
        </is>
      </c>
      <c r="C5833" s="12" t="inlineStr">
        <is>
          <t>Fuel supply (adjacent market)</t>
        </is>
      </c>
      <c r="D5833" s="12" t="inlineStr">
        <is>
          <t>Home run JB-LNG 13: send-out p-SOL01 to the control / marshalling room</t>
        </is>
      </c>
      <c r="E5833" s="12" t="inlineStr"/>
      <c r="F5833" s="12" t="inlineStr">
        <is>
          <t>LNG 17: LNG e-house (13.8 kV / 480 V)</t>
        </is>
      </c>
      <c r="G5833" s="12" t="inlineStr">
        <is>
          <t>JB-LNG 13: send-out p-SOL01</t>
        </is>
      </c>
      <c r="H5833" s="12" t="inlineStr">
        <is>
          <t>LNG 13: send-out pumps 2 x 100%</t>
        </is>
      </c>
      <c r="I5833" s="12" t="inlineStr">
        <is>
          <t>Control</t>
        </is>
      </c>
      <c r="J5833" s="12" t="inlineStr">
        <is>
          <t>ARMOR-X MC-HL 600 V control, Cu #14 AWG (Class I Div 2)</t>
        </is>
      </c>
      <c r="K5833" s="12" t="inlineStr">
        <is>
          <t>CTAX|25/C|14</t>
        </is>
      </c>
      <c r="L5833" s="12" t="inlineStr">
        <is>
          <t>25/C</t>
        </is>
      </c>
      <c r="M5833" s="12" t="inlineStr">
        <is>
          <t>14</t>
        </is>
      </c>
      <c r="N5833" s="12" t="n">
        <v>1</v>
      </c>
      <c r="O5833" s="12" t="n">
        <v>1</v>
      </c>
      <c r="P5833" s="12" t="n"/>
      <c r="Q5833" s="12" t="n"/>
      <c r="R5833" s="12" t="n"/>
      <c r="S5833" s="12" t="inlineStr">
        <is>
          <t>Duct bank</t>
        </is>
      </c>
      <c r="T5833" s="15" t="n">
        <v>110</v>
      </c>
      <c r="U5833" s="15" t="n">
        <v>32</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K-C-0099</t>
        </is>
      </c>
      <c r="B5834" s="12" t="inlineStr">
        <is>
          <t>K</t>
        </is>
      </c>
      <c r="C5834" s="12" t="inlineStr">
        <is>
          <t>Fuel supply (adjacent market)</t>
        </is>
      </c>
      <c r="D5834" s="12" t="inlineStr">
        <is>
          <t>Motor 1 of 1: control / local station</t>
        </is>
      </c>
      <c r="E5834" s="12" t="inlineStr"/>
      <c r="F5834" s="12" t="inlineStr">
        <is>
          <t>LNG 17: LNG e-house (13.8 kV / 480 V)</t>
        </is>
      </c>
      <c r="G5834" s="12" t="inlineStr"/>
      <c r="H5834" s="12" t="inlineStr">
        <is>
          <t>LNG 14: vaporizers + glycol heater</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259</v>
      </c>
      <c r="U5834" s="15" t="n">
        <v>32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K-C-0100</t>
        </is>
      </c>
      <c r="B5835" s="12" t="inlineStr">
        <is>
          <t>K</t>
        </is>
      </c>
      <c r="C5835" s="12" t="inlineStr">
        <is>
          <t>Fuel supply (adjacent market)</t>
        </is>
      </c>
      <c r="D5835" s="12" t="inlineStr">
        <is>
          <t>Solenoid to JB JB-LNG 14: vaporizers-SOL01: 2 x 2/C (field cables)</t>
        </is>
      </c>
      <c r="E5835" s="12" t="inlineStr"/>
      <c r="F5835" s="12" t="inlineStr">
        <is>
          <t>LNG 14: vaporizers + glycol heater</t>
        </is>
      </c>
      <c r="G5835" s="12" t="inlineStr">
        <is>
          <t>JB-LNG 14: vaporizers-SOL01</t>
        </is>
      </c>
      <c r="H5835" s="12" t="inlineStr">
        <is>
          <t>LNG 14: vaporizers + glycol heater</t>
        </is>
      </c>
      <c r="I5835" s="12" t="inlineStr">
        <is>
          <t>Control</t>
        </is>
      </c>
      <c r="J5835" s="12" t="inlineStr">
        <is>
          <t>ARMOR-X MC-HL 600 V control, Cu #14 AWG (Class I Div 2)</t>
        </is>
      </c>
      <c r="K5835" s="12" t="inlineStr">
        <is>
          <t>CTAX|2/C|14</t>
        </is>
      </c>
      <c r="L5835" s="12" t="inlineStr">
        <is>
          <t>2/C</t>
        </is>
      </c>
      <c r="M5835" s="12" t="inlineStr">
        <is>
          <t>14</t>
        </is>
      </c>
      <c r="N5835" s="12" t="n">
        <v>2</v>
      </c>
      <c r="O5835" s="12" t="n">
        <v>1</v>
      </c>
      <c r="P5835" s="12" t="n"/>
      <c r="Q5835" s="12" t="n"/>
      <c r="R5835" s="12" t="n"/>
      <c r="S5835" s="12" t="inlineStr">
        <is>
          <t>Tray / conduit</t>
        </is>
      </c>
      <c r="T5835" s="15" t="n">
        <v>122</v>
      </c>
      <c r="U5835" s="15" t="n">
        <v>10</v>
      </c>
      <c r="V5835" s="15">
        <f>ROUNDUP((T5835+U5835+2*'Read Me'!$B$13)*(1+'Read Me'!$B$12),-1)</f>
        <v/>
      </c>
      <c r="W5835" s="15">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K-C-0101</t>
        </is>
      </c>
      <c r="B5836" s="12" t="inlineStr">
        <is>
          <t>K</t>
        </is>
      </c>
      <c r="C5836" s="12" t="inlineStr">
        <is>
          <t>Fuel supply (adjacent market)</t>
        </is>
      </c>
      <c r="D5836" s="12" t="inlineStr">
        <is>
          <t>Home run JB-LNG 14: vaporizers-SOL01 to the control / marshalling room</t>
        </is>
      </c>
      <c r="E5836" s="12" t="inlineStr"/>
      <c r="F5836" s="12" t="inlineStr">
        <is>
          <t>LNG 17: LNG e-house (13.8 kV / 480 V)</t>
        </is>
      </c>
      <c r="G5836" s="12" t="inlineStr">
        <is>
          <t>JB-LNG 14: vaporizers-SOL01</t>
        </is>
      </c>
      <c r="H5836" s="12" t="inlineStr">
        <is>
          <t>LNG 14: vaporizers + glycol heater</t>
        </is>
      </c>
      <c r="I5836" s="12" t="inlineStr">
        <is>
          <t>Control</t>
        </is>
      </c>
      <c r="J5836" s="12" t="inlineStr">
        <is>
          <t>ARMOR-X MC-HL 600 V control, Cu #14 AWG (Class I Div 2)</t>
        </is>
      </c>
      <c r="K5836" s="12" t="inlineStr">
        <is>
          <t>CTAX|25/C|14</t>
        </is>
      </c>
      <c r="L5836" s="12" t="inlineStr">
        <is>
          <t>25/C</t>
        </is>
      </c>
      <c r="M5836" s="12" t="inlineStr">
        <is>
          <t>14</t>
        </is>
      </c>
      <c r="N5836" s="12" t="n">
        <v>1</v>
      </c>
      <c r="O5836" s="12" t="n">
        <v>1</v>
      </c>
      <c r="P5836" s="12" t="n"/>
      <c r="Q5836" s="12" t="n"/>
      <c r="R5836" s="12" t="n"/>
      <c r="S5836" s="12" t="inlineStr">
        <is>
          <t>Duct bank</t>
        </is>
      </c>
      <c r="T5836" s="15" t="n">
        <v>259</v>
      </c>
      <c r="U5836" s="15" t="n">
        <v>32</v>
      </c>
      <c r="V5836" s="15">
        <f>ROUNDUP((T5836+U5836+2*'Read Me'!$B$13)*(1+'Read Me'!$B$12),-1)</f>
        <v/>
      </c>
      <c r="W5836" s="15">
        <f>V5836*N5836*O5836</f>
        <v/>
      </c>
      <c r="X5836" s="12">
        <f>IF(LEFT(I5836,2)="MV",2*N5836*IF(L5836="1/C",O5836,1),0)</f>
        <v/>
      </c>
      <c r="Y5836" s="12">
        <f>IF(OR(LEFT(K5836,4)="LVAX",LEFT(K5836,6)="MV15AX",LEFT(K5836,4)="CTAX",LEFT(K5836,2)="W|"),2*N5836*O5836,0)</f>
        <v/>
      </c>
      <c r="Z5836" s="12" t="inlineStr"/>
      <c r="AA5836" s="12">
        <f>N5836*O5836</f>
        <v/>
      </c>
    </row>
    <row r="5837">
      <c r="A5837" s="12" t="inlineStr">
        <is>
          <t>K-C-0102</t>
        </is>
      </c>
      <c r="B5837" s="12" t="inlineStr">
        <is>
          <t>K</t>
        </is>
      </c>
      <c r="C5837" s="12" t="inlineStr">
        <is>
          <t>Fuel supply (adjacent market)</t>
        </is>
      </c>
      <c r="D5837" s="12" t="inlineStr">
        <is>
          <t>Motor 1 of 1: control / local station</t>
        </is>
      </c>
      <c r="E5837" s="12" t="inlineStr"/>
      <c r="F5837" s="12" t="inlineStr">
        <is>
          <t>LNG 17: LNG e-house (13.8 kV / 480 V)</t>
        </is>
      </c>
      <c r="G5837" s="12" t="inlineStr"/>
      <c r="H5837" s="12" t="inlineStr">
        <is>
          <t>LNG 15: boil-off gas compressor</t>
        </is>
      </c>
      <c r="I5837" s="12" t="inlineStr">
        <is>
          <t>Control</t>
        </is>
      </c>
      <c r="J5837" s="12" t="inlineStr">
        <is>
          <t>ARMOR-X MC-HL 600 V control, Cu #14 AWG (Class I Div 2)</t>
        </is>
      </c>
      <c r="K5837" s="12" t="inlineStr">
        <is>
          <t>CTAX|7/C|14</t>
        </is>
      </c>
      <c r="L5837" s="12" t="inlineStr">
        <is>
          <t>7/C</t>
        </is>
      </c>
      <c r="M5837" s="12" t="inlineStr">
        <is>
          <t>14</t>
        </is>
      </c>
      <c r="N5837" s="12" t="n">
        <v>1</v>
      </c>
      <c r="O5837" s="12" t="n">
        <v>1</v>
      </c>
      <c r="P5837" s="12" t="n"/>
      <c r="Q5837" s="12" t="n"/>
      <c r="R5837" s="12" t="n"/>
      <c r="S5837" s="12" t="inlineStr">
        <is>
          <t>Duct bank</t>
        </is>
      </c>
      <c r="T5837" s="15" t="n">
        <v>25</v>
      </c>
      <c r="U5837" s="15" t="n">
        <v>54</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K-C-0103</t>
        </is>
      </c>
      <c r="B5838" s="12" t="inlineStr">
        <is>
          <t>K</t>
        </is>
      </c>
      <c r="C5838" s="12" t="inlineStr">
        <is>
          <t>Fuel supply (adjacent market)</t>
        </is>
      </c>
      <c r="D5838" s="12" t="inlineStr">
        <is>
          <t>Solenoid to JB JB-LNG 15: boil-off g-SOL01: 2 x 2/C (field cables)</t>
        </is>
      </c>
      <c r="E5838" s="12" t="inlineStr"/>
      <c r="F5838" s="12" t="inlineStr">
        <is>
          <t>LNG 15: boil-off gas compressor</t>
        </is>
      </c>
      <c r="G5838" s="12" t="inlineStr">
        <is>
          <t>JB-LNG 15: boil-off g-SOL01</t>
        </is>
      </c>
      <c r="H5838" s="12" t="inlineStr">
        <is>
          <t>LNG 15: boil-off gas compressor</t>
        </is>
      </c>
      <c r="I5838" s="12" t="inlineStr">
        <is>
          <t>Control</t>
        </is>
      </c>
      <c r="J5838" s="12" t="inlineStr">
        <is>
          <t>ARMOR-X MC-HL 600 V control, Cu #14 AWG (Class I Div 2)</t>
        </is>
      </c>
      <c r="K5838" s="12" t="inlineStr">
        <is>
          <t>CTAX|2/C|14</t>
        </is>
      </c>
      <c r="L5838" s="12" t="inlineStr">
        <is>
          <t>2/C</t>
        </is>
      </c>
      <c r="M5838" s="12" t="inlineStr">
        <is>
          <t>14</t>
        </is>
      </c>
      <c r="N5838" s="12" t="n">
        <v>2</v>
      </c>
      <c r="O5838" s="12" t="n">
        <v>1</v>
      </c>
      <c r="P5838" s="12" t="n"/>
      <c r="Q5838" s="12" t="n"/>
      <c r="R5838" s="12" t="n"/>
      <c r="S5838" s="12" t="inlineStr">
        <is>
          <t>Tray / conduit</t>
        </is>
      </c>
      <c r="T5838" s="15" t="n">
        <v>67</v>
      </c>
      <c r="U5838" s="15" t="n">
        <v>10</v>
      </c>
      <c r="V5838" s="15">
        <f>ROUNDUP((T5838+U5838+2*'Read Me'!$B$13)*(1+'Read Me'!$B$12),-1)</f>
        <v/>
      </c>
      <c r="W5838" s="15">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K-C-0104</t>
        </is>
      </c>
      <c r="B5839" s="12" t="inlineStr">
        <is>
          <t>K</t>
        </is>
      </c>
      <c r="C5839" s="12" t="inlineStr">
        <is>
          <t>Fuel supply (adjacent market)</t>
        </is>
      </c>
      <c r="D5839" s="12" t="inlineStr">
        <is>
          <t>Home run JB-LNG 15: boil-off g-SOL01 to the control / marshalling room</t>
        </is>
      </c>
      <c r="E5839" s="12" t="inlineStr"/>
      <c r="F5839" s="12" t="inlineStr">
        <is>
          <t>LNG 17: LNG e-house (13.8 kV / 480 V)</t>
        </is>
      </c>
      <c r="G5839" s="12" t="inlineStr">
        <is>
          <t>JB-LNG 15: boil-off g-SOL01</t>
        </is>
      </c>
      <c r="H5839" s="12" t="inlineStr">
        <is>
          <t>LNG 15: boil-off gas compressor</t>
        </is>
      </c>
      <c r="I5839" s="12" t="inlineStr">
        <is>
          <t>Control</t>
        </is>
      </c>
      <c r="J5839" s="12" t="inlineStr">
        <is>
          <t>ARMOR-X MC-HL 600 V control, Cu #14 AWG (Class I Div 2)</t>
        </is>
      </c>
      <c r="K5839" s="12" t="inlineStr">
        <is>
          <t>CTAX|25/C|14</t>
        </is>
      </c>
      <c r="L5839" s="12" t="inlineStr">
        <is>
          <t>25/C</t>
        </is>
      </c>
      <c r="M5839" s="12" t="inlineStr">
        <is>
          <t>14</t>
        </is>
      </c>
      <c r="N5839" s="12" t="n">
        <v>1</v>
      </c>
      <c r="O5839" s="12" t="n">
        <v>1</v>
      </c>
      <c r="P5839" s="12" t="n"/>
      <c r="Q5839" s="12" t="n"/>
      <c r="R5839" s="12" t="n"/>
      <c r="S5839" s="12" t="inlineStr">
        <is>
          <t>Duct bank</t>
        </is>
      </c>
      <c r="T5839" s="15" t="n">
        <v>25</v>
      </c>
      <c r="U5839" s="15" t="n">
        <v>54</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K-C-0105</t>
        </is>
      </c>
      <c r="B5840" s="12" t="inlineStr">
        <is>
          <t>K</t>
        </is>
      </c>
      <c r="C5840" s="12" t="inlineStr">
        <is>
          <t>Fuel supply (adjacent market)</t>
        </is>
      </c>
      <c r="D5840" s="12" t="inlineStr">
        <is>
          <t>Motor 1 of 1: control / local station</t>
        </is>
      </c>
      <c r="E5840" s="12" t="inlineStr"/>
      <c r="F5840" s="12" t="inlineStr">
        <is>
          <t>LNG 17: LNG e-house (13.8 kV / 480 V)</t>
        </is>
      </c>
      <c r="G5840" s="12" t="inlineStr"/>
      <c r="H5840" s="12" t="inlineStr">
        <is>
          <t>LNG 16: send-out metering + pressure control</t>
        </is>
      </c>
      <c r="I5840" s="12" t="inlineStr">
        <is>
          <t>Control</t>
        </is>
      </c>
      <c r="J5840" s="12" t="inlineStr">
        <is>
          <t>ARMOR-X MC-HL 600 V control, Cu #14 AWG (Class I Div 2)</t>
        </is>
      </c>
      <c r="K5840" s="12" t="inlineStr">
        <is>
          <t>CTAX|7/C|14</t>
        </is>
      </c>
      <c r="L5840" s="12" t="inlineStr">
        <is>
          <t>7/C</t>
        </is>
      </c>
      <c r="M5840" s="12" t="inlineStr">
        <is>
          <t>14</t>
        </is>
      </c>
      <c r="N5840" s="12" t="n">
        <v>1</v>
      </c>
      <c r="O5840" s="12" t="n">
        <v>1</v>
      </c>
      <c r="P5840" s="12" t="n"/>
      <c r="Q5840" s="12" t="n"/>
      <c r="R5840" s="12" t="n"/>
      <c r="S5840" s="12" t="inlineStr">
        <is>
          <t>Duct bank</t>
        </is>
      </c>
      <c r="T5840" s="15" t="n">
        <v>20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K-C-0106</t>
        </is>
      </c>
      <c r="B5841" s="12" t="inlineStr">
        <is>
          <t>K</t>
        </is>
      </c>
      <c r="C5841" s="12" t="inlineStr">
        <is>
          <t>Fuel supply (adjacent market)</t>
        </is>
      </c>
      <c r="D5841" s="12" t="inlineStr">
        <is>
          <t>Solenoid to JB JB-LNG 16: send-out m-SOL01: 2 x 2/C (field cables)</t>
        </is>
      </c>
      <c r="E5841" s="12" t="inlineStr"/>
      <c r="F5841" s="12" t="inlineStr">
        <is>
          <t>LNG 16: send-out metering + pressure control</t>
        </is>
      </c>
      <c r="G5841" s="12" t="inlineStr">
        <is>
          <t>JB-LNG 16: send-out m-SOL01</t>
        </is>
      </c>
      <c r="H5841" s="12" t="inlineStr">
        <is>
          <t>LNG 16: send-out metering + pressure control</t>
        </is>
      </c>
      <c r="I5841" s="12" t="inlineStr">
        <is>
          <t>Control</t>
        </is>
      </c>
      <c r="J5841" s="12" t="inlineStr">
        <is>
          <t>ARMOR-X MC-HL 600 V control, Cu #14 AWG (Class I Div 2)</t>
        </is>
      </c>
      <c r="K5841" s="12" t="inlineStr">
        <is>
          <t>CTAX|2/C|14</t>
        </is>
      </c>
      <c r="L5841" s="12" t="inlineStr">
        <is>
          <t>2/C</t>
        </is>
      </c>
      <c r="M5841" s="12" t="inlineStr">
        <is>
          <t>14</t>
        </is>
      </c>
      <c r="N5841" s="12" t="n">
        <v>2</v>
      </c>
      <c r="O5841" s="12" t="n">
        <v>1</v>
      </c>
      <c r="P5841" s="12" t="n"/>
      <c r="Q5841" s="12" t="n"/>
      <c r="R5841" s="12" t="n"/>
      <c r="S5841" s="12" t="inlineStr">
        <is>
          <t>Tray / conduit</t>
        </is>
      </c>
      <c r="T5841" s="15" t="n">
        <v>74</v>
      </c>
      <c r="U5841" s="15" t="n">
        <v>10</v>
      </c>
      <c r="V5841" s="15">
        <f>ROUNDUP((T5841+U5841+2*'Read Me'!$B$13)*(1+'Read Me'!$B$12),-1)</f>
        <v/>
      </c>
      <c r="W5841" s="15">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K-C-0107</t>
        </is>
      </c>
      <c r="B5842" s="12" t="inlineStr">
        <is>
          <t>K</t>
        </is>
      </c>
      <c r="C5842" s="12" t="inlineStr">
        <is>
          <t>Fuel supply (adjacent market)</t>
        </is>
      </c>
      <c r="D5842" s="12" t="inlineStr">
        <is>
          <t>Home run JB-LNG 16: send-out m-SOL01 to the control / marshalling room</t>
        </is>
      </c>
      <c r="E5842" s="12" t="inlineStr"/>
      <c r="F5842" s="12" t="inlineStr">
        <is>
          <t>LNG 17: LNG e-house (13.8 kV / 480 V)</t>
        </is>
      </c>
      <c r="G5842" s="12" t="inlineStr">
        <is>
          <t>JB-LNG 16: send-out m-SOL01</t>
        </is>
      </c>
      <c r="H5842" s="12" t="inlineStr">
        <is>
          <t>LNG 16: send-out metering + pressure control</t>
        </is>
      </c>
      <c r="I5842" s="12" t="inlineStr">
        <is>
          <t>Control</t>
        </is>
      </c>
      <c r="J5842" s="12" t="inlineStr">
        <is>
          <t>ARMOR-X MC-HL 600 V control, Cu #14 AWG (Class I Div 2)</t>
        </is>
      </c>
      <c r="K5842" s="12" t="inlineStr">
        <is>
          <t>CTAX|25/C|14</t>
        </is>
      </c>
      <c r="L5842" s="12" t="inlineStr">
        <is>
          <t>25/C</t>
        </is>
      </c>
      <c r="M5842" s="12" t="inlineStr">
        <is>
          <t>14</t>
        </is>
      </c>
      <c r="N5842" s="12" t="n">
        <v>1</v>
      </c>
      <c r="O5842" s="12" t="n">
        <v>1</v>
      </c>
      <c r="P5842" s="12" t="n"/>
      <c r="Q5842" s="12" t="n"/>
      <c r="R5842" s="12" t="n"/>
      <c r="S5842" s="12" t="inlineStr">
        <is>
          <t>Duct bank</t>
        </is>
      </c>
      <c r="T5842" s="15" t="n">
        <v>20</v>
      </c>
      <c r="U5842" s="15" t="n">
        <v>32</v>
      </c>
      <c r="V5842" s="15">
        <f>ROUNDUP((T5842+U5842+2*'Read Me'!$B$13)*(1+'Read Me'!$B$12),-1)</f>
        <v/>
      </c>
      <c r="W5842" s="15">
        <f>V5842*N5842*O5842</f>
        <v/>
      </c>
      <c r="X5842" s="12">
        <f>IF(LEFT(I5842,2)="MV",2*N5842*IF(L5842="1/C",O5842,1),0)</f>
        <v/>
      </c>
      <c r="Y5842" s="12">
        <f>IF(OR(LEFT(K5842,4)="LVAX",LEFT(K5842,6)="MV15AX",LEFT(K5842,4)="CTAX",LEFT(K5842,2)="W|"),2*N5842*O5842,0)</f>
        <v/>
      </c>
      <c r="Z5842" s="12" t="inlineStr"/>
      <c r="AA5842" s="12">
        <f>N5842*O5842</f>
        <v/>
      </c>
    </row>
    <row r="5843">
      <c r="A5843" s="12" t="inlineStr">
        <is>
          <t>K-C-0108</t>
        </is>
      </c>
      <c r="B5843" s="12" t="inlineStr">
        <is>
          <t>K</t>
        </is>
      </c>
      <c r="C5843" s="12" t="inlineStr">
        <is>
          <t>Fuel supply (adjacent market)</t>
        </is>
      </c>
      <c r="D5843" s="12" t="inlineStr">
        <is>
          <t>Motor 1 of 1: control / local station</t>
        </is>
      </c>
      <c r="E5843" s="12" t="inlineStr"/>
      <c r="F5843" s="12" t="inlineStr">
        <is>
          <t>LNG 17: LNG e-house (13.8 kV / 480 V)</t>
        </is>
      </c>
      <c r="G5843" s="12" t="inlineStr"/>
      <c r="H5843" s="12" t="inlineStr">
        <is>
          <t>LNG 17: LNG e-house (13.8 kV / 480 V)</t>
        </is>
      </c>
      <c r="I5843" s="12" t="inlineStr">
        <is>
          <t>Control</t>
        </is>
      </c>
      <c r="J5843" s="12" t="inlineStr">
        <is>
          <t>ARMOR-X MC-HL 600 V control, Cu #14 AWG (Class I Div 2)</t>
        </is>
      </c>
      <c r="K5843" s="12" t="inlineStr">
        <is>
          <t>CTAX|7/C|14</t>
        </is>
      </c>
      <c r="L5843" s="12" t="inlineStr">
        <is>
          <t>7/C</t>
        </is>
      </c>
      <c r="M5843" s="12" t="inlineStr">
        <is>
          <t>14</t>
        </is>
      </c>
      <c r="N5843" s="12" t="n">
        <v>1</v>
      </c>
      <c r="O5843" s="12" t="n">
        <v>1</v>
      </c>
      <c r="P5843" s="12" t="n"/>
      <c r="Q5843" s="12" t="n"/>
      <c r="R5843" s="12" t="n"/>
      <c r="S5843" s="12" t="inlineStr">
        <is>
          <t>Tray</t>
        </is>
      </c>
      <c r="T5843" s="15" t="n">
        <v>0</v>
      </c>
      <c r="U5843" s="15" t="n">
        <v>32</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K-C-0109</t>
        </is>
      </c>
      <c r="B5844" s="12" t="inlineStr">
        <is>
          <t>K</t>
        </is>
      </c>
      <c r="C5844" s="12" t="inlineStr">
        <is>
          <t>Fuel supply (adjacent market)</t>
        </is>
      </c>
      <c r="D5844" s="12" t="inlineStr">
        <is>
          <t>Solenoid to JB JB-LNG 17: LNG e-hous-SOL01: 2 x 2/C (field cables)</t>
        </is>
      </c>
      <c r="E5844" s="12" t="inlineStr"/>
      <c r="F5844" s="12" t="inlineStr">
        <is>
          <t>LNG 17: LNG e-house (13.8 kV / 480 V)</t>
        </is>
      </c>
      <c r="G5844" s="12" t="inlineStr">
        <is>
          <t>JB-LNG 17: LNG e-hous-SOL01</t>
        </is>
      </c>
      <c r="H5844" s="12" t="inlineStr">
        <is>
          <t>LNG 17: LNG e-house (13.8 kV / 480 V)</t>
        </is>
      </c>
      <c r="I5844" s="12" t="inlineStr">
        <is>
          <t>Control</t>
        </is>
      </c>
      <c r="J5844" s="12" t="inlineStr">
        <is>
          <t>ARMOR-X MC-HL 600 V control, Cu #14 AWG (Class I Div 2)</t>
        </is>
      </c>
      <c r="K5844" s="12" t="inlineStr">
        <is>
          <t>CTAX|2/C|14</t>
        </is>
      </c>
      <c r="L5844" s="12" t="inlineStr">
        <is>
          <t>2/C</t>
        </is>
      </c>
      <c r="M5844" s="12" t="inlineStr">
        <is>
          <t>14</t>
        </is>
      </c>
      <c r="N5844" s="12" t="n">
        <v>2</v>
      </c>
      <c r="O5844" s="12" t="n">
        <v>1</v>
      </c>
      <c r="P5844" s="12" t="n"/>
      <c r="Q5844" s="12" t="n"/>
      <c r="R5844" s="12" t="n"/>
      <c r="S5844" s="12" t="inlineStr">
        <is>
          <t>Tray / conduit</t>
        </is>
      </c>
      <c r="T5844" s="15" t="n">
        <v>58</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K-C-0110</t>
        </is>
      </c>
      <c r="B5845" s="12" t="inlineStr">
        <is>
          <t>K</t>
        </is>
      </c>
      <c r="C5845" s="12" t="inlineStr">
        <is>
          <t>Fuel supply (adjacent market)</t>
        </is>
      </c>
      <c r="D5845" s="12" t="inlineStr">
        <is>
          <t>Home run JB-LNG 17: LNG e-hous-SOL01 to the control / marshalling room</t>
        </is>
      </c>
      <c r="E5845" s="12" t="inlineStr"/>
      <c r="F5845" s="12" t="inlineStr">
        <is>
          <t>LNG 17: LNG e-house (13.8 kV / 480 V)</t>
        </is>
      </c>
      <c r="G5845" s="12" t="inlineStr">
        <is>
          <t>JB-LNG 17: LNG e-hous-SOL01</t>
        </is>
      </c>
      <c r="H5845" s="12" t="inlineStr">
        <is>
          <t>LNG 17: LNG e-house (13.8 kV / 480 V)</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Tray</t>
        </is>
      </c>
      <c r="T5845" s="15" t="n">
        <v>0</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K-C-0111</t>
        </is>
      </c>
      <c r="B5846" s="12" t="inlineStr">
        <is>
          <t>K</t>
        </is>
      </c>
      <c r="C5846" s="12" t="inlineStr">
        <is>
          <t>Fuel supply (adjacent market)</t>
        </is>
      </c>
      <c r="D5846" s="12" t="inlineStr">
        <is>
          <t>Motor 1 of 1: control / local station</t>
        </is>
      </c>
      <c r="E5846" s="12" t="inlineStr"/>
      <c r="F5846" s="12" t="inlineStr">
        <is>
          <t>LNG 17: LNG e-house (13.8 kV / 480 V)</t>
        </is>
      </c>
      <c r="G5846" s="12" t="inlineStr"/>
      <c r="H5846" s="12" t="inlineStr">
        <is>
          <t>LNG 18: vent stack</t>
        </is>
      </c>
      <c r="I5846" s="12" t="inlineStr">
        <is>
          <t>Control</t>
        </is>
      </c>
      <c r="J5846" s="12" t="inlineStr">
        <is>
          <t>ARMOR-X MC-HL 600 V control, Cu #14 AWG (Class I Div 2)</t>
        </is>
      </c>
      <c r="K5846" s="12" t="inlineStr">
        <is>
          <t>CTAX|7/C|14</t>
        </is>
      </c>
      <c r="L5846" s="12" t="inlineStr">
        <is>
          <t>7/C</t>
        </is>
      </c>
      <c r="M5846" s="12" t="inlineStr">
        <is>
          <t>14</t>
        </is>
      </c>
      <c r="N5846" s="12" t="n">
        <v>1</v>
      </c>
      <c r="O5846" s="12" t="n">
        <v>1</v>
      </c>
      <c r="P5846" s="12" t="n"/>
      <c r="Q5846" s="12" t="n"/>
      <c r="R5846" s="12" t="n"/>
      <c r="S5846" s="12" t="inlineStr">
        <is>
          <t>Duct bank</t>
        </is>
      </c>
      <c r="T5846" s="15" t="n">
        <v>25</v>
      </c>
      <c r="U5846" s="15" t="n">
        <v>117</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K-C-0112</t>
        </is>
      </c>
      <c r="B5847" s="12" t="inlineStr">
        <is>
          <t>K</t>
        </is>
      </c>
      <c r="C5847" s="12" t="inlineStr">
        <is>
          <t>Fuel supply (adjacent market)</t>
        </is>
      </c>
      <c r="D5847" s="12" t="inlineStr">
        <is>
          <t>Solenoid to JB JB-LNG 18: vent stack-SOL01: 2 x 2/C (field cables)</t>
        </is>
      </c>
      <c r="E5847" s="12" t="inlineStr"/>
      <c r="F5847" s="12" t="inlineStr">
        <is>
          <t>LNG 18: vent stack</t>
        </is>
      </c>
      <c r="G5847" s="12" t="inlineStr">
        <is>
          <t>JB-LNG 18: vent stack-SOL01</t>
        </is>
      </c>
      <c r="H5847" s="12" t="inlineStr">
        <is>
          <t>LNG 18: vent stack</t>
        </is>
      </c>
      <c r="I5847" s="12" t="inlineStr">
        <is>
          <t>Control</t>
        </is>
      </c>
      <c r="J5847" s="12" t="inlineStr">
        <is>
          <t>ARMOR-X MC-HL 600 V control, Cu #14 AWG (Class I Div 2)</t>
        </is>
      </c>
      <c r="K5847" s="12" t="inlineStr">
        <is>
          <t>CTAX|2/C|14</t>
        </is>
      </c>
      <c r="L5847" s="12" t="inlineStr">
        <is>
          <t>2/C</t>
        </is>
      </c>
      <c r="M5847" s="12" t="inlineStr">
        <is>
          <t>14</t>
        </is>
      </c>
      <c r="N5847" s="12" t="n">
        <v>2</v>
      </c>
      <c r="O5847" s="12" t="n">
        <v>1</v>
      </c>
      <c r="P5847" s="12" t="n"/>
      <c r="Q5847" s="12" t="n"/>
      <c r="R5847" s="12" t="n"/>
      <c r="S5847" s="12" t="inlineStr">
        <is>
          <t>Tray / conduit</t>
        </is>
      </c>
      <c r="T5847" s="15" t="n">
        <v>55</v>
      </c>
      <c r="U5847" s="15" t="n">
        <v>10</v>
      </c>
      <c r="V5847" s="15">
        <f>ROUNDUP((T5847+U5847+2*'Read Me'!$B$13)*(1+'Read Me'!$B$12),-1)</f>
        <v/>
      </c>
      <c r="W5847" s="15">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K-C-0113</t>
        </is>
      </c>
      <c r="B5848" s="12" t="inlineStr">
        <is>
          <t>K</t>
        </is>
      </c>
      <c r="C5848" s="12" t="inlineStr">
        <is>
          <t>Fuel supply (adjacent market)</t>
        </is>
      </c>
      <c r="D5848" s="12" t="inlineStr">
        <is>
          <t>Home run JB-LNG 18: vent stack-SOL01 to the control / marshalling room</t>
        </is>
      </c>
      <c r="E5848" s="12" t="inlineStr"/>
      <c r="F5848" s="12" t="inlineStr">
        <is>
          <t>LNG 17: LNG e-house (13.8 kV / 480 V)</t>
        </is>
      </c>
      <c r="G5848" s="12" t="inlineStr">
        <is>
          <t>JB-LNG 18: vent stack-SOL01</t>
        </is>
      </c>
      <c r="H5848" s="12" t="inlineStr">
        <is>
          <t>LNG 18: vent stack</t>
        </is>
      </c>
      <c r="I5848" s="12" t="inlineStr">
        <is>
          <t>Control</t>
        </is>
      </c>
      <c r="J5848" s="12" t="inlineStr">
        <is>
          <t>ARMOR-X MC-HL 600 V control, Cu #14 AWG (Class I Div 2)</t>
        </is>
      </c>
      <c r="K5848" s="12" t="inlineStr">
        <is>
          <t>CTAX|25/C|14</t>
        </is>
      </c>
      <c r="L5848" s="12" t="inlineStr">
        <is>
          <t>25/C</t>
        </is>
      </c>
      <c r="M5848" s="12" t="inlineStr">
        <is>
          <t>14</t>
        </is>
      </c>
      <c r="N5848" s="12" t="n">
        <v>1</v>
      </c>
      <c r="O5848" s="12" t="n">
        <v>1</v>
      </c>
      <c r="P5848" s="12" t="n"/>
      <c r="Q5848" s="12" t="n"/>
      <c r="R5848" s="12" t="n"/>
      <c r="S5848" s="12" t="inlineStr">
        <is>
          <t>Duct bank</t>
        </is>
      </c>
      <c r="T5848" s="15" t="n">
        <v>25</v>
      </c>
      <c r="U5848" s="15" t="n">
        <v>117</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K-C-0114</t>
        </is>
      </c>
      <c r="B5849" s="12" t="inlineStr">
        <is>
          <t>K</t>
        </is>
      </c>
      <c r="C5849" s="12" t="inlineStr">
        <is>
          <t>Fuel supply (adjacent market)</t>
        </is>
      </c>
      <c r="D5849" s="12" t="inlineStr">
        <is>
          <t>Solenoid to JB JB-M&amp;R 2: insulating -SOL01: 4 x 2/C (field cables)</t>
        </is>
      </c>
      <c r="E5849" s="12" t="inlineStr"/>
      <c r="F5849" s="12" t="inlineStr">
        <is>
          <t>M&amp;R 2: insulating joint + ESD valve</t>
        </is>
      </c>
      <c r="G5849" s="12" t="inlineStr">
        <is>
          <t>JB-M&amp;R 2: insulating -SOL01</t>
        </is>
      </c>
      <c r="H5849" s="12" t="inlineStr">
        <is>
          <t>M&amp;R 2: insulating joint + ESD valve</t>
        </is>
      </c>
      <c r="I5849" s="12" t="inlineStr">
        <is>
          <t>Control</t>
        </is>
      </c>
      <c r="J5849" s="12" t="inlineStr">
        <is>
          <t>ARMOR-X MC-HL 600 V control, Cu #14 AWG (Class I Div 2)</t>
        </is>
      </c>
      <c r="K5849" s="12" t="inlineStr">
        <is>
          <t>CTAX|2/C|14</t>
        </is>
      </c>
      <c r="L5849" s="12" t="inlineStr">
        <is>
          <t>2/C</t>
        </is>
      </c>
      <c r="M5849" s="12" t="inlineStr">
        <is>
          <t>14</t>
        </is>
      </c>
      <c r="N5849" s="12" t="n">
        <v>4</v>
      </c>
      <c r="O5849" s="12" t="n">
        <v>1</v>
      </c>
      <c r="P5849" s="12" t="n"/>
      <c r="Q5849" s="12" t="n"/>
      <c r="R5849" s="12" t="n"/>
      <c r="S5849" s="12" t="inlineStr">
        <is>
          <t>Tray / conduit</t>
        </is>
      </c>
      <c r="T5849" s="15" t="n">
        <v>40</v>
      </c>
      <c r="U5849" s="15" t="n">
        <v>10</v>
      </c>
      <c r="V5849" s="15">
        <f>ROUNDUP((T5849+U5849+2*'Read Me'!$B$13)*(1+'Read Me'!$B$12),-1)</f>
        <v/>
      </c>
      <c r="W5849" s="15">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K-C-0115</t>
        </is>
      </c>
      <c r="B5850" s="12" t="inlineStr">
        <is>
          <t>K</t>
        </is>
      </c>
      <c r="C5850" s="12" t="inlineStr">
        <is>
          <t>Fuel supply (adjacent market)</t>
        </is>
      </c>
      <c r="D5850" s="12" t="inlineStr">
        <is>
          <t>Home run JB-M&amp;R 2: insulating -SOL01 to the control / marshalling room</t>
        </is>
      </c>
      <c r="E5850" s="12" t="inlineStr"/>
      <c r="F5850" s="12" t="inlineStr">
        <is>
          <t>LNG 17: LNG e-house (13.8 kV / 480 V)</t>
        </is>
      </c>
      <c r="G5850" s="12" t="inlineStr">
        <is>
          <t>JB-M&amp;R 2: insulating -SOL01</t>
        </is>
      </c>
      <c r="H5850" s="12" t="inlineStr">
        <is>
          <t>M&amp;R 2: insulating joint + ESD valve</t>
        </is>
      </c>
      <c r="I5850" s="12" t="inlineStr">
        <is>
          <t>Control</t>
        </is>
      </c>
      <c r="J5850" s="12" t="inlineStr">
        <is>
          <t>ARMOR-X MC-HL 600 V control, Cu #14 AWG (Class I Div 2)</t>
        </is>
      </c>
      <c r="K5850" s="12" t="inlineStr">
        <is>
          <t>CTAX|25/C|14</t>
        </is>
      </c>
      <c r="L5850" s="12" t="inlineStr">
        <is>
          <t>25/C</t>
        </is>
      </c>
      <c r="M5850" s="12" t="inlineStr">
        <is>
          <t>14</t>
        </is>
      </c>
      <c r="N5850" s="12" t="n">
        <v>1</v>
      </c>
      <c r="O5850" s="12" t="n">
        <v>1</v>
      </c>
      <c r="P5850" s="12" t="n"/>
      <c r="Q5850" s="12" t="n"/>
      <c r="R5850" s="12" t="n"/>
      <c r="S5850" s="12" t="inlineStr">
        <is>
          <t>Duct bank</t>
        </is>
      </c>
      <c r="T5850" s="15" t="n">
        <v>758</v>
      </c>
      <c r="U5850" s="15" t="n">
        <v>32</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K-C-0116</t>
        </is>
      </c>
      <c r="B5851" s="12" t="inlineStr">
        <is>
          <t>K</t>
        </is>
      </c>
      <c r="C5851" s="12" t="inlineStr">
        <is>
          <t>Fuel supply (adjacent market)</t>
        </is>
      </c>
      <c r="D5851" s="12" t="inlineStr">
        <is>
          <t>Solenoid to JB JB-M&amp;R 3: horizontal -SOL01: 4 x 2/C (field cables)</t>
        </is>
      </c>
      <c r="E5851" s="12" t="inlineStr"/>
      <c r="F5851" s="12" t="inlineStr">
        <is>
          <t>M&amp;R 3: horizontal filter-separator</t>
        </is>
      </c>
      <c r="G5851" s="12" t="inlineStr">
        <is>
          <t>JB-M&amp;R 3: horizontal -SOL01</t>
        </is>
      </c>
      <c r="H5851" s="12" t="inlineStr">
        <is>
          <t>M&amp;R 3: horizontal filter-separator</t>
        </is>
      </c>
      <c r="I5851" s="12" t="inlineStr">
        <is>
          <t>Control</t>
        </is>
      </c>
      <c r="J5851" s="12" t="inlineStr">
        <is>
          <t>ARMOR-X MC-HL 600 V control, Cu #14 AWG (Class I Div 2)</t>
        </is>
      </c>
      <c r="K5851" s="12" t="inlineStr">
        <is>
          <t>CTAX|2/C|14</t>
        </is>
      </c>
      <c r="L5851" s="12" t="inlineStr">
        <is>
          <t>2/C</t>
        </is>
      </c>
      <c r="M5851" s="12" t="inlineStr">
        <is>
          <t>14</t>
        </is>
      </c>
      <c r="N5851" s="12" t="n">
        <v>4</v>
      </c>
      <c r="O5851" s="12" t="n">
        <v>1</v>
      </c>
      <c r="P5851" s="12" t="n"/>
      <c r="Q5851" s="12" t="n"/>
      <c r="R5851" s="12" t="n"/>
      <c r="S5851" s="12" t="inlineStr">
        <is>
          <t>Tray / conduit</t>
        </is>
      </c>
      <c r="T5851" s="15" t="n">
        <v>53</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K-C-0117</t>
        </is>
      </c>
      <c r="B5852" s="12" t="inlineStr">
        <is>
          <t>K</t>
        </is>
      </c>
      <c r="C5852" s="12" t="inlineStr">
        <is>
          <t>Fuel supply (adjacent market)</t>
        </is>
      </c>
      <c r="D5852" s="12" t="inlineStr">
        <is>
          <t>Home run JB-M&amp;R 3: horizontal -SOL01 to the control / marshalling room</t>
        </is>
      </c>
      <c r="E5852" s="12" t="inlineStr"/>
      <c r="F5852" s="12" t="inlineStr">
        <is>
          <t>LNG 17: LNG e-house (13.8 kV / 480 V)</t>
        </is>
      </c>
      <c r="G5852" s="12" t="inlineStr">
        <is>
          <t>JB-M&amp;R 3: horizontal -SOL01</t>
        </is>
      </c>
      <c r="H5852" s="12" t="inlineStr">
        <is>
          <t>M&amp;R 3: horizontal filter-separator</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797</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K-C-0118</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4: line heater 1 (water bath)</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593</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K-C-0119</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4: line heater 2 (water bath)</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593</v>
      </c>
      <c r="U5854" s="15" t="n">
        <v>50</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K-C-0120</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4: line heater 3 (water bath)</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593</v>
      </c>
      <c r="U5855" s="15" t="n">
        <v>68</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K-C-0121</t>
        </is>
      </c>
      <c r="B5856" s="12" t="inlineStr">
        <is>
          <t>K</t>
        </is>
      </c>
      <c r="C5856" s="12" t="inlineStr">
        <is>
          <t>Fuel supply (adjacent market)</t>
        </is>
      </c>
      <c r="D5856" s="12" t="inlineStr">
        <is>
          <t>Solenoid to JB JB-M&amp;R 6: regulation -SOL01: 6 x 2/C (field cables)</t>
        </is>
      </c>
      <c r="E5856" s="12" t="inlineStr"/>
      <c r="F5856" s="12" t="inlineStr">
        <is>
          <t>M&amp;R 6: regulation / flow control building</t>
        </is>
      </c>
      <c r="G5856" s="12" t="inlineStr">
        <is>
          <t>JB-M&amp;R 6: regulation -SOL01</t>
        </is>
      </c>
      <c r="H5856" s="12" t="inlineStr">
        <is>
          <t>M&amp;R 6: regulation / flow control building</t>
        </is>
      </c>
      <c r="I5856" s="12" t="inlineStr">
        <is>
          <t>Control</t>
        </is>
      </c>
      <c r="J5856" s="12" t="inlineStr">
        <is>
          <t>ARMOR-X MC-HL 600 V control, Cu #14 AWG (Class I Div 2)</t>
        </is>
      </c>
      <c r="K5856" s="12" t="inlineStr">
        <is>
          <t>CTAX|2/C|14</t>
        </is>
      </c>
      <c r="L5856" s="12" t="inlineStr">
        <is>
          <t>2/C</t>
        </is>
      </c>
      <c r="M5856" s="12" t="inlineStr">
        <is>
          <t>14</t>
        </is>
      </c>
      <c r="N5856" s="12" t="n">
        <v>6</v>
      </c>
      <c r="O5856" s="12" t="n">
        <v>1</v>
      </c>
      <c r="P5856" s="12" t="n"/>
      <c r="Q5856" s="12" t="n"/>
      <c r="R5856" s="12" t="n"/>
      <c r="S5856" s="12" t="inlineStr">
        <is>
          <t>Tray / conduit</t>
        </is>
      </c>
      <c r="T5856" s="15" t="n">
        <v>61</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K-C-0122</t>
        </is>
      </c>
      <c r="B5857" s="12" t="inlineStr">
        <is>
          <t>K</t>
        </is>
      </c>
      <c r="C5857" s="12" t="inlineStr">
        <is>
          <t>Fuel supply (adjacent market)</t>
        </is>
      </c>
      <c r="D5857" s="12" t="inlineStr">
        <is>
          <t>Home run JB-M&amp;R 6: regulation -SOL01 to the control / marshalling room</t>
        </is>
      </c>
      <c r="E5857" s="12" t="inlineStr"/>
      <c r="F5857" s="12" t="inlineStr">
        <is>
          <t>LNG 17: LNG e-house (13.8 kV / 480 V)</t>
        </is>
      </c>
      <c r="G5857" s="12" t="inlineStr">
        <is>
          <t>JB-M&amp;R 6: regulation -SOL01</t>
        </is>
      </c>
      <c r="H5857" s="12" t="inlineStr">
        <is>
          <t>M&amp;R 6: regulation / flow control building</t>
        </is>
      </c>
      <c r="I5857" s="12" t="inlineStr">
        <is>
          <t>Control</t>
        </is>
      </c>
      <c r="J5857" s="12" t="inlineStr">
        <is>
          <t>ARMOR-X MC-HL 600 V control, Cu #14 AWG (Class I Div 2)</t>
        </is>
      </c>
      <c r="K5857" s="12" t="inlineStr">
        <is>
          <t>CTAX|25/C|14</t>
        </is>
      </c>
      <c r="L5857" s="12" t="inlineStr">
        <is>
          <t>25/C</t>
        </is>
      </c>
      <c r="M5857" s="12" t="inlineStr">
        <is>
          <t>14</t>
        </is>
      </c>
      <c r="N5857" s="12" t="n">
        <v>1</v>
      </c>
      <c r="O5857" s="12" t="n">
        <v>1</v>
      </c>
      <c r="P5857" s="12" t="n"/>
      <c r="Q5857" s="12" t="n"/>
      <c r="R5857" s="12" t="n"/>
      <c r="S5857" s="12" t="inlineStr">
        <is>
          <t>Duct bank</t>
        </is>
      </c>
      <c r="T5857" s="15" t="n">
        <v>470</v>
      </c>
      <c r="U5857" s="15" t="n">
        <v>70</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K-C-0123</t>
        </is>
      </c>
      <c r="B5858" s="12" t="inlineStr">
        <is>
          <t>K</t>
        </is>
      </c>
      <c r="C5858" s="12" t="inlineStr">
        <is>
          <t>Fuel supply (adjacent market)</t>
        </is>
      </c>
      <c r="D5858" s="12" t="inlineStr">
        <is>
          <t>Control</t>
        </is>
      </c>
      <c r="E5858" s="12" t="inlineStr"/>
      <c r="F5858" s="12" t="inlineStr">
        <is>
          <t>LNG 17: LNG e-house (13.8 kV / 480 V)</t>
        </is>
      </c>
      <c r="G5858" s="12" t="inlineStr"/>
      <c r="H5858" s="12" t="inlineStr">
        <is>
          <t>M&amp;R 9: service panel + UPS, SCADA RTU, CP</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466</v>
      </c>
      <c r="U5858" s="15" t="n">
        <v>32</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K-C-0124</t>
        </is>
      </c>
      <c r="B5859" s="12" t="inlineStr">
        <is>
          <t>K</t>
        </is>
      </c>
      <c r="C5859" s="12" t="inlineStr">
        <is>
          <t>Fuel supply (adjacent market)</t>
        </is>
      </c>
      <c r="D5859" s="12" t="inlineStr">
        <is>
          <t>Control</t>
        </is>
      </c>
      <c r="E5859" s="12" t="inlineStr"/>
      <c r="F5859" s="12" t="inlineStr">
        <is>
          <t>LNG 17: LNG e-house (13.8 kV / 480 V)</t>
        </is>
      </c>
      <c r="G5859" s="12" t="inlineStr"/>
      <c r="H5859" s="12" t="inlineStr">
        <is>
          <t>M&amp;R CP test station (as drawn)</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441</v>
      </c>
      <c r="U5859" s="15" t="n">
        <v>42</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K-C-0125</t>
        </is>
      </c>
      <c r="B5860" s="12" t="inlineStr">
        <is>
          <t>K</t>
        </is>
      </c>
      <c r="C5860" s="12" t="inlineStr">
        <is>
          <t>Fuel supply (adjacent market)</t>
        </is>
      </c>
      <c r="D5860" s="12" t="inlineStr">
        <is>
          <t>Control</t>
        </is>
      </c>
      <c r="E5860" s="12" t="inlineStr"/>
      <c r="F5860" s="12" t="inlineStr">
        <is>
          <t>LNG 17: LNG e-house (13.8 kV / 480 V)</t>
        </is>
      </c>
      <c r="G5860" s="12" t="inlineStr"/>
      <c r="H5860" s="12" t="inlineStr">
        <is>
          <t>M&amp;R SCADA antenna mast base (as drawn)</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433</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K-C-0126</t>
        </is>
      </c>
      <c r="B5861" s="12" t="inlineStr">
        <is>
          <t>K</t>
        </is>
      </c>
      <c r="C5861" s="12" t="inlineStr">
        <is>
          <t>Fuel supply (adjacent market)</t>
        </is>
      </c>
      <c r="D5861" s="12" t="inlineStr">
        <is>
          <t>Control</t>
        </is>
      </c>
      <c r="E5861" s="12" t="inlineStr"/>
      <c r="F5861" s="12" t="inlineStr">
        <is>
          <t>H2 20: 13.8 kV e-house</t>
        </is>
      </c>
      <c r="G5861" s="12" t="inlineStr"/>
      <c r="H5861" s="12" t="inlineStr">
        <is>
          <t>PEM electrolyzer 1 (HyLYZER-1000)</t>
        </is>
      </c>
      <c r="I5861" s="12" t="inlineStr">
        <is>
          <t>Control</t>
        </is>
      </c>
      <c r="J5861" s="12" t="inlineStr">
        <is>
          <t>ARMOR-X MC-HL 600 V control, Cu #14 AWG (Class I Div 2)</t>
        </is>
      </c>
      <c r="K5861" s="12" t="inlineStr">
        <is>
          <t>CTAX|7/C|14</t>
        </is>
      </c>
      <c r="L5861" s="12" t="inlineStr">
        <is>
          <t>7/C</t>
        </is>
      </c>
      <c r="M5861" s="12" t="inlineStr">
        <is>
          <t>14</t>
        </is>
      </c>
      <c r="N5861" s="12" t="n">
        <v>1</v>
      </c>
      <c r="O5861" s="12" t="n">
        <v>1</v>
      </c>
      <c r="P5861" s="12" t="n"/>
      <c r="Q5861" s="12" t="n"/>
      <c r="R5861" s="12" t="n"/>
      <c r="S5861" s="12" t="inlineStr">
        <is>
          <t>Duct bank</t>
        </is>
      </c>
      <c r="T5861" s="15" t="n">
        <v>358</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K-C-0127</t>
        </is>
      </c>
      <c r="B5862" s="12" t="inlineStr">
        <is>
          <t>K</t>
        </is>
      </c>
      <c r="C5862" s="12" t="inlineStr">
        <is>
          <t>Fuel supply (adjacent market)</t>
        </is>
      </c>
      <c r="D5862" s="12" t="inlineStr">
        <is>
          <t>Control</t>
        </is>
      </c>
      <c r="E5862" s="12" t="inlineStr"/>
      <c r="F5862" s="12" t="inlineStr">
        <is>
          <t>H2 20: 13.8 kV e-house</t>
        </is>
      </c>
      <c r="G5862" s="12" t="inlineStr"/>
      <c r="H5862" s="12" t="inlineStr">
        <is>
          <t>PEM electrolyzer 2 (HyLYZER-1000)</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358</v>
      </c>
      <c r="U5862" s="15" t="n">
        <v>48</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K-C-0128</t>
        </is>
      </c>
      <c r="B5863" s="12" t="inlineStr">
        <is>
          <t>K</t>
        </is>
      </c>
      <c r="C5863" s="12" t="inlineStr">
        <is>
          <t>Fuel supply (adjacent market)</t>
        </is>
      </c>
      <c r="D5863" s="12" t="inlineStr">
        <is>
          <t>Control</t>
        </is>
      </c>
      <c r="E5863" s="12" t="inlineStr"/>
      <c r="F5863" s="12" t="inlineStr">
        <is>
          <t>H2 20: 13.8 kV e-house</t>
        </is>
      </c>
      <c r="G5863" s="12" t="inlineStr"/>
      <c r="H5863" s="12" t="inlineStr">
        <is>
          <t>PEM electrolyzer 3 (HyLYZER-1000)</t>
        </is>
      </c>
      <c r="I5863" s="12" t="inlineStr">
        <is>
          <t>Control</t>
        </is>
      </c>
      <c r="J5863" s="12" t="inlineStr">
        <is>
          <t>ARMOR-X MC-HL 600 V control, Cu #14 AWG (Class I Div 2)</t>
        </is>
      </c>
      <c r="K5863" s="12" t="inlineStr">
        <is>
          <t>CTAX|7/C|14</t>
        </is>
      </c>
      <c r="L5863" s="12" t="inlineStr">
        <is>
          <t>7/C</t>
        </is>
      </c>
      <c r="M5863" s="12" t="inlineStr">
        <is>
          <t>14</t>
        </is>
      </c>
      <c r="N5863" s="12" t="n">
        <v>1</v>
      </c>
      <c r="O5863" s="12" t="n">
        <v>1</v>
      </c>
      <c r="P5863" s="12" t="n"/>
      <c r="Q5863" s="12" t="n"/>
      <c r="R5863" s="12" t="n"/>
      <c r="S5863" s="12" t="inlineStr">
        <is>
          <t>Duct bank</t>
        </is>
      </c>
      <c r="T5863" s="15" t="n">
        <v>348</v>
      </c>
      <c r="U5863" s="15" t="n">
        <v>49</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K-C-0129</t>
        </is>
      </c>
      <c r="B5864" s="12" t="inlineStr">
        <is>
          <t>K</t>
        </is>
      </c>
      <c r="C5864" s="12" t="inlineStr">
        <is>
          <t>Fuel supply (adjacent market)</t>
        </is>
      </c>
      <c r="D5864" s="12" t="inlineStr">
        <is>
          <t>Control</t>
        </is>
      </c>
      <c r="E5864" s="12" t="inlineStr"/>
      <c r="F5864" s="12" t="inlineStr">
        <is>
          <t>H2 20: 13.8 kV e-house</t>
        </is>
      </c>
      <c r="G5864" s="12" t="inlineStr"/>
      <c r="H5864" s="12" t="inlineStr">
        <is>
          <t>PEM electrolyzer 4 (HyLYZER-1000)</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Duct bank</t>
        </is>
      </c>
      <c r="T5864" s="15" t="n">
        <v>328</v>
      </c>
      <c r="U5864" s="15" t="n">
        <v>49</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K-C-0130</t>
        </is>
      </c>
      <c r="B5865" s="12" t="inlineStr">
        <is>
          <t>K</t>
        </is>
      </c>
      <c r="C5865" s="12" t="inlineStr">
        <is>
          <t>Fuel supply (adjacent market)</t>
        </is>
      </c>
      <c r="D5865" s="12" t="inlineStr">
        <is>
          <t>Control</t>
        </is>
      </c>
      <c r="E5865" s="12" t="inlineStr"/>
      <c r="F5865" s="12" t="inlineStr">
        <is>
          <t>H2 20: 13.8 kV e-house</t>
        </is>
      </c>
      <c r="G5865" s="12" t="inlineStr"/>
      <c r="H5865" s="12" t="inlineStr">
        <is>
          <t>PEM electrolyzer 5 (HyLYZER-1000)</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5" t="n">
        <v>328</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K-C-0131</t>
        </is>
      </c>
      <c r="B5866" s="12" t="inlineStr">
        <is>
          <t>K</t>
        </is>
      </c>
      <c r="C5866" s="12" t="inlineStr">
        <is>
          <t>Fuel supply (adjacent market)</t>
        </is>
      </c>
      <c r="D5866" s="12" t="inlineStr">
        <is>
          <t>Control</t>
        </is>
      </c>
      <c r="E5866" s="12" t="inlineStr"/>
      <c r="F5866" s="12" t="inlineStr">
        <is>
          <t>H2 20: 13.8 kV e-house</t>
        </is>
      </c>
      <c r="G5866" s="12" t="inlineStr"/>
      <c r="H5866" s="12" t="inlineStr">
        <is>
          <t>Rectifier 1 (7 MVA)</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Duct bank</t>
        </is>
      </c>
      <c r="T5866" s="15" t="n">
        <v>346</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K-C-0132</t>
        </is>
      </c>
      <c r="B5867" s="12" t="inlineStr">
        <is>
          <t>K</t>
        </is>
      </c>
      <c r="C5867" s="12" t="inlineStr">
        <is>
          <t>Fuel supply (adjacent market)</t>
        </is>
      </c>
      <c r="D5867" s="12" t="inlineStr">
        <is>
          <t>Control</t>
        </is>
      </c>
      <c r="E5867" s="12" t="inlineStr"/>
      <c r="F5867" s="12" t="inlineStr">
        <is>
          <t>H2 20: 13.8 kV e-house</t>
        </is>
      </c>
      <c r="G5867" s="12" t="inlineStr"/>
      <c r="H5867" s="12" t="inlineStr">
        <is>
          <t>Rectifier 2 (7 MVA)</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Duct bank</t>
        </is>
      </c>
      <c r="T5867" s="15" t="n">
        <v>361</v>
      </c>
      <c r="U5867" s="15" t="n">
        <v>32</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K-C-0133</t>
        </is>
      </c>
      <c r="B5868" s="12" t="inlineStr">
        <is>
          <t>K</t>
        </is>
      </c>
      <c r="C5868" s="12" t="inlineStr">
        <is>
          <t>Fuel supply (adjacent market)</t>
        </is>
      </c>
      <c r="D5868" s="12" t="inlineStr">
        <is>
          <t>Control</t>
        </is>
      </c>
      <c r="E5868" s="12" t="inlineStr"/>
      <c r="F5868" s="12" t="inlineStr">
        <is>
          <t>H2 20: 13.8 kV e-house</t>
        </is>
      </c>
      <c r="G5868" s="12" t="inlineStr"/>
      <c r="H5868" s="12" t="inlineStr">
        <is>
          <t>Rectifier 3 (7 MVA)</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Duct bank</t>
        </is>
      </c>
      <c r="T5868" s="15" t="n">
        <v>341</v>
      </c>
      <c r="U5868" s="15" t="n">
        <v>32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K-C-0134</t>
        </is>
      </c>
      <c r="B5869" s="12" t="inlineStr">
        <is>
          <t>K</t>
        </is>
      </c>
      <c r="C5869" s="12" t="inlineStr">
        <is>
          <t>Fuel supply (adjacent market)</t>
        </is>
      </c>
      <c r="D5869" s="12" t="inlineStr">
        <is>
          <t>Control</t>
        </is>
      </c>
      <c r="E5869" s="12" t="inlineStr"/>
      <c r="F5869" s="12" t="inlineStr">
        <is>
          <t>H2 20: 13.8 kV e-house</t>
        </is>
      </c>
      <c r="G5869" s="12" t="inlineStr"/>
      <c r="H5869" s="12" t="inlineStr">
        <is>
          <t>Rectifier 4 (7 MVA)</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Duct bank</t>
        </is>
      </c>
      <c r="T5869" s="15" t="n">
        <v>321</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K-C-0135</t>
        </is>
      </c>
      <c r="B5870" s="12" t="inlineStr">
        <is>
          <t>K</t>
        </is>
      </c>
      <c r="C5870" s="12" t="inlineStr">
        <is>
          <t>Fuel supply (adjacent market)</t>
        </is>
      </c>
      <c r="D5870" s="12" t="inlineStr">
        <is>
          <t>Control</t>
        </is>
      </c>
      <c r="E5870" s="12" t="inlineStr"/>
      <c r="F5870" s="12" t="inlineStr">
        <is>
          <t>H2 20: 13.8 kV e-house</t>
        </is>
      </c>
      <c r="G5870" s="12" t="inlineStr"/>
      <c r="H5870" s="12" t="inlineStr">
        <is>
          <t>Rectifier 5 (7 MVA)</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5" t="n">
        <v>301</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K-F-0001</t>
        </is>
      </c>
      <c r="B5871" s="12" t="inlineStr">
        <is>
          <t>K</t>
        </is>
      </c>
      <c r="C5871" s="12" t="inlineStr">
        <is>
          <t>Fuel supply (adjacent market)</t>
        </is>
      </c>
      <c r="D5871" s="12" t="inlineStr">
        <is>
          <t>Plant network / DCS fibre</t>
        </is>
      </c>
      <c r="E5871" s="12" t="inlineStr">
        <is>
          <t>CR</t>
        </is>
      </c>
      <c r="F5871" s="12" t="inlineStr">
        <is>
          <t>Control / admin building (main control room)</t>
        </is>
      </c>
      <c r="G5871" s="12" t="inlineStr"/>
      <c r="H5871" s="12" t="inlineStr">
        <is>
          <t>H2 20: 13.8 kV e-house</t>
        </is>
      </c>
      <c r="I5871" s="12" t="inlineStr">
        <is>
          <t>Fibre / data</t>
        </is>
      </c>
      <c r="J5871" s="12" t="inlineStr">
        <is>
          <t>Fibre optic, single-mode, 12-fibre, armored, orange jacket</t>
        </is>
      </c>
      <c r="K5871" s="12" t="inlineStr">
        <is>
          <t>FO|12 SM|-</t>
        </is>
      </c>
      <c r="L5871" s="12" t="inlineStr">
        <is>
          <t>12 SM</t>
        </is>
      </c>
      <c r="M5871" s="12" t="inlineStr">
        <is>
          <t>-</t>
        </is>
      </c>
      <c r="N5871" s="12" t="n">
        <v>1</v>
      </c>
      <c r="O5871" s="12" t="n">
        <v>1</v>
      </c>
      <c r="P5871" s="12" t="n"/>
      <c r="Q5871" s="12" t="n"/>
      <c r="R5871" s="12" t="n"/>
      <c r="S5871" s="12" t="inlineStr">
        <is>
          <t>Trench</t>
        </is>
      </c>
      <c r="T5871" s="15" t="n">
        <v>4293</v>
      </c>
      <c r="U5871" s="15" t="n">
        <v>36</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K-F-0002</t>
        </is>
      </c>
      <c r="B5872" s="12" t="inlineStr">
        <is>
          <t>K</t>
        </is>
      </c>
      <c r="C5872" s="12" t="inlineStr">
        <is>
          <t>Fuel supply (adjacent market)</t>
        </is>
      </c>
      <c r="D5872" s="12" t="inlineStr">
        <is>
          <t>Plant network / DCS fibre</t>
        </is>
      </c>
      <c r="E5872" s="12" t="inlineStr">
        <is>
          <t>CR</t>
        </is>
      </c>
      <c r="F5872" s="12" t="inlineStr">
        <is>
          <t>Control / admin building (main control room)</t>
        </is>
      </c>
      <c r="G5872" s="12" t="inlineStr"/>
      <c r="H5872" s="12" t="inlineStr">
        <is>
          <t>LNG 17: LNG e-house (13.8 kV / 480 V)</t>
        </is>
      </c>
      <c r="I5872" s="12" t="inlineStr">
        <is>
          <t>Fibre / data</t>
        </is>
      </c>
      <c r="J5872" s="12" t="inlineStr">
        <is>
          <t>Fibre optic, single-mode, 12-fibre, armored, orange jacket</t>
        </is>
      </c>
      <c r="K5872" s="12" t="inlineStr">
        <is>
          <t>FO|12 SM|-</t>
        </is>
      </c>
      <c r="L5872" s="12" t="inlineStr">
        <is>
          <t>12 SM</t>
        </is>
      </c>
      <c r="M5872" s="12" t="inlineStr">
        <is>
          <t>-</t>
        </is>
      </c>
      <c r="N5872" s="12" t="n">
        <v>1</v>
      </c>
      <c r="O5872" s="12" t="n">
        <v>1</v>
      </c>
      <c r="P5872" s="12" t="n"/>
      <c r="Q5872" s="12" t="n"/>
      <c r="R5872" s="12" t="n"/>
      <c r="S5872" s="12" t="inlineStr">
        <is>
          <t>Duct bank</t>
        </is>
      </c>
      <c r="T5872" s="15" t="n">
        <v>3499</v>
      </c>
      <c r="U5872" s="15" t="n">
        <v>359</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K-F-0003</t>
        </is>
      </c>
      <c r="B5873" s="12" t="inlineStr">
        <is>
          <t>K</t>
        </is>
      </c>
      <c r="C5873" s="12" t="inlineStr">
        <is>
          <t>Fuel supply (adjacent market)</t>
        </is>
      </c>
      <c r="D5873" s="12" t="inlineStr">
        <is>
          <t>Plant network / DCS fibre</t>
        </is>
      </c>
      <c r="E5873" s="12" t="inlineStr">
        <is>
          <t>CR</t>
        </is>
      </c>
      <c r="F5873" s="12" t="inlineStr">
        <is>
          <t>Control / admin building (main control room)</t>
        </is>
      </c>
      <c r="G5873" s="12" t="inlineStr"/>
      <c r="H5873" s="12" t="inlineStr">
        <is>
          <t>M&amp;R 6: regulation / flow control building</t>
        </is>
      </c>
      <c r="I5873" s="12" t="inlineStr">
        <is>
          <t>Fibre / data</t>
        </is>
      </c>
      <c r="J5873" s="12" t="inlineStr">
        <is>
          <t>Fibre optic, single-mode, 12-fibre, armored, orange jacket</t>
        </is>
      </c>
      <c r="K5873" s="12" t="inlineStr">
        <is>
          <t>FO|12 SM|-</t>
        </is>
      </c>
      <c r="L5873" s="12" t="inlineStr">
        <is>
          <t>12 SM</t>
        </is>
      </c>
      <c r="M5873" s="12" t="inlineStr">
        <is>
          <t>-</t>
        </is>
      </c>
      <c r="N5873" s="12" t="n">
        <v>1</v>
      </c>
      <c r="O5873" s="12" t="n">
        <v>1</v>
      </c>
      <c r="P5873" s="12" t="n"/>
      <c r="Q5873" s="12" t="n"/>
      <c r="R5873" s="12" t="n"/>
      <c r="S5873" s="12" t="inlineStr">
        <is>
          <t>Duct bank</t>
        </is>
      </c>
      <c r="T5873" s="15" t="n">
        <v>3128</v>
      </c>
      <c r="U5873" s="15" t="n">
        <v>302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K-F-0004</t>
        </is>
      </c>
      <c r="B5874" s="12" t="inlineStr">
        <is>
          <t>K</t>
        </is>
      </c>
      <c r="C5874" s="12" t="inlineStr">
        <is>
          <t>Fuel supply (adjacent market)</t>
        </is>
      </c>
      <c r="D5874" s="12" t="inlineStr">
        <is>
          <t>Plant network / DCS fibre</t>
        </is>
      </c>
      <c r="E5874" s="12" t="inlineStr">
        <is>
          <t>CR</t>
        </is>
      </c>
      <c r="F5874" s="12" t="inlineStr">
        <is>
          <t>Control / admin building (main control room)</t>
        </is>
      </c>
      <c r="G5874" s="12" t="inlineStr"/>
      <c r="H5874" s="12" t="inlineStr">
        <is>
          <t>M&amp;R 7: gas quality + measurement building</t>
        </is>
      </c>
      <c r="I5874" s="12" t="inlineStr">
        <is>
          <t>Fibre / data</t>
        </is>
      </c>
      <c r="J5874" s="12" t="inlineStr">
        <is>
          <t>Fibre optic, single-mode, 12-fibre, armored, orange jacket</t>
        </is>
      </c>
      <c r="K5874" s="12" t="inlineStr">
        <is>
          <t>FO|12 SM|-</t>
        </is>
      </c>
      <c r="L5874" s="12" t="inlineStr">
        <is>
          <t>12 SM</t>
        </is>
      </c>
      <c r="M5874" s="12" t="inlineStr">
        <is>
          <t>-</t>
        </is>
      </c>
      <c r="N5874" s="12" t="n">
        <v>1</v>
      </c>
      <c r="O5874" s="12" t="n">
        <v>1</v>
      </c>
      <c r="P5874" s="12" t="n"/>
      <c r="Q5874" s="12" t="n"/>
      <c r="R5874" s="12" t="n"/>
      <c r="S5874" s="12" t="inlineStr">
        <is>
          <t>Duct bank</t>
        </is>
      </c>
      <c r="T5874" s="15" t="n">
        <v>2978</v>
      </c>
      <c r="U5874" s="15" t="n">
        <v>284</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K-FA-0001</t>
        </is>
      </c>
      <c r="B5875" s="12" t="inlineStr">
        <is>
          <t>K</t>
        </is>
      </c>
      <c r="C5875" s="12" t="inlineStr">
        <is>
          <t>Fuel supply (adjacent market)</t>
        </is>
      </c>
      <c r="D5875" s="12" t="inlineStr">
        <is>
          <t>Fire alarm / F&amp;G loop (to the local FACP / F&amp;G node)</t>
        </is>
      </c>
      <c r="E5875" s="12" t="inlineStr"/>
      <c r="F5875" s="12" t="inlineStr">
        <is>
          <t>H2 20: 13.8 kV e-house</t>
        </is>
      </c>
      <c r="G5875" s="12" t="inlineStr"/>
      <c r="H5875" s="12" t="inlineStr">
        <is>
          <t>H2 20: 13.8 kV e-house</t>
        </is>
      </c>
      <c r="I5875" s="12" t="inlineStr">
        <is>
          <t>Fire alarm</t>
        </is>
      </c>
      <c r="J5875" s="12" t="inlineStr">
        <is>
          <t>Fire alarm FPLR 2/C #14 shielded, red jacket (NEC 760)</t>
        </is>
      </c>
      <c r="K5875" s="12" t="inlineStr">
        <is>
          <t>FA|2/C|14</t>
        </is>
      </c>
      <c r="L5875" s="12" t="inlineStr">
        <is>
          <t>2/C</t>
        </is>
      </c>
      <c r="M5875" s="12" t="inlineStr">
        <is>
          <t>14</t>
        </is>
      </c>
      <c r="N5875" s="12" t="n">
        <v>1</v>
      </c>
      <c r="O5875" s="12" t="n">
        <v>1</v>
      </c>
      <c r="P5875" s="12" t="n"/>
      <c r="Q5875" s="12" t="n"/>
      <c r="R5875" s="12" t="n"/>
      <c r="S5875" s="12" t="inlineStr">
        <is>
          <t>Tray</t>
        </is>
      </c>
      <c r="T5875" s="15" t="n">
        <v>0</v>
      </c>
      <c r="U5875" s="15" t="n">
        <v>32</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K-FA-0002</t>
        </is>
      </c>
      <c r="B5876" s="12" t="inlineStr">
        <is>
          <t>K</t>
        </is>
      </c>
      <c r="C5876" s="12" t="inlineStr">
        <is>
          <t>Fuel supply (adjacent market)</t>
        </is>
      </c>
      <c r="D5876" s="12" t="inlineStr">
        <is>
          <t>Fire alarm / F&amp;G loop (to the local FACP / F&amp;G node)</t>
        </is>
      </c>
      <c r="E5876" s="12" t="inlineStr"/>
      <c r="F5876" s="12" t="inlineStr">
        <is>
          <t>LNG 17: LNG e-house (13.8 kV / 480 V)</t>
        </is>
      </c>
      <c r="G5876" s="12" t="inlineStr"/>
      <c r="H5876" s="12" t="inlineStr">
        <is>
          <t>LNG 17: LNG e-house (13.8 kV / 480 V)</t>
        </is>
      </c>
      <c r="I5876" s="12" t="inlineStr">
        <is>
          <t>Fire alarm</t>
        </is>
      </c>
      <c r="J5876" s="12" t="inlineStr">
        <is>
          <t>Fire alarm FPLR 2/C #14 shielded, red jacket (NEC 760)</t>
        </is>
      </c>
      <c r="K5876" s="12" t="inlineStr">
        <is>
          <t>FA|2/C|14</t>
        </is>
      </c>
      <c r="L5876" s="12" t="inlineStr">
        <is>
          <t>2/C</t>
        </is>
      </c>
      <c r="M5876" s="12" t="inlineStr">
        <is>
          <t>14</t>
        </is>
      </c>
      <c r="N5876" s="12" t="n">
        <v>1</v>
      </c>
      <c r="O5876" s="12" t="n">
        <v>1</v>
      </c>
      <c r="P5876" s="12" t="n"/>
      <c r="Q5876" s="12" t="n"/>
      <c r="R5876" s="12" t="n"/>
      <c r="S5876" s="12" t="inlineStr">
        <is>
          <t>Tray</t>
        </is>
      </c>
      <c r="T5876" s="15" t="n">
        <v>0</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K-FA-0003</t>
        </is>
      </c>
      <c r="B5877" s="12" t="inlineStr">
        <is>
          <t>K</t>
        </is>
      </c>
      <c r="C5877" s="12" t="inlineStr">
        <is>
          <t>Fuel supply (adjacent market)</t>
        </is>
      </c>
      <c r="D5877" s="12" t="inlineStr">
        <is>
          <t>Fire alarm / F&amp;G loop (to the local FACP / F&amp;G node)</t>
        </is>
      </c>
      <c r="E5877" s="12" t="inlineStr"/>
      <c r="F5877" s="12" t="inlineStr">
        <is>
          <t>LNG 17: LNG e-house (13.8 kV / 480 V)</t>
        </is>
      </c>
      <c r="G5877" s="12" t="inlineStr"/>
      <c r="H5877" s="12" t="inlineStr">
        <is>
          <t>M&amp;R 6: regulation / flow control building</t>
        </is>
      </c>
      <c r="I5877" s="12" t="inlineStr">
        <is>
          <t>Fire alarm</t>
        </is>
      </c>
      <c r="J5877" s="12" t="inlineStr">
        <is>
          <t>Fire alarm FPLR 2/C #14 shielded, red jacket (NEC 760)</t>
        </is>
      </c>
      <c r="K5877" s="12" t="inlineStr">
        <is>
          <t>FA|2/C|14</t>
        </is>
      </c>
      <c r="L5877" s="12" t="inlineStr">
        <is>
          <t>2/C</t>
        </is>
      </c>
      <c r="M5877" s="12" t="inlineStr">
        <is>
          <t>14</t>
        </is>
      </c>
      <c r="N5877" s="12" t="n">
        <v>1</v>
      </c>
      <c r="O5877" s="12" t="n">
        <v>1</v>
      </c>
      <c r="P5877" s="12" t="n"/>
      <c r="Q5877" s="12" t="n"/>
      <c r="R5877" s="12" t="n"/>
      <c r="S5877" s="12" t="inlineStr">
        <is>
          <t>Duct bank</t>
        </is>
      </c>
      <c r="T5877" s="15" t="n">
        <v>470</v>
      </c>
      <c r="U5877" s="15" t="n">
        <v>70</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K-FA-0004</t>
        </is>
      </c>
      <c r="B5878" s="12" t="inlineStr">
        <is>
          <t>K</t>
        </is>
      </c>
      <c r="C5878" s="12" t="inlineStr">
        <is>
          <t>Fuel supply (adjacent market)</t>
        </is>
      </c>
      <c r="D5878" s="12" t="inlineStr">
        <is>
          <t>Fire alarm / F&amp;G loop (to the local FACP / F&amp;G node)</t>
        </is>
      </c>
      <c r="E5878" s="12" t="inlineStr"/>
      <c r="F5878" s="12" t="inlineStr">
        <is>
          <t>LNG 17: LNG e-house (13.8 kV / 480 V)</t>
        </is>
      </c>
      <c r="G5878" s="12" t="inlineStr"/>
      <c r="H5878" s="12" t="inlineStr">
        <is>
          <t>M&amp;R 9: service panel + UPS, SCADA RTU, CP</t>
        </is>
      </c>
      <c r="I5878" s="12" t="inlineStr">
        <is>
          <t>Fire alarm</t>
        </is>
      </c>
      <c r="J5878" s="12" t="inlineStr">
        <is>
          <t>Fire alarm FPLR 2/C #14 shielded, red jacket (NEC 760)</t>
        </is>
      </c>
      <c r="K5878" s="12" t="inlineStr">
        <is>
          <t>FA|2/C|14</t>
        </is>
      </c>
      <c r="L5878" s="12" t="inlineStr">
        <is>
          <t>2/C</t>
        </is>
      </c>
      <c r="M5878" s="12" t="inlineStr">
        <is>
          <t>14</t>
        </is>
      </c>
      <c r="N5878" s="12" t="n">
        <v>1</v>
      </c>
      <c r="O5878" s="12" t="n">
        <v>1</v>
      </c>
      <c r="P5878" s="12" t="n"/>
      <c r="Q5878" s="12" t="n"/>
      <c r="R5878" s="12" t="n"/>
      <c r="S5878" s="12" t="inlineStr">
        <is>
          <t>Duct bank</t>
        </is>
      </c>
      <c r="T5878" s="15" t="n">
        <v>466</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K-FA-0005</t>
        </is>
      </c>
      <c r="B5879" s="12" t="inlineStr">
        <is>
          <t>K</t>
        </is>
      </c>
      <c r="C5879" s="12" t="inlineStr">
        <is>
          <t>Fuel supply (adjacent market)</t>
        </is>
      </c>
      <c r="D5879" s="12" t="inlineStr">
        <is>
          <t>Fire alarm / F&amp;G loop (to the local FACP / F&amp;G node)</t>
        </is>
      </c>
      <c r="E5879" s="12" t="inlineStr"/>
      <c r="F5879" s="12" t="inlineStr">
        <is>
          <t>LNG 17: LNG e-house (13.8 kV / 480 V)</t>
        </is>
      </c>
      <c r="G5879" s="12" t="inlineStr"/>
      <c r="H5879" s="12" t="inlineStr">
        <is>
          <t>M&amp;R SCADA antenna mast base (as drawn)</t>
        </is>
      </c>
      <c r="I5879" s="12" t="inlineStr">
        <is>
          <t>Fire alarm</t>
        </is>
      </c>
      <c r="J5879" s="12" t="inlineStr">
        <is>
          <t>Fire alarm FPLR 2/C #14 shielded, red jacket (NEC 760)</t>
        </is>
      </c>
      <c r="K5879" s="12" t="inlineStr">
        <is>
          <t>FA|2/C|14</t>
        </is>
      </c>
      <c r="L5879" s="12" t="inlineStr">
        <is>
          <t>2/C</t>
        </is>
      </c>
      <c r="M5879" s="12" t="inlineStr">
        <is>
          <t>14</t>
        </is>
      </c>
      <c r="N5879" s="12" t="n">
        <v>1</v>
      </c>
      <c r="O5879" s="12" t="n">
        <v>1</v>
      </c>
      <c r="P5879" s="12" t="n"/>
      <c r="Q5879" s="12" t="n"/>
      <c r="R5879" s="12" t="n"/>
      <c r="S5879" s="12" t="inlineStr">
        <is>
          <t>Duct bank</t>
        </is>
      </c>
      <c r="T5879" s="15" t="n">
        <v>433</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K-I-0001</t>
        </is>
      </c>
      <c r="B5880" s="12" t="inlineStr">
        <is>
          <t>K</t>
        </is>
      </c>
      <c r="C5880" s="12" t="inlineStr">
        <is>
          <t>Fuel supply (adjacent market)</t>
        </is>
      </c>
      <c r="D5880" s="12" t="inlineStr">
        <is>
          <t>Analog instrument to JB JB-T-H2-AI01: 12 x 1 pr (field cables)</t>
        </is>
      </c>
      <c r="E5880" s="12" t="inlineStr">
        <is>
          <t>T-H2</t>
        </is>
      </c>
      <c r="F5880" s="12" t="inlineStr">
        <is>
          <t>H2 19: T-H2 230/13.8 kV (about 40 MVA)</t>
        </is>
      </c>
      <c r="G5880" s="12" t="inlineStr">
        <is>
          <t>JB-T-H2-AI01</t>
        </is>
      </c>
      <c r="H5880" s="12" t="inlineStr">
        <is>
          <t>H2 19: T-H2 230/13.8 kV (about 40 MVA)</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5" t="n">
        <v>80</v>
      </c>
      <c r="U5880" s="15" t="n">
        <v>10</v>
      </c>
      <c r="V5880" s="15">
        <f>ROUNDUP((T5880+U5880+2*'Read Me'!$B$13)*(1+'Read Me'!$B$12),-1)</f>
        <v/>
      </c>
      <c r="W5880" s="15">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K-I-0002</t>
        </is>
      </c>
      <c r="B5881" s="12" t="inlineStr">
        <is>
          <t>K</t>
        </is>
      </c>
      <c r="C5881" s="12" t="inlineStr">
        <is>
          <t>Fuel supply (adjacent market)</t>
        </is>
      </c>
      <c r="D5881" s="12" t="inlineStr">
        <is>
          <t>Home run JB-T-H2-AI01 to the control / marshalling room</t>
        </is>
      </c>
      <c r="E5881" s="12" t="inlineStr"/>
      <c r="F5881" s="12" t="inlineStr">
        <is>
          <t>H2 20: 13.8 kV e-house</t>
        </is>
      </c>
      <c r="G5881" s="12" t="inlineStr">
        <is>
          <t>JB-T-H2-AI01</t>
        </is>
      </c>
      <c r="H5881" s="12" t="inlineStr">
        <is>
          <t>H2 19: T-H2 230/13.8 kV (about 40 MVA)</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5" t="n">
        <v>35</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K-I-0003</t>
        </is>
      </c>
      <c r="B5882" s="12" t="inlineStr">
        <is>
          <t>K</t>
        </is>
      </c>
      <c r="C5882" s="12" t="inlineStr">
        <is>
          <t>Fuel supply (adjacent market)</t>
        </is>
      </c>
      <c r="D5882" s="12" t="inlineStr">
        <is>
          <t>Discrete device to JB JB-T-H2-DI01: 12 x 1 pr (field cables)</t>
        </is>
      </c>
      <c r="E5882" s="12" t="inlineStr">
        <is>
          <t>T-H2</t>
        </is>
      </c>
      <c r="F5882" s="12" t="inlineStr">
        <is>
          <t>H2 19: T-H2 230/13.8 kV (about 40 MVA)</t>
        </is>
      </c>
      <c r="G5882" s="12" t="inlineStr">
        <is>
          <t>JB-T-H2-DI01</t>
        </is>
      </c>
      <c r="H5882" s="12" t="inlineStr">
        <is>
          <t>H2 19: T-H2 230/13.8 kV (about 40 MVA)</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5" t="n">
        <v>80</v>
      </c>
      <c r="U5882" s="15" t="n">
        <v>10</v>
      </c>
      <c r="V5882" s="15">
        <f>ROUNDUP((T5882+U5882+2*'Read Me'!$B$13)*(1+'Read Me'!$B$12),-1)</f>
        <v/>
      </c>
      <c r="W5882" s="15">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K-I-0004</t>
        </is>
      </c>
      <c r="B5883" s="12" t="inlineStr">
        <is>
          <t>K</t>
        </is>
      </c>
      <c r="C5883" s="12" t="inlineStr">
        <is>
          <t>Fuel supply (adjacent market)</t>
        </is>
      </c>
      <c r="D5883" s="12" t="inlineStr">
        <is>
          <t>Home run JB-T-H2-DI01 to the control / marshalling room</t>
        </is>
      </c>
      <c r="E5883" s="12" t="inlineStr"/>
      <c r="F5883" s="12" t="inlineStr">
        <is>
          <t>H2 20: 13.8 kV e-house</t>
        </is>
      </c>
      <c r="G5883" s="12" t="inlineStr">
        <is>
          <t>JB-T-H2-DI01</t>
        </is>
      </c>
      <c r="H5883" s="12" t="inlineStr">
        <is>
          <t>H2 19: T-H2 230/13.8 kV (about 40 MVA)</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5" t="n">
        <v>35</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K-I-0005</t>
        </is>
      </c>
      <c r="B5884" s="12" t="inlineStr">
        <is>
          <t>K</t>
        </is>
      </c>
      <c r="C5884" s="12" t="inlineStr">
        <is>
          <t>Fuel supply (adjacent market)</t>
        </is>
      </c>
      <c r="D5884" s="12" t="inlineStr">
        <is>
          <t>Analog instrument to JB JB-H2 20: 13.8 kV e-h-AI01: 12 x 1 pr (field cables)</t>
        </is>
      </c>
      <c r="E5884" s="12" t="inlineStr"/>
      <c r="F5884" s="12" t="inlineStr">
        <is>
          <t>H2 20: 13.8 kV e-house</t>
        </is>
      </c>
      <c r="G5884" s="12" t="inlineStr">
        <is>
          <t>JB-H2 20: 13.8 kV e-h-AI01</t>
        </is>
      </c>
      <c r="H5884" s="12" t="inlineStr">
        <is>
          <t>H2 20: 13.8 kV e-house</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69</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K-I-0006</t>
        </is>
      </c>
      <c r="B5885" s="12" t="inlineStr">
        <is>
          <t>K</t>
        </is>
      </c>
      <c r="C5885" s="12" t="inlineStr">
        <is>
          <t>Fuel supply (adjacent market)</t>
        </is>
      </c>
      <c r="D5885" s="12" t="inlineStr">
        <is>
          <t>Home run JB-H2 20: 13.8 kV e-h-AI01 to the control / marshalling room</t>
        </is>
      </c>
      <c r="E5885" s="12" t="inlineStr"/>
      <c r="F5885" s="12" t="inlineStr">
        <is>
          <t>H2 20: 13.8 kV e-house</t>
        </is>
      </c>
      <c r="G5885" s="12" t="inlineStr">
        <is>
          <t>JB-H2 20: 13.8 kV e-h-AI01</t>
        </is>
      </c>
      <c r="H5885" s="12" t="inlineStr">
        <is>
          <t>H2 20: 13.8 kV e-house</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Tray</t>
        </is>
      </c>
      <c r="T5885" s="15" t="n">
        <v>0</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K-I-0007</t>
        </is>
      </c>
      <c r="B5886" s="12" t="inlineStr">
        <is>
          <t>K</t>
        </is>
      </c>
      <c r="C5886" s="12" t="inlineStr">
        <is>
          <t>Fuel supply (adjacent market)</t>
        </is>
      </c>
      <c r="D5886" s="12" t="inlineStr">
        <is>
          <t>Discrete device to JB JB-H2 20: 13.8 kV e-h-DI01: 12 x 1 pr (field cables)</t>
        </is>
      </c>
      <c r="E5886" s="12" t="inlineStr"/>
      <c r="F5886" s="12" t="inlineStr">
        <is>
          <t>H2 20: 13.8 kV e-house</t>
        </is>
      </c>
      <c r="G5886" s="12" t="inlineStr">
        <is>
          <t>JB-H2 20: 13.8 kV e-h-DI01</t>
        </is>
      </c>
      <c r="H5886" s="12" t="inlineStr">
        <is>
          <t>H2 20: 13.8 kV e-house</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69</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K-I-0008</t>
        </is>
      </c>
      <c r="B5887" s="12" t="inlineStr">
        <is>
          <t>K</t>
        </is>
      </c>
      <c r="C5887" s="12" t="inlineStr">
        <is>
          <t>Fuel supply (adjacent market)</t>
        </is>
      </c>
      <c r="D5887" s="12" t="inlineStr">
        <is>
          <t>Home run JB-H2 20: 13.8 kV e-h-DI01 to the control / marshalling room</t>
        </is>
      </c>
      <c r="E5887" s="12" t="inlineStr"/>
      <c r="F5887" s="12" t="inlineStr">
        <is>
          <t>H2 20: 13.8 kV e-house</t>
        </is>
      </c>
      <c r="G5887" s="12" t="inlineStr">
        <is>
          <t>JB-H2 20: 13.8 kV e-h-DI01</t>
        </is>
      </c>
      <c r="H5887" s="12" t="inlineStr">
        <is>
          <t>H2 20: 13.8 kV e-house</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Tray</t>
        </is>
      </c>
      <c r="T5887" s="15" t="n">
        <v>0</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K-I-0009</t>
        </is>
      </c>
      <c r="B5888" s="12" t="inlineStr">
        <is>
          <t>K</t>
        </is>
      </c>
      <c r="C5888" s="12" t="inlineStr">
        <is>
          <t>Fuel supply (adjacent market)</t>
        </is>
      </c>
      <c r="D5888" s="12" t="inlineStr">
        <is>
          <t>Analog instrument to JB JB-H2 21: rectifier t-AI01: 12 x 1 pr (field cables)</t>
        </is>
      </c>
      <c r="E5888" s="12" t="inlineStr"/>
      <c r="F5888" s="12" t="inlineStr">
        <is>
          <t>H2 21: rectifier transformer 1 (7 MVA)</t>
        </is>
      </c>
      <c r="G5888" s="12" t="inlineStr">
        <is>
          <t>JB-H2 21: rectifier t-AI01</t>
        </is>
      </c>
      <c r="H5888" s="12" t="inlineStr">
        <is>
          <t>H2 21: rectifier transformer 1 (7 MVA)</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41</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K-I-0010</t>
        </is>
      </c>
      <c r="B5889" s="12" t="inlineStr">
        <is>
          <t>K</t>
        </is>
      </c>
      <c r="C5889" s="12" t="inlineStr">
        <is>
          <t>Fuel supply (adjacent market)</t>
        </is>
      </c>
      <c r="D5889" s="12" t="inlineStr">
        <is>
          <t>Home run JB-H2 21: rectifier t-AI01 to the control / marshalling room</t>
        </is>
      </c>
      <c r="E5889" s="12" t="inlineStr"/>
      <c r="F5889" s="12" t="inlineStr">
        <is>
          <t>H2 20: 13.8 kV e-house</t>
        </is>
      </c>
      <c r="G5889" s="12" t="inlineStr">
        <is>
          <t>JB-H2 21: rectifier t-AI01</t>
        </is>
      </c>
      <c r="H5889" s="12" t="inlineStr">
        <is>
          <t>H2 21: rectifier transformer 1 (7 MVA)</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5" t="n">
        <v>356</v>
      </c>
      <c r="U5889" s="15" t="n">
        <v>48</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K-I-0011</t>
        </is>
      </c>
      <c r="B5890" s="12" t="inlineStr">
        <is>
          <t>K</t>
        </is>
      </c>
      <c r="C5890" s="12" t="inlineStr">
        <is>
          <t>Fuel supply (adjacent market)</t>
        </is>
      </c>
      <c r="D5890" s="12" t="inlineStr">
        <is>
          <t>Discrete device to JB JB-H2 21: rectifier t-DI01: 12 x 1 pr (field cables)</t>
        </is>
      </c>
      <c r="E5890" s="12" t="inlineStr"/>
      <c r="F5890" s="12" t="inlineStr">
        <is>
          <t>H2 21: rectifier transformer 1 (7 MVA)</t>
        </is>
      </c>
      <c r="G5890" s="12" t="inlineStr">
        <is>
          <t>JB-H2 21: rectifier t-DI01</t>
        </is>
      </c>
      <c r="H5890" s="12" t="inlineStr">
        <is>
          <t>H2 21: rectifier transformer 1 (7 MVA)</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41</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K-I-0012</t>
        </is>
      </c>
      <c r="B5891" s="12" t="inlineStr">
        <is>
          <t>K</t>
        </is>
      </c>
      <c r="C5891" s="12" t="inlineStr">
        <is>
          <t>Fuel supply (adjacent market)</t>
        </is>
      </c>
      <c r="D5891" s="12" t="inlineStr">
        <is>
          <t>Home run JB-H2 21: rectifier t-DI01 to the control / marshalling room</t>
        </is>
      </c>
      <c r="E5891" s="12" t="inlineStr"/>
      <c r="F5891" s="12" t="inlineStr">
        <is>
          <t>H2 20: 13.8 kV e-house</t>
        </is>
      </c>
      <c r="G5891" s="12" t="inlineStr">
        <is>
          <t>JB-H2 21: rectifier t-DI01</t>
        </is>
      </c>
      <c r="H5891" s="12" t="inlineStr">
        <is>
          <t>H2 21: rectifier transformer 1 (7 MVA)</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Duct bank</t>
        </is>
      </c>
      <c r="T5891" s="15" t="n">
        <v>356</v>
      </c>
      <c r="U5891" s="15" t="n">
        <v>48</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K-I-0013</t>
        </is>
      </c>
      <c r="B5892" s="12" t="inlineStr">
        <is>
          <t>K</t>
        </is>
      </c>
      <c r="C5892" s="12" t="inlineStr">
        <is>
          <t>Fuel supply (adjacent market)</t>
        </is>
      </c>
      <c r="D5892" s="12" t="inlineStr">
        <is>
          <t>Analog instrument to JB JB-H2 21: rectifier t-AI01: 12 x 1 pr (field cables)</t>
        </is>
      </c>
      <c r="E5892" s="12" t="inlineStr"/>
      <c r="F5892" s="12" t="inlineStr">
        <is>
          <t>H2 21: rectifier transformer 2 (7 MVA)</t>
        </is>
      </c>
      <c r="G5892" s="12" t="inlineStr">
        <is>
          <t>JB-H2 21: rectifier t-AI01</t>
        </is>
      </c>
      <c r="H5892" s="12" t="inlineStr">
        <is>
          <t>H2 21: rectifier transformer 2 (7 MVA)</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41</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K-I-0014</t>
        </is>
      </c>
      <c r="B5893" s="12" t="inlineStr">
        <is>
          <t>K</t>
        </is>
      </c>
      <c r="C5893" s="12" t="inlineStr">
        <is>
          <t>Fuel supply (adjacent market)</t>
        </is>
      </c>
      <c r="D5893" s="12" t="inlineStr">
        <is>
          <t>Home run JB-H2 21: rectifier t-AI01 to the control / marshalling room</t>
        </is>
      </c>
      <c r="E5893" s="12" t="inlineStr"/>
      <c r="F5893" s="12" t="inlineStr">
        <is>
          <t>H2 20: 13.8 kV e-house</t>
        </is>
      </c>
      <c r="G5893" s="12" t="inlineStr">
        <is>
          <t>JB-H2 21: rectifier t-AI01</t>
        </is>
      </c>
      <c r="H5893" s="12" t="inlineStr">
        <is>
          <t>H2 21: rectifier transformer 2 (7 MVA)</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356</v>
      </c>
      <c r="U5893" s="15" t="n">
        <v>32</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K-I-0015</t>
        </is>
      </c>
      <c r="B5894" s="12" t="inlineStr">
        <is>
          <t>K</t>
        </is>
      </c>
      <c r="C5894" s="12" t="inlineStr">
        <is>
          <t>Fuel supply (adjacent market)</t>
        </is>
      </c>
      <c r="D5894" s="12" t="inlineStr">
        <is>
          <t>Discrete device to JB JB-H2 21: rectifier t-DI01: 12 x 1 pr (field cables)</t>
        </is>
      </c>
      <c r="E5894" s="12" t="inlineStr"/>
      <c r="F5894" s="12" t="inlineStr">
        <is>
          <t>H2 21: rectifier transformer 2 (7 MVA)</t>
        </is>
      </c>
      <c r="G5894" s="12" t="inlineStr">
        <is>
          <t>JB-H2 21: rectifier t-DI01</t>
        </is>
      </c>
      <c r="H5894" s="12" t="inlineStr">
        <is>
          <t>H2 21: rectifier transformer 2 (7 MVA)</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41</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K-I-0016</t>
        </is>
      </c>
      <c r="B5895" s="12" t="inlineStr">
        <is>
          <t>K</t>
        </is>
      </c>
      <c r="C5895" s="12" t="inlineStr">
        <is>
          <t>Fuel supply (adjacent market)</t>
        </is>
      </c>
      <c r="D5895" s="12" t="inlineStr">
        <is>
          <t>Home run JB-H2 21: rectifier t-DI01 to the control / marshalling room</t>
        </is>
      </c>
      <c r="E5895" s="12" t="inlineStr"/>
      <c r="F5895" s="12" t="inlineStr">
        <is>
          <t>H2 20: 13.8 kV e-house</t>
        </is>
      </c>
      <c r="G5895" s="12" t="inlineStr">
        <is>
          <t>JB-H2 21: rectifier t-DI01</t>
        </is>
      </c>
      <c r="H5895" s="12" t="inlineStr">
        <is>
          <t>H2 21: rectifier transformer 2 (7 MVA)</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356</v>
      </c>
      <c r="U5895" s="15" t="n">
        <v>32</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K-I-0017</t>
        </is>
      </c>
      <c r="B5896" s="12" t="inlineStr">
        <is>
          <t>K</t>
        </is>
      </c>
      <c r="C5896" s="12" t="inlineStr">
        <is>
          <t>Fuel supply (adjacent market)</t>
        </is>
      </c>
      <c r="D5896" s="12" t="inlineStr">
        <is>
          <t>Analog instrument to JB JB-H2 21: rectifier t-AI01: 12 x 1 pr (field cables)</t>
        </is>
      </c>
      <c r="E5896" s="12" t="inlineStr"/>
      <c r="F5896" s="12" t="inlineStr">
        <is>
          <t>H2 21: rectifier transformer 3 (7 MVA)</t>
        </is>
      </c>
      <c r="G5896" s="12" t="inlineStr">
        <is>
          <t>JB-H2 21: rectifier t-AI01</t>
        </is>
      </c>
      <c r="H5896" s="12" t="inlineStr">
        <is>
          <t>H2 21: rectifier transformer 3 (7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41</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K-I-0018</t>
        </is>
      </c>
      <c r="B5897" s="12" t="inlineStr">
        <is>
          <t>K</t>
        </is>
      </c>
      <c r="C5897" s="12" t="inlineStr">
        <is>
          <t>Fuel supply (adjacent market)</t>
        </is>
      </c>
      <c r="D5897" s="12" t="inlineStr">
        <is>
          <t>Home run JB-H2 21: rectifier t-AI01 to the control / marshalling room</t>
        </is>
      </c>
      <c r="E5897" s="12" t="inlineStr"/>
      <c r="F5897" s="12" t="inlineStr">
        <is>
          <t>H2 20: 13.8 kV e-house</t>
        </is>
      </c>
      <c r="G5897" s="12" t="inlineStr">
        <is>
          <t>JB-H2 21: rectifier t-AI01</t>
        </is>
      </c>
      <c r="H5897" s="12" t="inlineStr">
        <is>
          <t>H2 21: rectifier transformer 3 (7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334</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K-I-0019</t>
        </is>
      </c>
      <c r="B5898" s="12" t="inlineStr">
        <is>
          <t>K</t>
        </is>
      </c>
      <c r="C5898" s="12" t="inlineStr">
        <is>
          <t>Fuel supply (adjacent market)</t>
        </is>
      </c>
      <c r="D5898" s="12" t="inlineStr">
        <is>
          <t>Discrete device to JB JB-H2 21: rectifier t-DI01: 12 x 1 pr (field cables)</t>
        </is>
      </c>
      <c r="E5898" s="12" t="inlineStr"/>
      <c r="F5898" s="12" t="inlineStr">
        <is>
          <t>H2 21: rectifier transformer 3 (7 MVA)</t>
        </is>
      </c>
      <c r="G5898" s="12" t="inlineStr">
        <is>
          <t>JB-H2 21: rectifier t-DI01</t>
        </is>
      </c>
      <c r="H5898" s="12" t="inlineStr">
        <is>
          <t>H2 21: rectifier transformer 3 (7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41</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K-I-0020</t>
        </is>
      </c>
      <c r="B5899" s="12" t="inlineStr">
        <is>
          <t>K</t>
        </is>
      </c>
      <c r="C5899" s="12" t="inlineStr">
        <is>
          <t>Fuel supply (adjacent market)</t>
        </is>
      </c>
      <c r="D5899" s="12" t="inlineStr">
        <is>
          <t>Home run JB-H2 21: rectifier t-DI01 to the control / marshalling room</t>
        </is>
      </c>
      <c r="E5899" s="12" t="inlineStr"/>
      <c r="F5899" s="12" t="inlineStr">
        <is>
          <t>H2 20: 13.8 kV e-house</t>
        </is>
      </c>
      <c r="G5899" s="12" t="inlineStr">
        <is>
          <t>JB-H2 21: rectifier t-DI01</t>
        </is>
      </c>
      <c r="H5899" s="12" t="inlineStr">
        <is>
          <t>H2 21: rectifier transformer 3 (7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334</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K-I-0021</t>
        </is>
      </c>
      <c r="B5900" s="12" t="inlineStr">
        <is>
          <t>K</t>
        </is>
      </c>
      <c r="C5900" s="12" t="inlineStr">
        <is>
          <t>Fuel supply (adjacent market)</t>
        </is>
      </c>
      <c r="D5900" s="12" t="inlineStr">
        <is>
          <t>Analog instrument to JB JB-H2 21: rectifier t-AI01: 12 x 1 pr (field cables)</t>
        </is>
      </c>
      <c r="E5900" s="12" t="inlineStr"/>
      <c r="F5900" s="12" t="inlineStr">
        <is>
          <t>H2 21: rectifier transformer 4 (7 MVA)</t>
        </is>
      </c>
      <c r="G5900" s="12" t="inlineStr">
        <is>
          <t>JB-H2 21: rectifier t-AI01</t>
        </is>
      </c>
      <c r="H5900" s="12" t="inlineStr">
        <is>
          <t>H2 21: rectifier transformer 4 (7 MVA)</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41</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K-I-0022</t>
        </is>
      </c>
      <c r="B5901" s="12" t="inlineStr">
        <is>
          <t>K</t>
        </is>
      </c>
      <c r="C5901" s="12" t="inlineStr">
        <is>
          <t>Fuel supply (adjacent market)</t>
        </is>
      </c>
      <c r="D5901" s="12" t="inlineStr">
        <is>
          <t>Home run JB-H2 21: rectifier t-AI01 to the control / marshalling room</t>
        </is>
      </c>
      <c r="E5901" s="12" t="inlineStr"/>
      <c r="F5901" s="12" t="inlineStr">
        <is>
          <t>H2 20: 13.8 kV e-house</t>
        </is>
      </c>
      <c r="G5901" s="12" t="inlineStr">
        <is>
          <t>JB-H2 21: rectifier t-AI01</t>
        </is>
      </c>
      <c r="H5901" s="12" t="inlineStr">
        <is>
          <t>H2 21: rectifier transformer 4 (7 MVA)</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312</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K-I-0023</t>
        </is>
      </c>
      <c r="B5902" s="12" t="inlineStr">
        <is>
          <t>K</t>
        </is>
      </c>
      <c r="C5902" s="12" t="inlineStr">
        <is>
          <t>Fuel supply (adjacent market)</t>
        </is>
      </c>
      <c r="D5902" s="12" t="inlineStr">
        <is>
          <t>Discrete device to JB JB-H2 21: rectifier t-DI01: 12 x 1 pr (field cables)</t>
        </is>
      </c>
      <c r="E5902" s="12" t="inlineStr"/>
      <c r="F5902" s="12" t="inlineStr">
        <is>
          <t>H2 21: rectifier transformer 4 (7 MVA)</t>
        </is>
      </c>
      <c r="G5902" s="12" t="inlineStr">
        <is>
          <t>JB-H2 21: rectifier t-DI01</t>
        </is>
      </c>
      <c r="H5902" s="12" t="inlineStr">
        <is>
          <t>H2 21: rectifier transformer 4 (7 MVA)</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41</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K-I-0024</t>
        </is>
      </c>
      <c r="B5903" s="12" t="inlineStr">
        <is>
          <t>K</t>
        </is>
      </c>
      <c r="C5903" s="12" t="inlineStr">
        <is>
          <t>Fuel supply (adjacent market)</t>
        </is>
      </c>
      <c r="D5903" s="12" t="inlineStr">
        <is>
          <t>Home run JB-H2 21: rectifier t-DI01 to the control / marshalling room</t>
        </is>
      </c>
      <c r="E5903" s="12" t="inlineStr"/>
      <c r="F5903" s="12" t="inlineStr">
        <is>
          <t>H2 20: 13.8 kV e-house</t>
        </is>
      </c>
      <c r="G5903" s="12" t="inlineStr">
        <is>
          <t>JB-H2 21: rectifier t-DI01</t>
        </is>
      </c>
      <c r="H5903" s="12" t="inlineStr">
        <is>
          <t>H2 21: rectifier transformer 4 (7 MVA)</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312</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K-I-0025</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5 (7 MVA)</t>
        </is>
      </c>
      <c r="G5904" s="12" t="inlineStr">
        <is>
          <t>JB-H2 21: rectifier t-AI01</t>
        </is>
      </c>
      <c r="H5904" s="12" t="inlineStr">
        <is>
          <t>H2 21: rectifier transformer 5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K-I-0026</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5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254</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K-I-0027</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5 (7 MVA)</t>
        </is>
      </c>
      <c r="G5906" s="12" t="inlineStr">
        <is>
          <t>JB-H2 21: rectifier t-DI01</t>
        </is>
      </c>
      <c r="H5906" s="12" t="inlineStr">
        <is>
          <t>H2 21: rectifier transformer 5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K-I-0028</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5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254</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K-I-0029</t>
        </is>
      </c>
      <c r="B5908" s="12" t="inlineStr">
        <is>
          <t>K</t>
        </is>
      </c>
      <c r="C5908" s="12" t="inlineStr">
        <is>
          <t>Fuel supply (adjacent market)</t>
        </is>
      </c>
      <c r="D5908" s="12" t="inlineStr">
        <is>
          <t>Analog instrument to JB JB-H2-EL-AI01: 12 x 1 pr (field cables)</t>
        </is>
      </c>
      <c r="E5908" s="12" t="inlineStr">
        <is>
          <t>H2-EL</t>
        </is>
      </c>
      <c r="F5908" s="12" t="inlineStr">
        <is>
          <t>H2 22: electrolyzer building (5 x HyLYZER-1000 + 5 rectifiers)</t>
        </is>
      </c>
      <c r="G5908" s="12" t="inlineStr">
        <is>
          <t>JB-H2-EL-AI01</t>
        </is>
      </c>
      <c r="H5908" s="12" t="inlineStr">
        <is>
          <t>H2 22: electrolyzer building (5 x HyLYZER-1000 + 5 rectifiers)</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157</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K-I-0030</t>
        </is>
      </c>
      <c r="B5909" s="12" t="inlineStr">
        <is>
          <t>K</t>
        </is>
      </c>
      <c r="C5909" s="12" t="inlineStr">
        <is>
          <t>Fuel supply (adjacent market)</t>
        </is>
      </c>
      <c r="D5909" s="12" t="inlineStr">
        <is>
          <t>Home run JB-H2-EL-AI01 to the control / marshalling room</t>
        </is>
      </c>
      <c r="E5909" s="12" t="inlineStr"/>
      <c r="F5909" s="12" t="inlineStr">
        <is>
          <t>H2 20: 13.8 kV e-house</t>
        </is>
      </c>
      <c r="G5909" s="12" t="inlineStr">
        <is>
          <t>JB-H2-EL-AI01</t>
        </is>
      </c>
      <c r="H5909" s="12" t="inlineStr">
        <is>
          <t>H2 22: electrolyzer building (5 x HyLYZER-1000 + 5 rectifiers)</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346</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K-I-0031</t>
        </is>
      </c>
      <c r="B5910" s="12" t="inlineStr">
        <is>
          <t>K</t>
        </is>
      </c>
      <c r="C5910" s="12" t="inlineStr">
        <is>
          <t>Fuel supply (adjacent market)</t>
        </is>
      </c>
      <c r="D5910" s="12" t="inlineStr">
        <is>
          <t>Discrete device to JB JB-H2-EL-DI01: 12 x 1 pr (field cables)</t>
        </is>
      </c>
      <c r="E5910" s="12" t="inlineStr">
        <is>
          <t>H2-EL</t>
        </is>
      </c>
      <c r="F5910" s="12" t="inlineStr">
        <is>
          <t>H2 22: electrolyzer building (5 x HyLYZER-1000 + 5 rectifiers)</t>
        </is>
      </c>
      <c r="G5910" s="12" t="inlineStr">
        <is>
          <t>JB-H2-EL-DI01</t>
        </is>
      </c>
      <c r="H5910" s="12" t="inlineStr">
        <is>
          <t>H2 22: electrolyzer building (5 x HyLYZER-1000 + 5 rectifiers)</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157</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K-I-0032</t>
        </is>
      </c>
      <c r="B5911" s="12" t="inlineStr">
        <is>
          <t>K</t>
        </is>
      </c>
      <c r="C5911" s="12" t="inlineStr">
        <is>
          <t>Fuel supply (adjacent market)</t>
        </is>
      </c>
      <c r="D5911" s="12" t="inlineStr">
        <is>
          <t>Home run JB-H2-EL-DI01 to the control / marshalling room</t>
        </is>
      </c>
      <c r="E5911" s="12" t="inlineStr"/>
      <c r="F5911" s="12" t="inlineStr">
        <is>
          <t>H2 20: 13.8 kV e-house</t>
        </is>
      </c>
      <c r="G5911" s="12" t="inlineStr">
        <is>
          <t>JB-H2-EL-DI01</t>
        </is>
      </c>
      <c r="H5911" s="12" t="inlineStr">
        <is>
          <t>H2 22: electrolyzer building (5 x HyLYZER-1000 + 5 rectifiers)</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346</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K-I-0033</t>
        </is>
      </c>
      <c r="B5912" s="12" t="inlineStr">
        <is>
          <t>K</t>
        </is>
      </c>
      <c r="C5912" s="12" t="inlineStr">
        <is>
          <t>Fuel supply (adjacent market)</t>
        </is>
      </c>
      <c r="D5912" s="12" t="inlineStr">
        <is>
          <t>Analog instrument to JB JB-H2 23: dry coolers-AI01: 12 x 1 pr (field cables)</t>
        </is>
      </c>
      <c r="E5912" s="12" t="inlineStr"/>
      <c r="F5912" s="12" t="inlineStr">
        <is>
          <t>H2 23: dry coolers</t>
        </is>
      </c>
      <c r="G5912" s="12" t="inlineStr">
        <is>
          <t>JB-H2 23: dry coolers-AI01</t>
        </is>
      </c>
      <c r="H5912" s="12" t="inlineStr">
        <is>
          <t>H2 23: dry coolers</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111</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K-I-0034</t>
        </is>
      </c>
      <c r="B5913" s="12" t="inlineStr">
        <is>
          <t>K</t>
        </is>
      </c>
      <c r="C5913" s="12" t="inlineStr">
        <is>
          <t>Fuel supply (adjacent market)</t>
        </is>
      </c>
      <c r="D5913" s="12" t="inlineStr">
        <is>
          <t>Home run JB-H2 23: dry coolers-AI01 to the control / marshalling room</t>
        </is>
      </c>
      <c r="E5913" s="12" t="inlineStr"/>
      <c r="F5913" s="12" t="inlineStr">
        <is>
          <t>H2 20: 13.8 kV e-house</t>
        </is>
      </c>
      <c r="G5913" s="12" t="inlineStr">
        <is>
          <t>JB-H2 23: dry coolers-AI01</t>
        </is>
      </c>
      <c r="H5913" s="12" t="inlineStr">
        <is>
          <t>H2 23: dry coolers</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100</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K-I-0035</t>
        </is>
      </c>
      <c r="B5914" s="12" t="inlineStr">
        <is>
          <t>K</t>
        </is>
      </c>
      <c r="C5914" s="12" t="inlineStr">
        <is>
          <t>Fuel supply (adjacent market)</t>
        </is>
      </c>
      <c r="D5914" s="12" t="inlineStr">
        <is>
          <t>Discrete device to JB JB-H2 23: dry coolers-DI01: 12 x 1 pr (field cables)</t>
        </is>
      </c>
      <c r="E5914" s="12" t="inlineStr"/>
      <c r="F5914" s="12" t="inlineStr">
        <is>
          <t>H2 23: dry coolers</t>
        </is>
      </c>
      <c r="G5914" s="12" t="inlineStr">
        <is>
          <t>JB-H2 23: dry coolers-DI01</t>
        </is>
      </c>
      <c r="H5914" s="12" t="inlineStr">
        <is>
          <t>H2 23: dry coolers</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111</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K-I-0036</t>
        </is>
      </c>
      <c r="B5915" s="12" t="inlineStr">
        <is>
          <t>K</t>
        </is>
      </c>
      <c r="C5915" s="12" t="inlineStr">
        <is>
          <t>Fuel supply (adjacent market)</t>
        </is>
      </c>
      <c r="D5915" s="12" t="inlineStr">
        <is>
          <t>Home run JB-H2 23: dry coolers-DI01 to the control / marshalling room</t>
        </is>
      </c>
      <c r="E5915" s="12" t="inlineStr"/>
      <c r="F5915" s="12" t="inlineStr">
        <is>
          <t>H2 20: 13.8 kV e-house</t>
        </is>
      </c>
      <c r="G5915" s="12" t="inlineStr">
        <is>
          <t>JB-H2 23: dry coolers-DI01</t>
        </is>
      </c>
      <c r="H5915" s="12" t="inlineStr">
        <is>
          <t>H2 23: dry coolers</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100</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K-I-0037</t>
        </is>
      </c>
      <c r="B5916" s="12" t="inlineStr">
        <is>
          <t>K</t>
        </is>
      </c>
      <c r="C5916" s="12" t="inlineStr">
        <is>
          <t>Fuel supply (adjacent market)</t>
        </is>
      </c>
      <c r="D5916" s="12" t="inlineStr">
        <is>
          <t>Analog instrument to JB JB-H2 24: water purif-AI01: 12 x 1 pr (field cables)</t>
        </is>
      </c>
      <c r="E5916" s="12" t="inlineStr"/>
      <c r="F5916" s="12" t="inlineStr">
        <is>
          <t>H2 24: water purification (RO / EDI)</t>
        </is>
      </c>
      <c r="G5916" s="12" t="inlineStr">
        <is>
          <t>JB-H2 24: water purif-AI01</t>
        </is>
      </c>
      <c r="H5916" s="12" t="inlineStr">
        <is>
          <t>H2 24: water purification (RO / EDI)</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60</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K-I-0038</t>
        </is>
      </c>
      <c r="B5917" s="12" t="inlineStr">
        <is>
          <t>K</t>
        </is>
      </c>
      <c r="C5917" s="12" t="inlineStr">
        <is>
          <t>Fuel supply (adjacent market)</t>
        </is>
      </c>
      <c r="D5917" s="12" t="inlineStr">
        <is>
          <t>Home run JB-H2 24: water purif-AI01 to the control / marshalling room</t>
        </is>
      </c>
      <c r="E5917" s="12" t="inlineStr"/>
      <c r="F5917" s="12" t="inlineStr">
        <is>
          <t>H2 20: 13.8 kV e-house</t>
        </is>
      </c>
      <c r="G5917" s="12" t="inlineStr">
        <is>
          <t>JB-H2 24: water purif-AI01</t>
        </is>
      </c>
      <c r="H5917" s="12" t="inlineStr">
        <is>
          <t>H2 24: water purification (RO / EDI)</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146</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K-I-0039</t>
        </is>
      </c>
      <c r="B5918" s="12" t="inlineStr">
        <is>
          <t>K</t>
        </is>
      </c>
      <c r="C5918" s="12" t="inlineStr">
        <is>
          <t>Fuel supply (adjacent market)</t>
        </is>
      </c>
      <c r="D5918" s="12" t="inlineStr">
        <is>
          <t>Discrete device to JB JB-H2 24: water purif-DI01: 12 x 1 pr (field cables)</t>
        </is>
      </c>
      <c r="E5918" s="12" t="inlineStr"/>
      <c r="F5918" s="12" t="inlineStr">
        <is>
          <t>H2 24: water purification (RO / EDI)</t>
        </is>
      </c>
      <c r="G5918" s="12" t="inlineStr">
        <is>
          <t>JB-H2 24: water purif-DI01</t>
        </is>
      </c>
      <c r="H5918" s="12" t="inlineStr">
        <is>
          <t>H2 24: water purification (RO / EDI)</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60</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K-I-0040</t>
        </is>
      </c>
      <c r="B5919" s="12" t="inlineStr">
        <is>
          <t>K</t>
        </is>
      </c>
      <c r="C5919" s="12" t="inlineStr">
        <is>
          <t>Fuel supply (adjacent market)</t>
        </is>
      </c>
      <c r="D5919" s="12" t="inlineStr">
        <is>
          <t>Home run JB-H2 24: water purif-DI01 to the control / marshalling room</t>
        </is>
      </c>
      <c r="E5919" s="12" t="inlineStr"/>
      <c r="F5919" s="12" t="inlineStr">
        <is>
          <t>H2 20: 13.8 kV e-house</t>
        </is>
      </c>
      <c r="G5919" s="12" t="inlineStr">
        <is>
          <t>JB-H2 24: water purif-DI01</t>
        </is>
      </c>
      <c r="H5919" s="12" t="inlineStr">
        <is>
          <t>H2 24: water purification (RO / EDI)</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146</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K-I-0041</t>
        </is>
      </c>
      <c r="B5920" s="12" t="inlineStr">
        <is>
          <t>K</t>
        </is>
      </c>
      <c r="C5920" s="12" t="inlineStr">
        <is>
          <t>Fuel supply (adjacent market)</t>
        </is>
      </c>
      <c r="D5920" s="12" t="inlineStr">
        <is>
          <t>Analog instrument to JB JB-H2 25: H2 dryer / -AI01: 12 x 1 pr (field cables)</t>
        </is>
      </c>
      <c r="E5920" s="12" t="inlineStr"/>
      <c r="F5920" s="12" t="inlineStr">
        <is>
          <t>H2 25: H2 dryer / purification</t>
        </is>
      </c>
      <c r="G5920" s="12" t="inlineStr">
        <is>
          <t>JB-H2 25: H2 dryer / -AI01</t>
        </is>
      </c>
      <c r="H5920" s="12" t="inlineStr">
        <is>
          <t>H2 25: H2 dryer / purification</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60</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K-I-0042</t>
        </is>
      </c>
      <c r="B5921" s="12" t="inlineStr">
        <is>
          <t>K</t>
        </is>
      </c>
      <c r="C5921" s="12" t="inlineStr">
        <is>
          <t>Fuel supply (adjacent market)</t>
        </is>
      </c>
      <c r="D5921" s="12" t="inlineStr">
        <is>
          <t>Home run JB-H2 25: H2 dryer / -AI01 to the control / marshalling room</t>
        </is>
      </c>
      <c r="E5921" s="12" t="inlineStr"/>
      <c r="F5921" s="12" t="inlineStr">
        <is>
          <t>H2 20: 13.8 kV e-house</t>
        </is>
      </c>
      <c r="G5921" s="12" t="inlineStr">
        <is>
          <t>JB-H2 25: H2 dryer / -AI01</t>
        </is>
      </c>
      <c r="H5921" s="12" t="inlineStr">
        <is>
          <t>H2 25: H2 dryer / purification</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0</v>
      </c>
      <c r="U5921" s="15" t="n">
        <v>49</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K-I-0043</t>
        </is>
      </c>
      <c r="B5922" s="12" t="inlineStr">
        <is>
          <t>K</t>
        </is>
      </c>
      <c r="C5922" s="12" t="inlineStr">
        <is>
          <t>Fuel supply (adjacent market)</t>
        </is>
      </c>
      <c r="D5922" s="12" t="inlineStr">
        <is>
          <t>Discrete device to JB JB-H2 25: H2 dryer / -DI01: 12 x 1 pr (field cables)</t>
        </is>
      </c>
      <c r="E5922" s="12" t="inlineStr"/>
      <c r="F5922" s="12" t="inlineStr">
        <is>
          <t>H2 25: H2 dryer / purification</t>
        </is>
      </c>
      <c r="G5922" s="12" t="inlineStr">
        <is>
          <t>JB-H2 25: H2 dryer / -DI01</t>
        </is>
      </c>
      <c r="H5922" s="12" t="inlineStr">
        <is>
          <t>H2 25: H2 dryer / purification</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60</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K-I-0044</t>
        </is>
      </c>
      <c r="B5923" s="12" t="inlineStr">
        <is>
          <t>K</t>
        </is>
      </c>
      <c r="C5923" s="12" t="inlineStr">
        <is>
          <t>Fuel supply (adjacent market)</t>
        </is>
      </c>
      <c r="D5923" s="12" t="inlineStr">
        <is>
          <t>Home run JB-H2 25: H2 dryer / -DI01 to the control / marshalling room</t>
        </is>
      </c>
      <c r="E5923" s="12" t="inlineStr"/>
      <c r="F5923" s="12" t="inlineStr">
        <is>
          <t>H2 20: 13.8 kV e-house</t>
        </is>
      </c>
      <c r="G5923" s="12" t="inlineStr">
        <is>
          <t>JB-H2 25: H2 dryer / -DI01</t>
        </is>
      </c>
      <c r="H5923" s="12" t="inlineStr">
        <is>
          <t>H2 25: H2 dryer / purification</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0</v>
      </c>
      <c r="U5923" s="15" t="n">
        <v>49</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K-I-0045</t>
        </is>
      </c>
      <c r="B5924" s="12" t="inlineStr">
        <is>
          <t>K</t>
        </is>
      </c>
      <c r="C5924" s="12" t="inlineStr">
        <is>
          <t>Fuel supply (adjacent market)</t>
        </is>
      </c>
      <c r="D5924" s="12" t="inlineStr">
        <is>
          <t>Analog instrument to JB JB-H2 26: H2 compress-AI01: 12 x 1 pr (field cables)</t>
        </is>
      </c>
      <c r="E5924" s="12" t="inlineStr"/>
      <c r="F5924" s="12" t="inlineStr">
        <is>
          <t>H2 26: H2 compressor 1 (40 ft ISO)</t>
        </is>
      </c>
      <c r="G5924" s="12" t="inlineStr">
        <is>
          <t>JB-H2 26: H2 compress-AI01</t>
        </is>
      </c>
      <c r="H5924" s="12" t="inlineStr">
        <is>
          <t>H2 26: H2 compressor 1 (40 ft ISO)</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53</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K-I-0046</t>
        </is>
      </c>
      <c r="B5925" s="12" t="inlineStr">
        <is>
          <t>K</t>
        </is>
      </c>
      <c r="C5925" s="12" t="inlineStr">
        <is>
          <t>Fuel supply (adjacent market)</t>
        </is>
      </c>
      <c r="D5925" s="12" t="inlineStr">
        <is>
          <t>Home run JB-H2 26: H2 compress-AI01 to the control / marshalling room</t>
        </is>
      </c>
      <c r="E5925" s="12" t="inlineStr"/>
      <c r="F5925" s="12" t="inlineStr">
        <is>
          <t>H2 20: 13.8 kV e-house</t>
        </is>
      </c>
      <c r="G5925" s="12" t="inlineStr">
        <is>
          <t>JB-H2 26: H2 compress-AI01</t>
        </is>
      </c>
      <c r="H5925" s="12" t="inlineStr">
        <is>
          <t>H2 26: H2 compressor 1 (40 ft ISO)</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50</v>
      </c>
      <c r="U5925" s="15" t="n">
        <v>32</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K-I-0047</t>
        </is>
      </c>
      <c r="B5926" s="12" t="inlineStr">
        <is>
          <t>K</t>
        </is>
      </c>
      <c r="C5926" s="12" t="inlineStr">
        <is>
          <t>Fuel supply (adjacent market)</t>
        </is>
      </c>
      <c r="D5926" s="12" t="inlineStr">
        <is>
          <t>Discrete device to JB JB-H2 26: H2 compress-DI01: 12 x 1 pr (field cables)</t>
        </is>
      </c>
      <c r="E5926" s="12" t="inlineStr"/>
      <c r="F5926" s="12" t="inlineStr">
        <is>
          <t>H2 26: H2 compressor 1 (40 ft ISO)</t>
        </is>
      </c>
      <c r="G5926" s="12" t="inlineStr">
        <is>
          <t>JB-H2 26: H2 compress-DI01</t>
        </is>
      </c>
      <c r="H5926" s="12" t="inlineStr">
        <is>
          <t>H2 26: H2 compressor 1 (40 ft ISO)</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53</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K-I-0048</t>
        </is>
      </c>
      <c r="B5927" s="12" t="inlineStr">
        <is>
          <t>K</t>
        </is>
      </c>
      <c r="C5927" s="12" t="inlineStr">
        <is>
          <t>Fuel supply (adjacent market)</t>
        </is>
      </c>
      <c r="D5927" s="12" t="inlineStr">
        <is>
          <t>Home run JB-H2 26: H2 compress-DI01 to the control / marshalling room</t>
        </is>
      </c>
      <c r="E5927" s="12" t="inlineStr"/>
      <c r="F5927" s="12" t="inlineStr">
        <is>
          <t>H2 20: 13.8 kV e-house</t>
        </is>
      </c>
      <c r="G5927" s="12" t="inlineStr">
        <is>
          <t>JB-H2 26: H2 compress-DI01</t>
        </is>
      </c>
      <c r="H5927" s="12" t="inlineStr">
        <is>
          <t>H2 26: H2 compressor 1 (40 ft ISO)</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50</v>
      </c>
      <c r="U5927" s="15" t="n">
        <v>32</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K-I-0049</t>
        </is>
      </c>
      <c r="B5928" s="12" t="inlineStr">
        <is>
          <t>K</t>
        </is>
      </c>
      <c r="C5928" s="12" t="inlineStr">
        <is>
          <t>Fuel supply (adjacent market)</t>
        </is>
      </c>
      <c r="D5928" s="12" t="inlineStr">
        <is>
          <t>Analog instrument to JB JB-H2 26: H2 compress-AI01: 12 x 1 pr (field cables)</t>
        </is>
      </c>
      <c r="E5928" s="12" t="inlineStr"/>
      <c r="F5928" s="12" t="inlineStr">
        <is>
          <t>H2 26: H2 compressor 2 (40 ft ISO)</t>
        </is>
      </c>
      <c r="G5928" s="12" t="inlineStr">
        <is>
          <t>JB-H2 26: H2 compress-AI01</t>
        </is>
      </c>
      <c r="H5928" s="12" t="inlineStr">
        <is>
          <t>H2 26: H2 compressor 2 (40 ft ISO)</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53</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K-I-0050</t>
        </is>
      </c>
      <c r="B5929" s="12" t="inlineStr">
        <is>
          <t>K</t>
        </is>
      </c>
      <c r="C5929" s="12" t="inlineStr">
        <is>
          <t>Fuel supply (adjacent market)</t>
        </is>
      </c>
      <c r="D5929" s="12" t="inlineStr">
        <is>
          <t>Home run JB-H2 26: H2 compress-AI01 to the control / marshalling room</t>
        </is>
      </c>
      <c r="E5929" s="12" t="inlineStr"/>
      <c r="F5929" s="12" t="inlineStr">
        <is>
          <t>H2 20: 13.8 kV e-house</t>
        </is>
      </c>
      <c r="G5929" s="12" t="inlineStr">
        <is>
          <t>JB-H2 26: H2 compress-AI01</t>
        </is>
      </c>
      <c r="H5929" s="12" t="inlineStr">
        <is>
          <t>H2 26: H2 compressor 2 (40 ft ISO)</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50</v>
      </c>
      <c r="U5929" s="15" t="n">
        <v>47</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K-I-0051</t>
        </is>
      </c>
      <c r="B5930" s="12" t="inlineStr">
        <is>
          <t>K</t>
        </is>
      </c>
      <c r="C5930" s="12" t="inlineStr">
        <is>
          <t>Fuel supply (adjacent market)</t>
        </is>
      </c>
      <c r="D5930" s="12" t="inlineStr">
        <is>
          <t>Discrete device to JB JB-H2 26: H2 compress-DI01: 12 x 1 pr (field cables)</t>
        </is>
      </c>
      <c r="E5930" s="12" t="inlineStr"/>
      <c r="F5930" s="12" t="inlineStr">
        <is>
          <t>H2 26: H2 compressor 2 (40 ft ISO)</t>
        </is>
      </c>
      <c r="G5930" s="12" t="inlineStr">
        <is>
          <t>JB-H2 26: H2 compress-DI01</t>
        </is>
      </c>
      <c r="H5930" s="12" t="inlineStr">
        <is>
          <t>H2 26: H2 compressor 2 (40 ft ISO)</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53</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K-I-0052</t>
        </is>
      </c>
      <c r="B5931" s="12" t="inlineStr">
        <is>
          <t>K</t>
        </is>
      </c>
      <c r="C5931" s="12" t="inlineStr">
        <is>
          <t>Fuel supply (adjacent market)</t>
        </is>
      </c>
      <c r="D5931" s="12" t="inlineStr">
        <is>
          <t>Home run JB-H2 26: H2 compress-DI01 to the control / marshalling room</t>
        </is>
      </c>
      <c r="E5931" s="12" t="inlineStr"/>
      <c r="F5931" s="12" t="inlineStr">
        <is>
          <t>H2 20: 13.8 kV e-house</t>
        </is>
      </c>
      <c r="G5931" s="12" t="inlineStr">
        <is>
          <t>JB-H2 26: H2 compress-DI01</t>
        </is>
      </c>
      <c r="H5931" s="12" t="inlineStr">
        <is>
          <t>H2 26: H2 compressor 2 (40 ft ISO)</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50</v>
      </c>
      <c r="U5931" s="15" t="n">
        <v>47</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K-I-0053</t>
        </is>
      </c>
      <c r="B5932" s="12" t="inlineStr">
        <is>
          <t>K</t>
        </is>
      </c>
      <c r="C5932" s="12" t="inlineStr">
        <is>
          <t>Fuel supply (adjacent market)</t>
        </is>
      </c>
      <c r="D5932" s="12" t="inlineStr">
        <is>
          <t>Analog instrument to JB JB-H2 27: storage tub-AI01: 12 x 1 pr (field cables)</t>
        </is>
      </c>
      <c r="E5932" s="12" t="inlineStr"/>
      <c r="F5932" s="12" t="inlineStr">
        <is>
          <t>H2 27: storage tube bank (~40 ft tubes)</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54</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K-I-0054</t>
        </is>
      </c>
      <c r="B5933" s="12" t="inlineStr">
        <is>
          <t>K</t>
        </is>
      </c>
      <c r="C5933" s="12" t="inlineStr">
        <is>
          <t>Fuel supply (adjacent market)</t>
        </is>
      </c>
      <c r="D5933" s="12" t="inlineStr">
        <is>
          <t>Home run JB-H2 27: storage tub-AI01 to the control / marshalling room</t>
        </is>
      </c>
      <c r="E5933" s="12" t="inlineStr"/>
      <c r="F5933" s="12" t="inlineStr">
        <is>
          <t>H2 20: 13.8 kV e-house</t>
        </is>
      </c>
      <c r="G5933" s="12" t="inlineStr">
        <is>
          <t>JB-H2 27: storage tub-AI01</t>
        </is>
      </c>
      <c r="H5933" s="12" t="inlineStr">
        <is>
          <t>H2 27: storage tube bank (~40 ft tubes)</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50</v>
      </c>
      <c r="U5933" s="15" t="n">
        <v>97</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K-I-0055</t>
        </is>
      </c>
      <c r="B5934" s="12" t="inlineStr">
        <is>
          <t>K</t>
        </is>
      </c>
      <c r="C5934" s="12" t="inlineStr">
        <is>
          <t>Fuel supply (adjacent market)</t>
        </is>
      </c>
      <c r="D5934" s="12" t="inlineStr">
        <is>
          <t>Discrete device to JB JB-H2 27: storage tub-DI01: 12 x 1 pr (field cables)</t>
        </is>
      </c>
      <c r="E5934" s="12" t="inlineStr"/>
      <c r="F5934" s="12" t="inlineStr">
        <is>
          <t>H2 27: storage tube bank (~40 ft tubes)</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54</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K-I-0056</t>
        </is>
      </c>
      <c r="B5935" s="12" t="inlineStr">
        <is>
          <t>K</t>
        </is>
      </c>
      <c r="C5935" s="12" t="inlineStr">
        <is>
          <t>Fuel supply (adjacent market)</t>
        </is>
      </c>
      <c r="D5935" s="12" t="inlineStr">
        <is>
          <t>Home run JB-H2 27: storage tub-DI01 to the control / marshalling room</t>
        </is>
      </c>
      <c r="E5935" s="12" t="inlineStr"/>
      <c r="F5935" s="12" t="inlineStr">
        <is>
          <t>H2 20: 13.8 kV e-house</t>
        </is>
      </c>
      <c r="G5935" s="12" t="inlineStr">
        <is>
          <t>JB-H2 27: storage tub-DI01</t>
        </is>
      </c>
      <c r="H5935" s="12" t="inlineStr">
        <is>
          <t>H2 27: storage tube bank (~40 ft tubes)</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50</v>
      </c>
      <c r="U5935" s="15" t="n">
        <v>97</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K-I-0057</t>
        </is>
      </c>
      <c r="B5936" s="12" t="inlineStr">
        <is>
          <t>K</t>
        </is>
      </c>
      <c r="C5936" s="12" t="inlineStr">
        <is>
          <t>Fuel supply (adjacent market)</t>
        </is>
      </c>
      <c r="D5936" s="12" t="inlineStr">
        <is>
          <t>Analog instrument to JB JB-H2 27: storage tub-AI01: 12 x 1 pr (field cables)</t>
        </is>
      </c>
      <c r="E5936" s="12" t="inlineStr"/>
      <c r="F5936" s="12" t="inlineStr">
        <is>
          <t>H2 27: storage tube bank (~40 ft tubes)</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54</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K-I-0058</t>
        </is>
      </c>
      <c r="B5937" s="12" t="inlineStr">
        <is>
          <t>K</t>
        </is>
      </c>
      <c r="C5937" s="12" t="inlineStr">
        <is>
          <t>Fuel supply (adjacent market)</t>
        </is>
      </c>
      <c r="D5937" s="12" t="inlineStr">
        <is>
          <t>Home run JB-H2 27: storage tub-AI01 to the control / marshalling room</t>
        </is>
      </c>
      <c r="E5937" s="12" t="inlineStr"/>
      <c r="F5937" s="12" t="inlineStr">
        <is>
          <t>H2 20: 13.8 kV e-house</t>
        </is>
      </c>
      <c r="G5937" s="12" t="inlineStr">
        <is>
          <t>JB-H2 27: storage tub-AI01</t>
        </is>
      </c>
      <c r="H5937" s="12" t="inlineStr">
        <is>
          <t>H2 27: storage tube bank (~40 ft tubes)</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50</v>
      </c>
      <c r="U5937" s="15" t="n">
        <v>117</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K-I-0059</t>
        </is>
      </c>
      <c r="B5938" s="12" t="inlineStr">
        <is>
          <t>K</t>
        </is>
      </c>
      <c r="C5938" s="12" t="inlineStr">
        <is>
          <t>Fuel supply (adjacent market)</t>
        </is>
      </c>
      <c r="D5938" s="12" t="inlineStr">
        <is>
          <t>Discrete device to JB JB-H2 27: storage tub-DI01: 12 x 1 pr (field cables)</t>
        </is>
      </c>
      <c r="E5938" s="12" t="inlineStr"/>
      <c r="F5938" s="12" t="inlineStr">
        <is>
          <t>H2 27: storage tube bank (~40 ft tubes)</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54</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K-I-0060</t>
        </is>
      </c>
      <c r="B5939" s="12" t="inlineStr">
        <is>
          <t>K</t>
        </is>
      </c>
      <c r="C5939" s="12" t="inlineStr">
        <is>
          <t>Fuel supply (adjacent market)</t>
        </is>
      </c>
      <c r="D5939" s="12" t="inlineStr">
        <is>
          <t>Home run JB-H2 27: storage tub-DI01 to the control / marshalling room</t>
        </is>
      </c>
      <c r="E5939" s="12" t="inlineStr"/>
      <c r="F5939" s="12" t="inlineStr">
        <is>
          <t>H2 20: 13.8 kV e-house</t>
        </is>
      </c>
      <c r="G5939" s="12" t="inlineStr">
        <is>
          <t>JB-H2 27: storage tub-DI01</t>
        </is>
      </c>
      <c r="H5939" s="12" t="inlineStr">
        <is>
          <t>H2 27: storage tube bank (~40 ft tubes)</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50</v>
      </c>
      <c r="U5939" s="15" t="n">
        <v>117</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K-I-0061</t>
        </is>
      </c>
      <c r="B5940" s="12" t="inlineStr">
        <is>
          <t>K</t>
        </is>
      </c>
      <c r="C5940" s="12" t="inlineStr">
        <is>
          <t>Fuel supply (adjacent market)</t>
        </is>
      </c>
      <c r="D5940" s="12" t="inlineStr">
        <is>
          <t>Analog instrument to JB JB-H2 27: storage tub-AI01: 12 x 1 pr (field cables)</t>
        </is>
      </c>
      <c r="E5940" s="12" t="inlineStr"/>
      <c r="F5940" s="12" t="inlineStr">
        <is>
          <t>H2 27: storage tube bank (~40 ft tubes)</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54</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K-I-0062</t>
        </is>
      </c>
      <c r="B5941" s="12" t="inlineStr">
        <is>
          <t>K</t>
        </is>
      </c>
      <c r="C5941" s="12" t="inlineStr">
        <is>
          <t>Fuel supply (adjacent market)</t>
        </is>
      </c>
      <c r="D5941" s="12" t="inlineStr">
        <is>
          <t>Home run JB-H2 27: storage tub-AI01 to the control / marshalling room</t>
        </is>
      </c>
      <c r="E5941" s="12" t="inlineStr"/>
      <c r="F5941" s="12" t="inlineStr">
        <is>
          <t>H2 20: 13.8 kV e-house</t>
        </is>
      </c>
      <c r="G5941" s="12" t="inlineStr">
        <is>
          <t>JB-H2 27: storage tub-AI01</t>
        </is>
      </c>
      <c r="H5941" s="12" t="inlineStr">
        <is>
          <t>H2 27: storage tube bank (~40 ft tubes)</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97</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K-I-0063</t>
        </is>
      </c>
      <c r="B5942" s="12" t="inlineStr">
        <is>
          <t>K</t>
        </is>
      </c>
      <c r="C5942" s="12" t="inlineStr">
        <is>
          <t>Fuel supply (adjacent market)</t>
        </is>
      </c>
      <c r="D5942" s="12" t="inlineStr">
        <is>
          <t>Discrete device to JB JB-H2 27: storage tub-DI01: 12 x 1 pr (field cables)</t>
        </is>
      </c>
      <c r="E5942" s="12" t="inlineStr"/>
      <c r="F5942" s="12" t="inlineStr">
        <is>
          <t>H2 27: storage tube bank (~40 ft tubes)</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54</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K-I-0064</t>
        </is>
      </c>
      <c r="B5943" s="12" t="inlineStr">
        <is>
          <t>K</t>
        </is>
      </c>
      <c r="C5943" s="12" t="inlineStr">
        <is>
          <t>Fuel supply (adjacent market)</t>
        </is>
      </c>
      <c r="D5943" s="12" t="inlineStr">
        <is>
          <t>Home run JB-H2 27: storage tub-DI01 to the control / marshalling room</t>
        </is>
      </c>
      <c r="E5943" s="12" t="inlineStr"/>
      <c r="F5943" s="12" t="inlineStr">
        <is>
          <t>H2 20: 13.8 kV e-house</t>
        </is>
      </c>
      <c r="G5943" s="12" t="inlineStr">
        <is>
          <t>JB-H2 27: storage tub-DI01</t>
        </is>
      </c>
      <c r="H5943" s="12" t="inlineStr">
        <is>
          <t>H2 27: storage tube bank (~40 ft tubes)</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97</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K-I-0065</t>
        </is>
      </c>
      <c r="B5944" s="12" t="inlineStr">
        <is>
          <t>K</t>
        </is>
      </c>
      <c r="C5944" s="12" t="inlineStr">
        <is>
          <t>Fuel supply (adjacent market)</t>
        </is>
      </c>
      <c r="D5944" s="12" t="inlineStr">
        <is>
          <t>Analog instrument to JB JB-H2 27: storage tub-AI01: 12 x 1 pr (field cables)</t>
        </is>
      </c>
      <c r="E5944" s="12" t="inlineStr"/>
      <c r="F5944" s="12" t="inlineStr">
        <is>
          <t>H2 27: storage tube bank (~40 ft tubes)</t>
        </is>
      </c>
      <c r="G5944" s="12" t="inlineStr">
        <is>
          <t>JB-H2 27: storage tub-AI01</t>
        </is>
      </c>
      <c r="H5944" s="12" t="inlineStr">
        <is>
          <t>H2 27: storage tube bank (~40 ft tubes)</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K-I-0066</t>
        </is>
      </c>
      <c r="B5945" s="12" t="inlineStr">
        <is>
          <t>K</t>
        </is>
      </c>
      <c r="C5945" s="12" t="inlineStr">
        <is>
          <t>Fuel supply (adjacent market)</t>
        </is>
      </c>
      <c r="D5945" s="12" t="inlineStr">
        <is>
          <t>Home run JB-H2 27: storage tub-AI01 to the control / marshalling room</t>
        </is>
      </c>
      <c r="E5945" s="12" t="inlineStr"/>
      <c r="F5945" s="12" t="inlineStr">
        <is>
          <t>H2 20: 13.8 kV e-house</t>
        </is>
      </c>
      <c r="G5945" s="12" t="inlineStr">
        <is>
          <t>JB-H2 27: storage tub-AI01</t>
        </is>
      </c>
      <c r="H5945" s="12" t="inlineStr">
        <is>
          <t>H2 27: storage tube bank (~40 ft tubes)</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117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K-I-0067</t>
        </is>
      </c>
      <c r="B5946" s="12" t="inlineStr">
        <is>
          <t>K</t>
        </is>
      </c>
      <c r="C5946" s="12" t="inlineStr">
        <is>
          <t>Fuel supply (adjacent market)</t>
        </is>
      </c>
      <c r="D5946" s="12" t="inlineStr">
        <is>
          <t>Discrete device to JB JB-H2 27: storage tub-DI01: 12 x 1 pr (field cables)</t>
        </is>
      </c>
      <c r="E5946" s="12" t="inlineStr"/>
      <c r="F5946" s="12" t="inlineStr">
        <is>
          <t>H2 27: storage tube bank (~40 ft tubes)</t>
        </is>
      </c>
      <c r="G5946" s="12" t="inlineStr">
        <is>
          <t>JB-H2 27: storage tub-DI01</t>
        </is>
      </c>
      <c r="H5946" s="12" t="inlineStr">
        <is>
          <t>H2 27: storage tube bank (~40 ft tubes)</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K-I-0068</t>
        </is>
      </c>
      <c r="B5947" s="12" t="inlineStr">
        <is>
          <t>K</t>
        </is>
      </c>
      <c r="C5947" s="12" t="inlineStr">
        <is>
          <t>Fuel supply (adjacent market)</t>
        </is>
      </c>
      <c r="D5947" s="12" t="inlineStr">
        <is>
          <t>Home run JB-H2 27: storage tub-DI01 to the control / marshalling room</t>
        </is>
      </c>
      <c r="E5947" s="12" t="inlineStr"/>
      <c r="F5947" s="12" t="inlineStr">
        <is>
          <t>H2 20: 13.8 kV e-house</t>
        </is>
      </c>
      <c r="G5947" s="12" t="inlineStr">
        <is>
          <t>JB-H2 27: storage tub-DI01</t>
        </is>
      </c>
      <c r="H5947" s="12" t="inlineStr">
        <is>
          <t>H2 27: storage tube bank (~40 ft tubes)</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117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K-I-0069</t>
        </is>
      </c>
      <c r="B5948" s="12" t="inlineStr">
        <is>
          <t>K</t>
        </is>
      </c>
      <c r="C5948" s="12" t="inlineStr">
        <is>
          <t>Fuel supply (adjacent market)</t>
        </is>
      </c>
      <c r="D5948" s="12" t="inlineStr">
        <is>
          <t>Analog instrument to JB JB-H2 28: N2 purge su-AI01: 12 x 1 pr (field cables)</t>
        </is>
      </c>
      <c r="E5948" s="12" t="inlineStr"/>
      <c r="F5948" s="12" t="inlineStr">
        <is>
          <t>H2 28: N2 purge supply</t>
        </is>
      </c>
      <c r="G5948" s="12" t="inlineStr">
        <is>
          <t>JB-H2 28: N2 purge su-AI01</t>
        </is>
      </c>
      <c r="H5948" s="12" t="inlineStr">
        <is>
          <t>H2 28: N2 purge supply</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56</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K-I-0070</t>
        </is>
      </c>
      <c r="B5949" s="12" t="inlineStr">
        <is>
          <t>K</t>
        </is>
      </c>
      <c r="C5949" s="12" t="inlineStr">
        <is>
          <t>Fuel supply (adjacent market)</t>
        </is>
      </c>
      <c r="D5949" s="12" t="inlineStr">
        <is>
          <t>Home run JB-H2 28: N2 purge su-AI01 to the control / marshalling room</t>
        </is>
      </c>
      <c r="E5949" s="12" t="inlineStr"/>
      <c r="F5949" s="12" t="inlineStr">
        <is>
          <t>H2 20: 13.8 kV e-house</t>
        </is>
      </c>
      <c r="G5949" s="12" t="inlineStr">
        <is>
          <t>JB-H2 28: N2 purge su-AI01</t>
        </is>
      </c>
      <c r="H5949" s="12" t="inlineStr">
        <is>
          <t>H2 28: N2 purge supply</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53</v>
      </c>
      <c r="U5949" s="15" t="n">
        <v>36</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K-I-0071</t>
        </is>
      </c>
      <c r="B5950" s="12" t="inlineStr">
        <is>
          <t>K</t>
        </is>
      </c>
      <c r="C5950" s="12" t="inlineStr">
        <is>
          <t>Fuel supply (adjacent market)</t>
        </is>
      </c>
      <c r="D5950" s="12" t="inlineStr">
        <is>
          <t>Discrete device to JB JB-H2 28: N2 purge su-DI01: 12 x 1 pr (field cables)</t>
        </is>
      </c>
      <c r="E5950" s="12" t="inlineStr"/>
      <c r="F5950" s="12" t="inlineStr">
        <is>
          <t>H2 28: N2 purge supply</t>
        </is>
      </c>
      <c r="G5950" s="12" t="inlineStr">
        <is>
          <t>JB-H2 28: N2 purge su-DI01</t>
        </is>
      </c>
      <c r="H5950" s="12" t="inlineStr">
        <is>
          <t>H2 28: N2 purge supply</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56</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K-I-0072</t>
        </is>
      </c>
      <c r="B5951" s="12" t="inlineStr">
        <is>
          <t>K</t>
        </is>
      </c>
      <c r="C5951" s="12" t="inlineStr">
        <is>
          <t>Fuel supply (adjacent market)</t>
        </is>
      </c>
      <c r="D5951" s="12" t="inlineStr">
        <is>
          <t>Home run JB-H2 28: N2 purge su-DI01 to the control / marshalling room</t>
        </is>
      </c>
      <c r="E5951" s="12" t="inlineStr"/>
      <c r="F5951" s="12" t="inlineStr">
        <is>
          <t>H2 20: 13.8 kV e-house</t>
        </is>
      </c>
      <c r="G5951" s="12" t="inlineStr">
        <is>
          <t>JB-H2 28: N2 purge su-DI01</t>
        </is>
      </c>
      <c r="H5951" s="12" t="inlineStr">
        <is>
          <t>H2 28: N2 purge supply</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53</v>
      </c>
      <c r="U5951" s="15" t="n">
        <v>36</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K-I-0073</t>
        </is>
      </c>
      <c r="B5952" s="12" t="inlineStr">
        <is>
          <t>K</t>
        </is>
      </c>
      <c r="C5952" s="12" t="inlineStr">
        <is>
          <t>Fuel supply (adjacent market)</t>
        </is>
      </c>
      <c r="D5952" s="12" t="inlineStr">
        <is>
          <t>Analog instrument to JB JB-H2 29: vent stack-AI01: 12 x 1 pr (field cables)</t>
        </is>
      </c>
      <c r="E5952" s="12" t="inlineStr"/>
      <c r="F5952" s="12" t="inlineStr">
        <is>
          <t>H2 29: vent stack</t>
        </is>
      </c>
      <c r="G5952" s="12" t="inlineStr">
        <is>
          <t>JB-H2 29: vent stack-AI01</t>
        </is>
      </c>
      <c r="H5952" s="12" t="inlineStr">
        <is>
          <t>H2 29: vent stack</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45</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K-I-0074</t>
        </is>
      </c>
      <c r="B5953" s="12" t="inlineStr">
        <is>
          <t>K</t>
        </is>
      </c>
      <c r="C5953" s="12" t="inlineStr">
        <is>
          <t>Fuel supply (adjacent market)</t>
        </is>
      </c>
      <c r="D5953" s="12" t="inlineStr">
        <is>
          <t>Home run JB-H2 29: vent stack-AI01 to the control / marshalling room</t>
        </is>
      </c>
      <c r="E5953" s="12" t="inlineStr"/>
      <c r="F5953" s="12" t="inlineStr">
        <is>
          <t>H2 20: 13.8 kV e-house</t>
        </is>
      </c>
      <c r="G5953" s="12" t="inlineStr">
        <is>
          <t>JB-H2 29: vent stack-AI01</t>
        </is>
      </c>
      <c r="H5953" s="12" t="inlineStr">
        <is>
          <t>H2 29: vent stack</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55</v>
      </c>
      <c r="U5953" s="15" t="n">
        <v>205</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K-I-0075</t>
        </is>
      </c>
      <c r="B5954" s="12" t="inlineStr">
        <is>
          <t>K</t>
        </is>
      </c>
      <c r="C5954" s="12" t="inlineStr">
        <is>
          <t>Fuel supply (adjacent market)</t>
        </is>
      </c>
      <c r="D5954" s="12" t="inlineStr">
        <is>
          <t>Discrete device to JB JB-H2 29: vent stack-DI01: 12 x 1 pr (field cables)</t>
        </is>
      </c>
      <c r="E5954" s="12" t="inlineStr"/>
      <c r="F5954" s="12" t="inlineStr">
        <is>
          <t>H2 29: vent stack</t>
        </is>
      </c>
      <c r="G5954" s="12" t="inlineStr">
        <is>
          <t>JB-H2 29: vent stack-DI01</t>
        </is>
      </c>
      <c r="H5954" s="12" t="inlineStr">
        <is>
          <t>H2 29: vent stack</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45</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K-I-0076</t>
        </is>
      </c>
      <c r="B5955" s="12" t="inlineStr">
        <is>
          <t>K</t>
        </is>
      </c>
      <c r="C5955" s="12" t="inlineStr">
        <is>
          <t>Fuel supply (adjacent market)</t>
        </is>
      </c>
      <c r="D5955" s="12" t="inlineStr">
        <is>
          <t>Home run JB-H2 29: vent stack-DI01 to the control / marshalling room</t>
        </is>
      </c>
      <c r="E5955" s="12" t="inlineStr"/>
      <c r="F5955" s="12" t="inlineStr">
        <is>
          <t>H2 20: 13.8 kV e-house</t>
        </is>
      </c>
      <c r="G5955" s="12" t="inlineStr">
        <is>
          <t>JB-H2 29: vent stack-DI01</t>
        </is>
      </c>
      <c r="H5955" s="12" t="inlineStr">
        <is>
          <t>H2 29: vent stack</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55</v>
      </c>
      <c r="U5955" s="15" t="n">
        <v>205</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K-I-0077</t>
        </is>
      </c>
      <c r="B5956" s="12" t="inlineStr">
        <is>
          <t>K</t>
        </is>
      </c>
      <c r="C5956" s="12" t="inlineStr">
        <is>
          <t>Fuel supply (adjacent market)</t>
        </is>
      </c>
      <c r="D5956" s="12" t="inlineStr">
        <is>
          <t>Analog instrument to JB JB-H2 30: H2 / gas bl-AI01: 12 x 1 pr (field cables)</t>
        </is>
      </c>
      <c r="E5956" s="12" t="inlineStr"/>
      <c r="F5956" s="12" t="inlineStr">
        <is>
          <t>H2 30: H2 / gas blending station (plant gas yard)</t>
        </is>
      </c>
      <c r="G5956" s="12" t="inlineStr">
        <is>
          <t>JB-H2 30: H2 / gas bl-AI01</t>
        </is>
      </c>
      <c r="H5956" s="12" t="inlineStr">
        <is>
          <t>H2 30: H2 / gas blending station (plant gas yard)</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129</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K-I-0078</t>
        </is>
      </c>
      <c r="B5957" s="12" t="inlineStr">
        <is>
          <t>K</t>
        </is>
      </c>
      <c r="C5957" s="12" t="inlineStr">
        <is>
          <t>Fuel supply (adjacent market)</t>
        </is>
      </c>
      <c r="D5957" s="12" t="inlineStr">
        <is>
          <t>Home run JB-H2 30: H2 / gas bl-AI01 to the control / marshalling room</t>
        </is>
      </c>
      <c r="E5957" s="12" t="inlineStr"/>
      <c r="F5957" s="12" t="inlineStr">
        <is>
          <t>LNG 17: LNG e-house (13.8 kV / 480 V)</t>
        </is>
      </c>
      <c r="G5957" s="12" t="inlineStr">
        <is>
          <t>JB-H2 30: H2 / gas bl-AI01</t>
        </is>
      </c>
      <c r="H5957" s="12" t="inlineStr">
        <is>
          <t>H2 30: H2 / gas blending station (plant gas yard)</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994</v>
      </c>
      <c r="U5957" s="15" t="n">
        <v>114</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K-I-0079</t>
        </is>
      </c>
      <c r="B5958" s="12" t="inlineStr">
        <is>
          <t>K</t>
        </is>
      </c>
      <c r="C5958" s="12" t="inlineStr">
        <is>
          <t>Fuel supply (adjacent market)</t>
        </is>
      </c>
      <c r="D5958" s="12" t="inlineStr">
        <is>
          <t>Discrete device to JB JB-H2 30: H2 / gas bl-DI01: 12 x 1 pr (field cables)</t>
        </is>
      </c>
      <c r="E5958" s="12" t="inlineStr"/>
      <c r="F5958" s="12" t="inlineStr">
        <is>
          <t>H2 30: H2 / gas blending station (plant gas yard)</t>
        </is>
      </c>
      <c r="G5958" s="12" t="inlineStr">
        <is>
          <t>JB-H2 30: H2 / gas bl-DI01</t>
        </is>
      </c>
      <c r="H5958" s="12" t="inlineStr">
        <is>
          <t>H2 30: H2 / gas blending station (plant gas yard)</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129</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K-I-0080</t>
        </is>
      </c>
      <c r="B5959" s="12" t="inlineStr">
        <is>
          <t>K</t>
        </is>
      </c>
      <c r="C5959" s="12" t="inlineStr">
        <is>
          <t>Fuel supply (adjacent market)</t>
        </is>
      </c>
      <c r="D5959" s="12" t="inlineStr">
        <is>
          <t>Home run JB-H2 30: H2 / gas bl-DI01 to the control / marshalling room</t>
        </is>
      </c>
      <c r="E5959" s="12" t="inlineStr"/>
      <c r="F5959" s="12" t="inlineStr">
        <is>
          <t>LNG 17: LNG e-house (13.8 kV / 480 V)</t>
        </is>
      </c>
      <c r="G5959" s="12" t="inlineStr">
        <is>
          <t>JB-H2 30: H2 / gas bl-DI01</t>
        </is>
      </c>
      <c r="H5959" s="12" t="inlineStr">
        <is>
          <t>H2 30: H2 / gas blending station (plant gas yard)</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994</v>
      </c>
      <c r="U5959" s="15" t="n">
        <v>114</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K-I-0081</t>
        </is>
      </c>
      <c r="B5960" s="12" t="inlineStr">
        <is>
          <t>K</t>
        </is>
      </c>
      <c r="C5960" s="12" t="inlineStr">
        <is>
          <t>Fuel supply (adjacent market)</t>
        </is>
      </c>
      <c r="D5960" s="12" t="inlineStr">
        <is>
          <t>Analog instrument to JB JB-H2 pipe track and -AI01: 10 x 1 pr (field cables)</t>
        </is>
      </c>
      <c r="E5960" s="12" t="inlineStr"/>
      <c r="F5960" s="12" t="inlineStr">
        <is>
          <t>H2 pipe track and cable trench, hall -&gt; dryer / compressors (N2, instr</t>
        </is>
      </c>
      <c r="G5960" s="12" t="inlineStr">
        <is>
          <t>JB-H2 pipe track and -AI01</t>
        </is>
      </c>
      <c r="H5960" s="12" t="inlineStr">
        <is>
          <t>H2 pipe track and cable trench, hall -&gt; dryer / compressors (N2, instr</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10</v>
      </c>
      <c r="O5960" s="12" t="n">
        <v>1</v>
      </c>
      <c r="P5960" s="12" t="n"/>
      <c r="Q5960" s="12" t="n"/>
      <c r="R5960" s="12" t="n"/>
      <c r="S5960" s="12" t="inlineStr">
        <is>
          <t>Tray / conduit</t>
        </is>
      </c>
      <c r="T5960" s="15" t="n">
        <v>70</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K-I-0082</t>
        </is>
      </c>
      <c r="B5961" s="12" t="inlineStr">
        <is>
          <t>K</t>
        </is>
      </c>
      <c r="C5961" s="12" t="inlineStr">
        <is>
          <t>Fuel supply (adjacent market)</t>
        </is>
      </c>
      <c r="D5961" s="12" t="inlineStr">
        <is>
          <t>Home run JB-H2 pipe track and -AI01 to the control / marshalling room</t>
        </is>
      </c>
      <c r="E5961" s="12" t="inlineStr"/>
      <c r="F5961" s="12" t="inlineStr">
        <is>
          <t>H2 20: 13.8 kV e-house</t>
        </is>
      </c>
      <c r="G5961" s="12" t="inlineStr">
        <is>
          <t>JB-H2 pipe track and -AI01</t>
        </is>
      </c>
      <c r="H5961" s="12" t="inlineStr">
        <is>
          <t>H2 pipe track and cable trench, hall -&gt; dryer / compressors (N2, instr</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53</v>
      </c>
      <c r="U5961" s="15" t="n">
        <v>62</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K-I-0083</t>
        </is>
      </c>
      <c r="B5962" s="12" t="inlineStr">
        <is>
          <t>K</t>
        </is>
      </c>
      <c r="C5962" s="12" t="inlineStr">
        <is>
          <t>Fuel supply (adjacent market)</t>
        </is>
      </c>
      <c r="D5962" s="12" t="inlineStr">
        <is>
          <t>Discrete device to JB JB-H2 pipe track and -DI01: 10 x 1 pr (field cables)</t>
        </is>
      </c>
      <c r="E5962" s="12" t="inlineStr"/>
      <c r="F5962" s="12" t="inlineStr">
        <is>
          <t>H2 pipe track and cable trench, hall -&gt; dryer / compressors (N2, instr</t>
        </is>
      </c>
      <c r="G5962" s="12" t="inlineStr">
        <is>
          <t>JB-H2 pipe track and -DI01</t>
        </is>
      </c>
      <c r="H5962" s="12" t="inlineStr">
        <is>
          <t>H2 pipe track and cable trench, hall -&gt; dryer / compressors (N2, instr</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10</v>
      </c>
      <c r="O5962" s="12" t="n">
        <v>1</v>
      </c>
      <c r="P5962" s="12" t="n"/>
      <c r="Q5962" s="12" t="n"/>
      <c r="R5962" s="12" t="n"/>
      <c r="S5962" s="12" t="inlineStr">
        <is>
          <t>Tray / conduit</t>
        </is>
      </c>
      <c r="T5962" s="15" t="n">
        <v>70</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K-I-0084</t>
        </is>
      </c>
      <c r="B5963" s="12" t="inlineStr">
        <is>
          <t>K</t>
        </is>
      </c>
      <c r="C5963" s="12" t="inlineStr">
        <is>
          <t>Fuel supply (adjacent market)</t>
        </is>
      </c>
      <c r="D5963" s="12" t="inlineStr">
        <is>
          <t>Home run JB-H2 pipe track and -DI01 to the control / marshalling room</t>
        </is>
      </c>
      <c r="E5963" s="12" t="inlineStr"/>
      <c r="F5963" s="12" t="inlineStr">
        <is>
          <t>H2 20: 13.8 kV e-house</t>
        </is>
      </c>
      <c r="G5963" s="12" t="inlineStr">
        <is>
          <t>JB-H2 pipe track and -DI01</t>
        </is>
      </c>
      <c r="H5963" s="12" t="inlineStr">
        <is>
          <t>H2 pipe track and cable trench, hall -&gt; dryer / compressors (N2, instr</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53</v>
      </c>
      <c r="U5963" s="15" t="n">
        <v>62</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K-I-0085</t>
        </is>
      </c>
      <c r="B5964" s="12" t="inlineStr">
        <is>
          <t>K</t>
        </is>
      </c>
      <c r="C5964" s="12" t="inlineStr">
        <is>
          <t>Fuel supply (adjacent market)</t>
        </is>
      </c>
      <c r="D5964" s="12" t="inlineStr">
        <is>
          <t>Instrumentation</t>
        </is>
      </c>
      <c r="E5964" s="12" t="inlineStr"/>
      <c r="F5964" s="12" t="inlineStr">
        <is>
          <t>H2 20: 13.8 kV e-house</t>
        </is>
      </c>
      <c r="G5964" s="12" t="inlineStr">
        <is>
          <t>H2-ST</t>
        </is>
      </c>
      <c r="H5964" s="12" t="inlineStr">
        <is>
          <t>H2 storage tube banks x4</t>
        </is>
      </c>
      <c r="I5964" s="12" t="inlineStr">
        <is>
          <t>Instrumentation</t>
        </is>
      </c>
      <c r="J5964" s="12" t="inlineStr">
        <is>
          <t>Instrumentation ITC / PLTC, IS, #18 shielded pairs, blue jacket</t>
        </is>
      </c>
      <c r="K5964" s="12" t="inlineStr">
        <is>
          <t>ITC|4 pr|18</t>
        </is>
      </c>
      <c r="L5964" s="12" t="inlineStr">
        <is>
          <t>4 pr</t>
        </is>
      </c>
      <c r="M5964" s="12" t="inlineStr">
        <is>
          <t>18</t>
        </is>
      </c>
      <c r="N5964" s="12" t="n">
        <v>1</v>
      </c>
      <c r="O5964" s="12" t="n">
        <v>1</v>
      </c>
      <c r="P5964" s="12" t="n"/>
      <c r="Q5964" s="12" t="n"/>
      <c r="R5964" s="12" t="n"/>
      <c r="S5964" s="12" t="inlineStr">
        <is>
          <t>Duct bank</t>
        </is>
      </c>
      <c r="T5964" s="15" t="n">
        <v>50</v>
      </c>
      <c r="U5964" s="15" t="n">
        <v>92</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K-I-0086</t>
        </is>
      </c>
      <c r="B5965" s="12" t="inlineStr">
        <is>
          <t>K</t>
        </is>
      </c>
      <c r="C5965" s="12" t="inlineStr">
        <is>
          <t>Fuel supply (adjacent market)</t>
        </is>
      </c>
      <c r="D5965" s="12" t="inlineStr">
        <is>
          <t>Instrumentation</t>
        </is>
      </c>
      <c r="E5965" s="12" t="inlineStr"/>
      <c r="F5965" s="12" t="inlineStr">
        <is>
          <t>H2 20: 13.8 kV e-house</t>
        </is>
      </c>
      <c r="G5965" s="12" t="inlineStr">
        <is>
          <t>H2R</t>
        </is>
      </c>
      <c r="H5965" s="12" t="inlineStr">
        <is>
          <t>H2R: hydrogen pipeline receiving station (pig receiver, filters, meter</t>
        </is>
      </c>
      <c r="I5965" s="12" t="inlineStr">
        <is>
          <t>Instrumentation</t>
        </is>
      </c>
      <c r="J5965" s="12" t="inlineStr">
        <is>
          <t>Instrumentation ITC / PLTC, IS, #18 shielded pairs, blue jacket</t>
        </is>
      </c>
      <c r="K5965" s="12" t="inlineStr">
        <is>
          <t>ITC|4 pr|18</t>
        </is>
      </c>
      <c r="L5965" s="12" t="inlineStr">
        <is>
          <t>4 pr</t>
        </is>
      </c>
      <c r="M5965" s="12" t="inlineStr">
        <is>
          <t>18</t>
        </is>
      </c>
      <c r="N5965" s="12" t="n">
        <v>1</v>
      </c>
      <c r="O5965" s="12" t="n">
        <v>1</v>
      </c>
      <c r="P5965" s="12" t="n"/>
      <c r="Q5965" s="12" t="n"/>
      <c r="R5965" s="12" t="n"/>
      <c r="S5965" s="12" t="inlineStr">
        <is>
          <t>Duct bank</t>
        </is>
      </c>
      <c r="T5965" s="15" t="n">
        <v>40</v>
      </c>
      <c r="U5965" s="15" t="n">
        <v>32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K-I-0087</t>
        </is>
      </c>
      <c r="B5966" s="12" t="inlineStr">
        <is>
          <t>K</t>
        </is>
      </c>
      <c r="C5966" s="12" t="inlineStr">
        <is>
          <t>Fuel supply (adjacent market)</t>
        </is>
      </c>
      <c r="D5966" s="12" t="inlineStr">
        <is>
          <t>Analog instrument to JB JB-LNG 10: truck unlo-AI01: 12 x 1 pr (field cables)</t>
        </is>
      </c>
      <c r="E5966" s="12" t="inlineStr"/>
      <c r="F5966" s="12" t="inlineStr">
        <is>
          <t>LNG 10: truck unloading bay 1</t>
        </is>
      </c>
      <c r="G5966" s="12" t="inlineStr">
        <is>
          <t>JB-LNG 10: truck unlo-AI01</t>
        </is>
      </c>
      <c r="H5966" s="12" t="inlineStr">
        <is>
          <t>LNG 10: truck unloading bay 1</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12</v>
      </c>
      <c r="O5966" s="12" t="n">
        <v>1</v>
      </c>
      <c r="P5966" s="12" t="n"/>
      <c r="Q5966" s="12" t="n"/>
      <c r="R5966" s="12" t="n"/>
      <c r="S5966" s="12" t="inlineStr">
        <is>
          <t>Tray / conduit</t>
        </is>
      </c>
      <c r="T5966" s="15" t="n">
        <v>80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K-I-0088</t>
        </is>
      </c>
      <c r="B5967" s="12" t="inlineStr">
        <is>
          <t>K</t>
        </is>
      </c>
      <c r="C5967" s="12" t="inlineStr">
        <is>
          <t>Fuel supply (adjacent market)</t>
        </is>
      </c>
      <c r="D5967" s="12" t="inlineStr">
        <is>
          <t>Home run JB-LNG 10: truck unlo-AI01 to the control / marshalling room</t>
        </is>
      </c>
      <c r="E5967" s="12" t="inlineStr"/>
      <c r="F5967" s="12" t="inlineStr">
        <is>
          <t>LNG 17: LNG e-house (13.8 kV / 480 V)</t>
        </is>
      </c>
      <c r="G5967" s="12" t="inlineStr">
        <is>
          <t>JB-LNG 10: truck unlo-AI01</t>
        </is>
      </c>
      <c r="H5967" s="12" t="inlineStr">
        <is>
          <t>LNG 10: truck unloading bay 1</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237</v>
      </c>
      <c r="U5967" s="15" t="n">
        <v>61</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K-I-0089</t>
        </is>
      </c>
      <c r="B5968" s="12" t="inlineStr">
        <is>
          <t>K</t>
        </is>
      </c>
      <c r="C5968" s="12" t="inlineStr">
        <is>
          <t>Fuel supply (adjacent market)</t>
        </is>
      </c>
      <c r="D5968" s="12" t="inlineStr">
        <is>
          <t>Discrete device to JB JB-LNG 10: truck unlo-DI01: 12 x 1 pr (field cables)</t>
        </is>
      </c>
      <c r="E5968" s="12" t="inlineStr"/>
      <c r="F5968" s="12" t="inlineStr">
        <is>
          <t>LNG 10: truck unloading bay 1</t>
        </is>
      </c>
      <c r="G5968" s="12" t="inlineStr">
        <is>
          <t>JB-LNG 10: truck unlo-DI01</t>
        </is>
      </c>
      <c r="H5968" s="12" t="inlineStr">
        <is>
          <t>LNG 10: truck unloading bay 1</t>
        </is>
      </c>
      <c r="I5968" s="12" t="inlineStr">
        <is>
          <t>Instrumentation</t>
        </is>
      </c>
      <c r="J5968" s="12" t="inlineStr">
        <is>
          <t>Instrumentation ITC / PLTC, IS, #18 shielded pairs, blue jacket</t>
        </is>
      </c>
      <c r="K5968" s="12" t="inlineStr">
        <is>
          <t>ITC|1 pr|16</t>
        </is>
      </c>
      <c r="L5968" s="12" t="inlineStr">
        <is>
          <t>1 pr</t>
        </is>
      </c>
      <c r="M5968" s="12" t="inlineStr">
        <is>
          <t>16</t>
        </is>
      </c>
      <c r="N5968" s="12" t="n">
        <v>12</v>
      </c>
      <c r="O5968" s="12" t="n">
        <v>1</v>
      </c>
      <c r="P5968" s="12" t="n"/>
      <c r="Q5968" s="12" t="n"/>
      <c r="R5968" s="12" t="n"/>
      <c r="S5968" s="12" t="inlineStr">
        <is>
          <t>Tray / conduit</t>
        </is>
      </c>
      <c r="T5968" s="15" t="n">
        <v>80</v>
      </c>
      <c r="U5968" s="15" t="n">
        <v>10</v>
      </c>
      <c r="V5968" s="15">
        <f>ROUNDUP((T5968+U5968+2*'Read Me'!$B$13)*(1+'Read Me'!$B$12),-1)</f>
        <v/>
      </c>
      <c r="W5968" s="15">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K-I-0090</t>
        </is>
      </c>
      <c r="B5969" s="12" t="inlineStr">
        <is>
          <t>K</t>
        </is>
      </c>
      <c r="C5969" s="12" t="inlineStr">
        <is>
          <t>Fuel supply (adjacent market)</t>
        </is>
      </c>
      <c r="D5969" s="12" t="inlineStr">
        <is>
          <t>Home run JB-LNG 10: truck unlo-DI01 to the control / marshalling room</t>
        </is>
      </c>
      <c r="E5969" s="12" t="inlineStr"/>
      <c r="F5969" s="12" t="inlineStr">
        <is>
          <t>LNG 17: LNG e-house (13.8 kV / 480 V)</t>
        </is>
      </c>
      <c r="G5969" s="12" t="inlineStr">
        <is>
          <t>JB-LNG 10: truck unlo-DI01</t>
        </is>
      </c>
      <c r="H5969" s="12" t="inlineStr">
        <is>
          <t>LNG 10: truck unloading bay 1</t>
        </is>
      </c>
      <c r="I5969" s="12" t="inlineStr">
        <is>
          <t>Instrumentation</t>
        </is>
      </c>
      <c r="J5969" s="12" t="inlineStr">
        <is>
          <t>Instrumentation ITC / PLTC, IS, #18 shielded pairs, blue jacket</t>
        </is>
      </c>
      <c r="K5969" s="12" t="inlineStr">
        <is>
          <t>ITC|24 pr|18</t>
        </is>
      </c>
      <c r="L5969" s="12" t="inlineStr">
        <is>
          <t>24 pr</t>
        </is>
      </c>
      <c r="M5969" s="12" t="inlineStr">
        <is>
          <t>18</t>
        </is>
      </c>
      <c r="N5969" s="12" t="n">
        <v>1</v>
      </c>
      <c r="O5969" s="12" t="n">
        <v>1</v>
      </c>
      <c r="P5969" s="12" t="n"/>
      <c r="Q5969" s="12" t="n"/>
      <c r="R5969" s="12" t="n"/>
      <c r="S5969" s="12" t="inlineStr">
        <is>
          <t>Duct bank</t>
        </is>
      </c>
      <c r="T5969" s="15" t="n">
        <v>237</v>
      </c>
      <c r="U5969" s="15" t="n">
        <v>61</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K-I-0091</t>
        </is>
      </c>
      <c r="B5970" s="12" t="inlineStr">
        <is>
          <t>K</t>
        </is>
      </c>
      <c r="C5970" s="12" t="inlineStr">
        <is>
          <t>Fuel supply (adjacent market)</t>
        </is>
      </c>
      <c r="D5970" s="12" t="inlineStr">
        <is>
          <t>Analog instrument to JB JB-LNG 10: truck unlo-AI01: 12 x 1 pr (field cables)</t>
        </is>
      </c>
      <c r="E5970" s="12" t="inlineStr"/>
      <c r="F5970" s="12" t="inlineStr">
        <is>
          <t>LNG 10: truck unloading bay 2</t>
        </is>
      </c>
      <c r="G5970" s="12" t="inlineStr">
        <is>
          <t>JB-LNG 10: truck unlo-AI01</t>
        </is>
      </c>
      <c r="H5970" s="12" t="inlineStr">
        <is>
          <t>LNG 10: truck unloading bay 2</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80</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K-I-0092</t>
        </is>
      </c>
      <c r="B5971" s="12" t="inlineStr">
        <is>
          <t>K</t>
        </is>
      </c>
      <c r="C5971" s="12" t="inlineStr">
        <is>
          <t>Fuel supply (adjacent market)</t>
        </is>
      </c>
      <c r="D5971" s="12" t="inlineStr">
        <is>
          <t>Home run JB-LNG 10: truck unlo-AI01 to the control / marshalling room</t>
        </is>
      </c>
      <c r="E5971" s="12" t="inlineStr"/>
      <c r="F5971" s="12" t="inlineStr">
        <is>
          <t>LNG 17: LNG e-house (13.8 kV / 480 V)</t>
        </is>
      </c>
      <c r="G5971" s="12" t="inlineStr">
        <is>
          <t>JB-LNG 10: truck unlo-AI01</t>
        </is>
      </c>
      <c r="H5971" s="12" t="inlineStr">
        <is>
          <t>LNG 10: truck unloading bay 2</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147</v>
      </c>
      <c r="U5971" s="15" t="n">
        <v>66</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K-I-0093</t>
        </is>
      </c>
      <c r="B5972" s="12" t="inlineStr">
        <is>
          <t>K</t>
        </is>
      </c>
      <c r="C5972" s="12" t="inlineStr">
        <is>
          <t>Fuel supply (adjacent market)</t>
        </is>
      </c>
      <c r="D5972" s="12" t="inlineStr">
        <is>
          <t>Discrete device to JB JB-LNG 10: truck unlo-DI01: 12 x 1 pr (field cables)</t>
        </is>
      </c>
      <c r="E5972" s="12" t="inlineStr"/>
      <c r="F5972" s="12" t="inlineStr">
        <is>
          <t>LNG 10: truck unloading bay 2</t>
        </is>
      </c>
      <c r="G5972" s="12" t="inlineStr">
        <is>
          <t>JB-LNG 10: truck unlo-DI01</t>
        </is>
      </c>
      <c r="H5972" s="12" t="inlineStr">
        <is>
          <t>LNG 10: truck unloading bay 2</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80</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K-I-0094</t>
        </is>
      </c>
      <c r="B5973" s="12" t="inlineStr">
        <is>
          <t>K</t>
        </is>
      </c>
      <c r="C5973" s="12" t="inlineStr">
        <is>
          <t>Fuel supply (adjacent market)</t>
        </is>
      </c>
      <c r="D5973" s="12" t="inlineStr">
        <is>
          <t>Home run JB-LNG 10: truck unlo-DI01 to the control / marshalling room</t>
        </is>
      </c>
      <c r="E5973" s="12" t="inlineStr"/>
      <c r="F5973" s="12" t="inlineStr">
        <is>
          <t>LNG 17: LNG e-house (13.8 kV / 480 V)</t>
        </is>
      </c>
      <c r="G5973" s="12" t="inlineStr">
        <is>
          <t>JB-LNG 10: truck unlo-DI01</t>
        </is>
      </c>
      <c r="H5973" s="12" t="inlineStr">
        <is>
          <t>LNG 10: truck unloading bay 2</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147</v>
      </c>
      <c r="U5973" s="15" t="n">
        <v>66</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K-I-0095</t>
        </is>
      </c>
      <c r="B5974" s="12" t="inlineStr">
        <is>
          <t>K</t>
        </is>
      </c>
      <c r="C5974" s="12" t="inlineStr">
        <is>
          <t>Fuel supply (adjacent market)</t>
        </is>
      </c>
      <c r="D5974" s="12" t="inlineStr">
        <is>
          <t>Analog instrument to JB JB-LNG 10: unloading -AI01: 12 x 1 pr (field cables)</t>
        </is>
      </c>
      <c r="E5974" s="12" t="inlineStr"/>
      <c r="F5974" s="12" t="inlineStr">
        <is>
          <t>LNG 10: unloading skid</t>
        </is>
      </c>
      <c r="G5974" s="12" t="inlineStr">
        <is>
          <t>JB-LNG 10: unloading -AI01</t>
        </is>
      </c>
      <c r="H5974" s="12" t="inlineStr">
        <is>
          <t>LNG 10: unloading skid</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54</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K-I-0096</t>
        </is>
      </c>
      <c r="B5975" s="12" t="inlineStr">
        <is>
          <t>K</t>
        </is>
      </c>
      <c r="C5975" s="12" t="inlineStr">
        <is>
          <t>Fuel supply (adjacent market)</t>
        </is>
      </c>
      <c r="D5975" s="12" t="inlineStr">
        <is>
          <t>Home run JB-LNG 10: unloading -AI01 to the control / marshalling room</t>
        </is>
      </c>
      <c r="E5975" s="12" t="inlineStr"/>
      <c r="F5975" s="12" t="inlineStr">
        <is>
          <t>LNG 17: LNG e-house (13.8 kV / 480 V)</t>
        </is>
      </c>
      <c r="G5975" s="12" t="inlineStr">
        <is>
          <t>JB-LNG 10: unloading -AI01</t>
        </is>
      </c>
      <c r="H5975" s="12" t="inlineStr">
        <is>
          <t>LNG 10: unloading skid</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237</v>
      </c>
      <c r="U5975" s="15" t="n">
        <v>32</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K-I-0097</t>
        </is>
      </c>
      <c r="B5976" s="12" t="inlineStr">
        <is>
          <t>K</t>
        </is>
      </c>
      <c r="C5976" s="12" t="inlineStr">
        <is>
          <t>Fuel supply (adjacent market)</t>
        </is>
      </c>
      <c r="D5976" s="12" t="inlineStr">
        <is>
          <t>Discrete device to JB JB-LNG 10: unloading -DI01: 12 x 1 pr (field cables)</t>
        </is>
      </c>
      <c r="E5976" s="12" t="inlineStr"/>
      <c r="F5976" s="12" t="inlineStr">
        <is>
          <t>LNG 10: unloading skid</t>
        </is>
      </c>
      <c r="G5976" s="12" t="inlineStr">
        <is>
          <t>JB-LNG 10: unloading -DI01</t>
        </is>
      </c>
      <c r="H5976" s="12" t="inlineStr">
        <is>
          <t>LNG 10: unloading skid</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54</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K-I-0098</t>
        </is>
      </c>
      <c r="B5977" s="12" t="inlineStr">
        <is>
          <t>K</t>
        </is>
      </c>
      <c r="C5977" s="12" t="inlineStr">
        <is>
          <t>Fuel supply (adjacent market)</t>
        </is>
      </c>
      <c r="D5977" s="12" t="inlineStr">
        <is>
          <t>Home run JB-LNG 10: unloading -DI01 to the control / marshalling room</t>
        </is>
      </c>
      <c r="E5977" s="12" t="inlineStr"/>
      <c r="F5977" s="12" t="inlineStr">
        <is>
          <t>LNG 17: LNG e-house (13.8 kV / 480 V)</t>
        </is>
      </c>
      <c r="G5977" s="12" t="inlineStr">
        <is>
          <t>JB-LNG 10: unloading -DI01</t>
        </is>
      </c>
      <c r="H5977" s="12" t="inlineStr">
        <is>
          <t>LNG 10: unloading skid</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237</v>
      </c>
      <c r="U5977" s="15" t="n">
        <v>32</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K-I-0099</t>
        </is>
      </c>
      <c r="B5978" s="12" t="inlineStr">
        <is>
          <t>K</t>
        </is>
      </c>
      <c r="C5978" s="12" t="inlineStr">
        <is>
          <t>Fuel supply (adjacent market)</t>
        </is>
      </c>
      <c r="D5978" s="12" t="inlineStr">
        <is>
          <t>Analog instrument to JB JB-LNG-T1-AI01: 4 x 1 pr (field cables)</t>
        </is>
      </c>
      <c r="E5978" s="12" t="inlineStr">
        <is>
          <t>LNG-T1</t>
        </is>
      </c>
      <c r="F5978" s="12" t="inlineStr">
        <is>
          <t>LNG 11: tank 1, Chart HS 50000 (51,780 gal)</t>
        </is>
      </c>
      <c r="G5978" s="12" t="inlineStr">
        <is>
          <t>JB-LNG-T1-AI01</t>
        </is>
      </c>
      <c r="H5978" s="12" t="inlineStr">
        <is>
          <t>LNG 11: tank 1, Chart HS 50000 (51,780 gal)</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4</v>
      </c>
      <c r="O5978" s="12" t="n">
        <v>1</v>
      </c>
      <c r="P5978" s="12" t="n"/>
      <c r="Q5978" s="12" t="n"/>
      <c r="R5978" s="12" t="n"/>
      <c r="S5978" s="12" t="inlineStr">
        <is>
          <t>Tray / conduit</t>
        </is>
      </c>
      <c r="T5978" s="15" t="n">
        <v>77</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K-I-0100</t>
        </is>
      </c>
      <c r="B5979" s="12" t="inlineStr">
        <is>
          <t>K</t>
        </is>
      </c>
      <c r="C5979" s="12" t="inlineStr">
        <is>
          <t>Fuel supply (adjacent market)</t>
        </is>
      </c>
      <c r="D5979" s="12" t="inlineStr">
        <is>
          <t>Home run JB-LNG-T1-AI01 to the control / marshalling room</t>
        </is>
      </c>
      <c r="E5979" s="12" t="inlineStr"/>
      <c r="F5979" s="12" t="inlineStr">
        <is>
          <t>LNG 17: LNG e-house (13.8 kV / 480 V)</t>
        </is>
      </c>
      <c r="G5979" s="12" t="inlineStr">
        <is>
          <t>JB-LNG-T1-AI01</t>
        </is>
      </c>
      <c r="H5979" s="12" t="inlineStr">
        <is>
          <t>LNG 11: tank 1, Chart HS 50000 (51,780 gal)</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210</v>
      </c>
      <c r="U5979" s="15" t="n">
        <v>32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K-I-0101</t>
        </is>
      </c>
      <c r="B5980" s="12" t="inlineStr">
        <is>
          <t>K</t>
        </is>
      </c>
      <c r="C5980" s="12" t="inlineStr">
        <is>
          <t>Fuel supply (adjacent market)</t>
        </is>
      </c>
      <c r="D5980" s="12" t="inlineStr">
        <is>
          <t>Discrete device to JB JB-LNG-T1-DI01: 4 x 1 pr (field cables)</t>
        </is>
      </c>
      <c r="E5980" s="12" t="inlineStr">
        <is>
          <t>LNG-T1</t>
        </is>
      </c>
      <c r="F5980" s="12" t="inlineStr">
        <is>
          <t>LNG 11: tank 1, Chart HS 50000 (51,780 gal)</t>
        </is>
      </c>
      <c r="G5980" s="12" t="inlineStr">
        <is>
          <t>JB-LNG-T1-DI01</t>
        </is>
      </c>
      <c r="H5980" s="12" t="inlineStr">
        <is>
          <t>LNG 11: tank 1, Chart HS 50000 (51,780 gal)</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4</v>
      </c>
      <c r="O5980" s="12" t="n">
        <v>1</v>
      </c>
      <c r="P5980" s="12" t="n"/>
      <c r="Q5980" s="12" t="n"/>
      <c r="R5980" s="12" t="n"/>
      <c r="S5980" s="12" t="inlineStr">
        <is>
          <t>Tray / conduit</t>
        </is>
      </c>
      <c r="T5980" s="15" t="n">
        <v>77</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K-I-0102</t>
        </is>
      </c>
      <c r="B5981" s="12" t="inlineStr">
        <is>
          <t>K</t>
        </is>
      </c>
      <c r="C5981" s="12" t="inlineStr">
        <is>
          <t>Fuel supply (adjacent market)</t>
        </is>
      </c>
      <c r="D5981" s="12" t="inlineStr">
        <is>
          <t>Home run JB-LNG-T1-DI01 to the control / marshalling room</t>
        </is>
      </c>
      <c r="E5981" s="12" t="inlineStr"/>
      <c r="F5981" s="12" t="inlineStr">
        <is>
          <t>LNG 17: LNG e-house (13.8 kV / 480 V)</t>
        </is>
      </c>
      <c r="G5981" s="12" t="inlineStr">
        <is>
          <t>JB-LNG-T1-DI01</t>
        </is>
      </c>
      <c r="H5981" s="12" t="inlineStr">
        <is>
          <t>LNG 11: tank 1, Chart HS 50000 (51,780 gal)</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210</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K-I-0103</t>
        </is>
      </c>
      <c r="B5982" s="12" t="inlineStr">
        <is>
          <t>K</t>
        </is>
      </c>
      <c r="C5982" s="12" t="inlineStr">
        <is>
          <t>Fuel supply (adjacent market)</t>
        </is>
      </c>
      <c r="D5982" s="12" t="inlineStr">
        <is>
          <t>Analog instrument to JB JB-LNG-T2-AI01: 4 x 1 pr (field cables)</t>
        </is>
      </c>
      <c r="E5982" s="12" t="inlineStr">
        <is>
          <t>LNG-T2</t>
        </is>
      </c>
      <c r="F5982" s="12" t="inlineStr">
        <is>
          <t>LNG 11: tank 2, Chart HS 50000 (51,780 gal)</t>
        </is>
      </c>
      <c r="G5982" s="12" t="inlineStr">
        <is>
          <t>JB-LNG-T2-AI01</t>
        </is>
      </c>
      <c r="H5982" s="12" t="inlineStr">
        <is>
          <t>LNG 11: tank 2, Chart HS 50000 (51,780 gal)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77</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K-I-0104</t>
        </is>
      </c>
      <c r="B5983" s="12" t="inlineStr">
        <is>
          <t>K</t>
        </is>
      </c>
      <c r="C5983" s="12" t="inlineStr">
        <is>
          <t>Fuel supply (adjacent market)</t>
        </is>
      </c>
      <c r="D5983" s="12" t="inlineStr">
        <is>
          <t>Home run JB-LNG-T2-AI01 to the control / marshalling room</t>
        </is>
      </c>
      <c r="E5983" s="12" t="inlineStr"/>
      <c r="F5983" s="12" t="inlineStr">
        <is>
          <t>LNG 17: LNG e-house (13.8 kV / 480 V)</t>
        </is>
      </c>
      <c r="G5983" s="12" t="inlineStr">
        <is>
          <t>JB-LNG-T2-AI01</t>
        </is>
      </c>
      <c r="H5983" s="12" t="inlineStr">
        <is>
          <t>LNG 11: tank 2, Chart HS 50000 (51,780 gal)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230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K-I-0105</t>
        </is>
      </c>
      <c r="B5984" s="12" t="inlineStr">
        <is>
          <t>K</t>
        </is>
      </c>
      <c r="C5984" s="12" t="inlineStr">
        <is>
          <t>Fuel supply (adjacent market)</t>
        </is>
      </c>
      <c r="D5984" s="12" t="inlineStr">
        <is>
          <t>Discrete device to JB JB-LNG-T2-DI01: 4 x 1 pr (field cables)</t>
        </is>
      </c>
      <c r="E5984" s="12" t="inlineStr">
        <is>
          <t>LNG-T2</t>
        </is>
      </c>
      <c r="F5984" s="12" t="inlineStr">
        <is>
          <t>LNG 11: tank 2, Chart HS 50000 (51,780 gal)</t>
        </is>
      </c>
      <c r="G5984" s="12" t="inlineStr">
        <is>
          <t>JB-LNG-T2-DI01</t>
        </is>
      </c>
      <c r="H5984" s="12" t="inlineStr">
        <is>
          <t>LNG 11: tank 2, Chart HS 50000 (51,780 gal)</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77</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K-I-0106</t>
        </is>
      </c>
      <c r="B5985" s="12" t="inlineStr">
        <is>
          <t>K</t>
        </is>
      </c>
      <c r="C5985" s="12" t="inlineStr">
        <is>
          <t>Fuel supply (adjacent market)</t>
        </is>
      </c>
      <c r="D5985" s="12" t="inlineStr">
        <is>
          <t>Home run JB-LNG-T2-DI01 to the control / marshalling room</t>
        </is>
      </c>
      <c r="E5985" s="12" t="inlineStr"/>
      <c r="F5985" s="12" t="inlineStr">
        <is>
          <t>LNG 17: LNG e-house (13.8 kV / 480 V)</t>
        </is>
      </c>
      <c r="G5985" s="12" t="inlineStr">
        <is>
          <t>JB-LNG-T2-DI01</t>
        </is>
      </c>
      <c r="H5985" s="12" t="inlineStr">
        <is>
          <t>LNG 11: tank 2, Chart HS 50000 (51,780 gal)</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230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K-I-0107</t>
        </is>
      </c>
      <c r="B5986" s="12" t="inlineStr">
        <is>
          <t>K</t>
        </is>
      </c>
      <c r="C5986" s="12" t="inlineStr">
        <is>
          <t>Fuel supply (adjacent market)</t>
        </is>
      </c>
      <c r="D5986" s="12" t="inlineStr">
        <is>
          <t>Analog instrument to JB JB-LNG-T3-AI01: 4 x 1 pr (field cables)</t>
        </is>
      </c>
      <c r="E5986" s="12" t="inlineStr">
        <is>
          <t>LNG-T3</t>
        </is>
      </c>
      <c r="F5986" s="12" t="inlineStr">
        <is>
          <t>LNG 11: tank 3, Chart HS 50000 (51,780 gal)</t>
        </is>
      </c>
      <c r="G5986" s="12" t="inlineStr">
        <is>
          <t>JB-LNG-T3-AI01</t>
        </is>
      </c>
      <c r="H5986" s="12" t="inlineStr">
        <is>
          <t>LNG 11: tank 3, Chart HS 50000 (51,780 gal)</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4</v>
      </c>
      <c r="O5986" s="12" t="n">
        <v>1</v>
      </c>
      <c r="P5986" s="12" t="n"/>
      <c r="Q5986" s="12" t="n"/>
      <c r="R5986" s="12" t="n"/>
      <c r="S5986" s="12" t="inlineStr">
        <is>
          <t>Tray / conduit</t>
        </is>
      </c>
      <c r="T5986" s="15" t="n">
        <v>77</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K-I-0108</t>
        </is>
      </c>
      <c r="B5987" s="12" t="inlineStr">
        <is>
          <t>K</t>
        </is>
      </c>
      <c r="C5987" s="12" t="inlineStr">
        <is>
          <t>Fuel supply (adjacent market)</t>
        </is>
      </c>
      <c r="D5987" s="12" t="inlineStr">
        <is>
          <t>Home run JB-LNG-T3-AI01 to the control / marshalling room</t>
        </is>
      </c>
      <c r="E5987" s="12" t="inlineStr"/>
      <c r="F5987" s="12" t="inlineStr">
        <is>
          <t>LNG 17: LNG e-house (13.8 kV / 480 V)</t>
        </is>
      </c>
      <c r="G5987" s="12" t="inlineStr">
        <is>
          <t>JB-LNG-T3-AI01</t>
        </is>
      </c>
      <c r="H5987" s="12" t="inlineStr">
        <is>
          <t>LNG 11: tank 3, Chart HS 50000 (51,780 gal)</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250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K-I-0109</t>
        </is>
      </c>
      <c r="B5988" s="12" t="inlineStr">
        <is>
          <t>K</t>
        </is>
      </c>
      <c r="C5988" s="12" t="inlineStr">
        <is>
          <t>Fuel supply (adjacent market)</t>
        </is>
      </c>
      <c r="D5988" s="12" t="inlineStr">
        <is>
          <t>Discrete device to JB JB-LNG-T3-DI01: 4 x 1 pr (field cables)</t>
        </is>
      </c>
      <c r="E5988" s="12" t="inlineStr">
        <is>
          <t>LNG-T3</t>
        </is>
      </c>
      <c r="F5988" s="12" t="inlineStr">
        <is>
          <t>LNG 11: tank 3, Chart HS 50000 (51,780 gal)</t>
        </is>
      </c>
      <c r="G5988" s="12" t="inlineStr">
        <is>
          <t>JB-LNG-T3-DI01</t>
        </is>
      </c>
      <c r="H5988" s="12" t="inlineStr">
        <is>
          <t>LNG 11: tank 3, Chart HS 50000 (51,780 gal)</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4</v>
      </c>
      <c r="O5988" s="12" t="n">
        <v>1</v>
      </c>
      <c r="P5988" s="12" t="n"/>
      <c r="Q5988" s="12" t="n"/>
      <c r="R5988" s="12" t="n"/>
      <c r="S5988" s="12" t="inlineStr">
        <is>
          <t>Tray / conduit</t>
        </is>
      </c>
      <c r="T5988" s="15" t="n">
        <v>77</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K-I-0110</t>
        </is>
      </c>
      <c r="B5989" s="12" t="inlineStr">
        <is>
          <t>K</t>
        </is>
      </c>
      <c r="C5989" s="12" t="inlineStr">
        <is>
          <t>Fuel supply (adjacent market)</t>
        </is>
      </c>
      <c r="D5989" s="12" t="inlineStr">
        <is>
          <t>Home run JB-LNG-T3-DI01 to the control / marshalling room</t>
        </is>
      </c>
      <c r="E5989" s="12" t="inlineStr"/>
      <c r="F5989" s="12" t="inlineStr">
        <is>
          <t>LNG 17: LNG e-house (13.8 kV / 480 V)</t>
        </is>
      </c>
      <c r="G5989" s="12" t="inlineStr">
        <is>
          <t>JB-LNG-T3-DI01</t>
        </is>
      </c>
      <c r="H5989" s="12" t="inlineStr">
        <is>
          <t>LNG 11: tank 3, Chart HS 50000 (51,780 gal)</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250</v>
      </c>
      <c r="U5989" s="15" t="n">
        <v>32</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K-I-0111</t>
        </is>
      </c>
      <c r="B5990" s="12" t="inlineStr">
        <is>
          <t>K</t>
        </is>
      </c>
      <c r="C5990" s="12" t="inlineStr">
        <is>
          <t>Fuel supply (adjacent market)</t>
        </is>
      </c>
      <c r="D5990" s="12" t="inlineStr">
        <is>
          <t>Analog instrument to JB JB-LNG-T4-AI01: 4 x 1 pr (field cables)</t>
        </is>
      </c>
      <c r="E5990" s="12" t="inlineStr">
        <is>
          <t>LNG-T4</t>
        </is>
      </c>
      <c r="F5990" s="12" t="inlineStr">
        <is>
          <t>LNG 11: tank 4, Chart HS 50000 (51,780 gal)</t>
        </is>
      </c>
      <c r="G5990" s="12" t="inlineStr">
        <is>
          <t>JB-LNG-T4-AI01</t>
        </is>
      </c>
      <c r="H5990" s="12" t="inlineStr">
        <is>
          <t>LNG 11: tank 4, Chart HS 50000 (51,780 gal)</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4</v>
      </c>
      <c r="O5990" s="12" t="n">
        <v>1</v>
      </c>
      <c r="P5990" s="12" t="n"/>
      <c r="Q5990" s="12" t="n"/>
      <c r="R5990" s="12" t="n"/>
      <c r="S5990" s="12" t="inlineStr">
        <is>
          <t>Tray / conduit</t>
        </is>
      </c>
      <c r="T5990" s="15" t="n">
        <v>77</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K-I-0112</t>
        </is>
      </c>
      <c r="B5991" s="12" t="inlineStr">
        <is>
          <t>K</t>
        </is>
      </c>
      <c r="C5991" s="12" t="inlineStr">
        <is>
          <t>Fuel supply (adjacent market)</t>
        </is>
      </c>
      <c r="D5991" s="12" t="inlineStr">
        <is>
          <t>Home run JB-LNG-T4-AI01 to the control / marshalling room</t>
        </is>
      </c>
      <c r="E5991" s="12" t="inlineStr"/>
      <c r="F5991" s="12" t="inlineStr">
        <is>
          <t>LNG 17: LNG e-house (13.8 kV / 480 V)</t>
        </is>
      </c>
      <c r="G5991" s="12" t="inlineStr">
        <is>
          <t>JB-LNG-T4-AI01</t>
        </is>
      </c>
      <c r="H5991" s="12" t="inlineStr">
        <is>
          <t>LNG 11: tank 4, Chart HS 50000 (51,780 gal)</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270</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K-I-0113</t>
        </is>
      </c>
      <c r="B5992" s="12" t="inlineStr">
        <is>
          <t>K</t>
        </is>
      </c>
      <c r="C5992" s="12" t="inlineStr">
        <is>
          <t>Fuel supply (adjacent market)</t>
        </is>
      </c>
      <c r="D5992" s="12" t="inlineStr">
        <is>
          <t>Discrete device to JB JB-LNG-T4-DI01: 4 x 1 pr (field cables)</t>
        </is>
      </c>
      <c r="E5992" s="12" t="inlineStr">
        <is>
          <t>LNG-T4</t>
        </is>
      </c>
      <c r="F5992" s="12" t="inlineStr">
        <is>
          <t>LNG 11: tank 4, Chart HS 50000 (51,780 gal)</t>
        </is>
      </c>
      <c r="G5992" s="12" t="inlineStr">
        <is>
          <t>JB-LNG-T4-DI01</t>
        </is>
      </c>
      <c r="H5992" s="12" t="inlineStr">
        <is>
          <t>LNG 11: tank 4, Chart HS 50000 (51,780 gal)</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4</v>
      </c>
      <c r="O5992" s="12" t="n">
        <v>1</v>
      </c>
      <c r="P5992" s="12" t="n"/>
      <c r="Q5992" s="12" t="n"/>
      <c r="R5992" s="12" t="n"/>
      <c r="S5992" s="12" t="inlineStr">
        <is>
          <t>Tray / conduit</t>
        </is>
      </c>
      <c r="T5992" s="15" t="n">
        <v>77</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K-I-0114</t>
        </is>
      </c>
      <c r="B5993" s="12" t="inlineStr">
        <is>
          <t>K</t>
        </is>
      </c>
      <c r="C5993" s="12" t="inlineStr">
        <is>
          <t>Fuel supply (adjacent market)</t>
        </is>
      </c>
      <c r="D5993" s="12" t="inlineStr">
        <is>
          <t>Home run JB-LNG-T4-DI01 to the control / marshalling room</t>
        </is>
      </c>
      <c r="E5993" s="12" t="inlineStr"/>
      <c r="F5993" s="12" t="inlineStr">
        <is>
          <t>LNG 17: LNG e-house (13.8 kV / 480 V)</t>
        </is>
      </c>
      <c r="G5993" s="12" t="inlineStr">
        <is>
          <t>JB-LNG-T4-DI01</t>
        </is>
      </c>
      <c r="H5993" s="12" t="inlineStr">
        <is>
          <t>LNG 11: tank 4, Chart HS 50000 (51,780 gal)</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270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K-I-0115</t>
        </is>
      </c>
      <c r="B5994" s="12" t="inlineStr">
        <is>
          <t>K</t>
        </is>
      </c>
      <c r="C5994" s="12" t="inlineStr">
        <is>
          <t>Fuel supply (adjacent market)</t>
        </is>
      </c>
      <c r="D5994" s="12" t="inlineStr">
        <is>
          <t>Analog instrument to JB JB-LNG-T5-AI01: 4 x 1 pr (field cables)</t>
        </is>
      </c>
      <c r="E5994" s="12" t="inlineStr">
        <is>
          <t>LNG-T5</t>
        </is>
      </c>
      <c r="F5994" s="12" t="inlineStr">
        <is>
          <t>LNG 11: tank 5, Chart HS 50000 (51,780 gal)</t>
        </is>
      </c>
      <c r="G5994" s="12" t="inlineStr">
        <is>
          <t>JB-LNG-T5-AI01</t>
        </is>
      </c>
      <c r="H5994" s="12" t="inlineStr">
        <is>
          <t>LNG 11: tank 5,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K-I-0116</t>
        </is>
      </c>
      <c r="B5995" s="12" t="inlineStr">
        <is>
          <t>K</t>
        </is>
      </c>
      <c r="C5995" s="12" t="inlineStr">
        <is>
          <t>Fuel supply (adjacent market)</t>
        </is>
      </c>
      <c r="D5995" s="12" t="inlineStr">
        <is>
          <t>Home run JB-LNG-T5-AI01 to the control / marshalling room</t>
        </is>
      </c>
      <c r="E5995" s="12" t="inlineStr"/>
      <c r="F5995" s="12" t="inlineStr">
        <is>
          <t>LNG 17: LNG e-house (13.8 kV / 480 V)</t>
        </is>
      </c>
      <c r="G5995" s="12" t="inlineStr">
        <is>
          <t>JB-LNG-T5-AI01</t>
        </is>
      </c>
      <c r="H5995" s="12" t="inlineStr">
        <is>
          <t>LNG 11: tank 5,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290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K-I-0117</t>
        </is>
      </c>
      <c r="B5996" s="12" t="inlineStr">
        <is>
          <t>K</t>
        </is>
      </c>
      <c r="C5996" s="12" t="inlineStr">
        <is>
          <t>Fuel supply (adjacent market)</t>
        </is>
      </c>
      <c r="D5996" s="12" t="inlineStr">
        <is>
          <t>Discrete device to JB JB-LNG-T5-DI01: 4 x 1 pr (field cables)</t>
        </is>
      </c>
      <c r="E5996" s="12" t="inlineStr">
        <is>
          <t>LNG-T5</t>
        </is>
      </c>
      <c r="F5996" s="12" t="inlineStr">
        <is>
          <t>LNG 11: tank 5, Chart HS 50000 (51,780 gal)</t>
        </is>
      </c>
      <c r="G5996" s="12" t="inlineStr">
        <is>
          <t>JB-LNG-T5-DI01</t>
        </is>
      </c>
      <c r="H5996" s="12" t="inlineStr">
        <is>
          <t>LNG 11: tank 5,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K-I-0118</t>
        </is>
      </c>
      <c r="B5997" s="12" t="inlineStr">
        <is>
          <t>K</t>
        </is>
      </c>
      <c r="C5997" s="12" t="inlineStr">
        <is>
          <t>Fuel supply (adjacent market)</t>
        </is>
      </c>
      <c r="D5997" s="12" t="inlineStr">
        <is>
          <t>Home run JB-LNG-T5-DI01 to the control / marshalling room</t>
        </is>
      </c>
      <c r="E5997" s="12" t="inlineStr"/>
      <c r="F5997" s="12" t="inlineStr">
        <is>
          <t>LNG 17: LNG e-house (13.8 kV / 480 V)</t>
        </is>
      </c>
      <c r="G5997" s="12" t="inlineStr">
        <is>
          <t>JB-LNG-T5-DI01</t>
        </is>
      </c>
      <c r="H5997" s="12" t="inlineStr">
        <is>
          <t>LNG 11: tank 5,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290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K-I-0119</t>
        </is>
      </c>
      <c r="B5998" s="12" t="inlineStr">
        <is>
          <t>K</t>
        </is>
      </c>
      <c r="C5998" s="12" t="inlineStr">
        <is>
          <t>Fuel supply (adjacent market)</t>
        </is>
      </c>
      <c r="D5998" s="12" t="inlineStr">
        <is>
          <t>Analog instrument to JB JB-LNG-T6-AI01: 4 x 1 pr (field cables)</t>
        </is>
      </c>
      <c r="E5998" s="12" t="inlineStr">
        <is>
          <t>LNG-T6</t>
        </is>
      </c>
      <c r="F5998" s="12" t="inlineStr">
        <is>
          <t>LNG 11: tank 6, Chart HS 50000 (51,780 gal)</t>
        </is>
      </c>
      <c r="G5998" s="12" t="inlineStr">
        <is>
          <t>JB-LNG-T6-AI01</t>
        </is>
      </c>
      <c r="H5998" s="12" t="inlineStr">
        <is>
          <t>LNG 11: tank 6,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K-I-0120</t>
        </is>
      </c>
      <c r="B5999" s="12" t="inlineStr">
        <is>
          <t>K</t>
        </is>
      </c>
      <c r="C5999" s="12" t="inlineStr">
        <is>
          <t>Fuel supply (adjacent market)</t>
        </is>
      </c>
      <c r="D5999" s="12" t="inlineStr">
        <is>
          <t>Home run JB-LNG-T6-AI01 to the control / marshalling room</t>
        </is>
      </c>
      <c r="E5999" s="12" t="inlineStr"/>
      <c r="F5999" s="12" t="inlineStr">
        <is>
          <t>LNG 17: LNG e-house (13.8 kV / 480 V)</t>
        </is>
      </c>
      <c r="G5999" s="12" t="inlineStr">
        <is>
          <t>JB-LNG-T6-AI01</t>
        </is>
      </c>
      <c r="H5999" s="12" t="inlineStr">
        <is>
          <t>LNG 11: tank 6,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310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K-I-0121</t>
        </is>
      </c>
      <c r="B6000" s="12" t="inlineStr">
        <is>
          <t>K</t>
        </is>
      </c>
      <c r="C6000" s="12" t="inlineStr">
        <is>
          <t>Fuel supply (adjacent market)</t>
        </is>
      </c>
      <c r="D6000" s="12" t="inlineStr">
        <is>
          <t>Discrete device to JB JB-LNG-T6-DI01: 4 x 1 pr (field cables)</t>
        </is>
      </c>
      <c r="E6000" s="12" t="inlineStr">
        <is>
          <t>LNG-T6</t>
        </is>
      </c>
      <c r="F6000" s="12" t="inlineStr">
        <is>
          <t>LNG 11: tank 6, Chart HS 50000 (51,780 gal)</t>
        </is>
      </c>
      <c r="G6000" s="12" t="inlineStr">
        <is>
          <t>JB-LNG-T6-DI01</t>
        </is>
      </c>
      <c r="H6000" s="12" t="inlineStr">
        <is>
          <t>LNG 11: tank 6,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K-I-0122</t>
        </is>
      </c>
      <c r="B6001" s="12" t="inlineStr">
        <is>
          <t>K</t>
        </is>
      </c>
      <c r="C6001" s="12" t="inlineStr">
        <is>
          <t>Fuel supply (adjacent market)</t>
        </is>
      </c>
      <c r="D6001" s="12" t="inlineStr">
        <is>
          <t>Home run JB-LNG-T6-DI01 to the control / marshalling room</t>
        </is>
      </c>
      <c r="E6001" s="12" t="inlineStr"/>
      <c r="F6001" s="12" t="inlineStr">
        <is>
          <t>LNG 17: LNG e-house (13.8 kV / 480 V)</t>
        </is>
      </c>
      <c r="G6001" s="12" t="inlineStr">
        <is>
          <t>JB-LNG-T6-DI01</t>
        </is>
      </c>
      <c r="H6001" s="12" t="inlineStr">
        <is>
          <t>LNG 11: tank 6,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310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K-I-0123</t>
        </is>
      </c>
      <c r="B6002" s="12" t="inlineStr">
        <is>
          <t>K</t>
        </is>
      </c>
      <c r="C6002" s="12" t="inlineStr">
        <is>
          <t>Fuel supply (adjacent market)</t>
        </is>
      </c>
      <c r="D6002" s="12" t="inlineStr">
        <is>
          <t>Analog instrument to JB JB-LNG-T7-AI01: 4 x 1 pr (field cables)</t>
        </is>
      </c>
      <c r="E6002" s="12" t="inlineStr">
        <is>
          <t>LNG-T7</t>
        </is>
      </c>
      <c r="F6002" s="12" t="inlineStr">
        <is>
          <t>LNG 11: tank 7, Chart HS 50000 (51,780 gal)</t>
        </is>
      </c>
      <c r="G6002" s="12" t="inlineStr">
        <is>
          <t>JB-LNG-T7-AI01</t>
        </is>
      </c>
      <c r="H6002" s="12" t="inlineStr">
        <is>
          <t>LNG 11: tank 7,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K-I-0124</t>
        </is>
      </c>
      <c r="B6003" s="12" t="inlineStr">
        <is>
          <t>K</t>
        </is>
      </c>
      <c r="C6003" s="12" t="inlineStr">
        <is>
          <t>Fuel supply (adjacent market)</t>
        </is>
      </c>
      <c r="D6003" s="12" t="inlineStr">
        <is>
          <t>Home run JB-LNG-T7-AI01 to the control / marshalling room</t>
        </is>
      </c>
      <c r="E6003" s="12" t="inlineStr"/>
      <c r="F6003" s="12" t="inlineStr">
        <is>
          <t>LNG 17: LNG e-house (13.8 kV / 480 V)</t>
        </is>
      </c>
      <c r="G6003" s="12" t="inlineStr">
        <is>
          <t>JB-LNG-T7-AI01</t>
        </is>
      </c>
      <c r="H6003" s="12" t="inlineStr">
        <is>
          <t>LNG 11: tank 7,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330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K-I-0125</t>
        </is>
      </c>
      <c r="B6004" s="12" t="inlineStr">
        <is>
          <t>K</t>
        </is>
      </c>
      <c r="C6004" s="12" t="inlineStr">
        <is>
          <t>Fuel supply (adjacent market)</t>
        </is>
      </c>
      <c r="D6004" s="12" t="inlineStr">
        <is>
          <t>Discrete device to JB JB-LNG-T7-DI01: 4 x 1 pr (field cables)</t>
        </is>
      </c>
      <c r="E6004" s="12" t="inlineStr">
        <is>
          <t>LNG-T7</t>
        </is>
      </c>
      <c r="F6004" s="12" t="inlineStr">
        <is>
          <t>LNG 11: tank 7, Chart HS 50000 (51,780 gal)</t>
        </is>
      </c>
      <c r="G6004" s="12" t="inlineStr">
        <is>
          <t>JB-LNG-T7-DI01</t>
        </is>
      </c>
      <c r="H6004" s="12" t="inlineStr">
        <is>
          <t>LNG 11: tank 7,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K-I-0126</t>
        </is>
      </c>
      <c r="B6005" s="12" t="inlineStr">
        <is>
          <t>K</t>
        </is>
      </c>
      <c r="C6005" s="12" t="inlineStr">
        <is>
          <t>Fuel supply (adjacent market)</t>
        </is>
      </c>
      <c r="D6005" s="12" t="inlineStr">
        <is>
          <t>Home run JB-LNG-T7-DI01 to the control / marshalling room</t>
        </is>
      </c>
      <c r="E6005" s="12" t="inlineStr"/>
      <c r="F6005" s="12" t="inlineStr">
        <is>
          <t>LNG 17: LNG e-house (13.8 kV / 480 V)</t>
        </is>
      </c>
      <c r="G6005" s="12" t="inlineStr">
        <is>
          <t>JB-LNG-T7-DI01</t>
        </is>
      </c>
      <c r="H6005" s="12" t="inlineStr">
        <is>
          <t>LNG 11: tank 7,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330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K-I-0127</t>
        </is>
      </c>
      <c r="B6006" s="12" t="inlineStr">
        <is>
          <t>K</t>
        </is>
      </c>
      <c r="C6006" s="12" t="inlineStr">
        <is>
          <t>Fuel supply (adjacent market)</t>
        </is>
      </c>
      <c r="D6006" s="12" t="inlineStr">
        <is>
          <t>Analog instrument to JB JB-LNG-T8-AI01: 4 x 1 pr (field cables)</t>
        </is>
      </c>
      <c r="E6006" s="12" t="inlineStr">
        <is>
          <t>LNG-T8</t>
        </is>
      </c>
      <c r="F6006" s="12" t="inlineStr">
        <is>
          <t>LNG 11: tank 8, Chart HS 50000 (51,780 gal)</t>
        </is>
      </c>
      <c r="G6006" s="12" t="inlineStr">
        <is>
          <t>JB-LNG-T8-AI01</t>
        </is>
      </c>
      <c r="H6006" s="12" t="inlineStr">
        <is>
          <t>LNG 11: tank 8,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K-I-0128</t>
        </is>
      </c>
      <c r="B6007" s="12" t="inlineStr">
        <is>
          <t>K</t>
        </is>
      </c>
      <c r="C6007" s="12" t="inlineStr">
        <is>
          <t>Fuel supply (adjacent market)</t>
        </is>
      </c>
      <c r="D6007" s="12" t="inlineStr">
        <is>
          <t>Home run JB-LNG-T8-AI01 to the control / marshalling room</t>
        </is>
      </c>
      <c r="E6007" s="12" t="inlineStr"/>
      <c r="F6007" s="12" t="inlineStr">
        <is>
          <t>LNG 17: LNG e-house (13.8 kV / 480 V)</t>
        </is>
      </c>
      <c r="G6007" s="12" t="inlineStr">
        <is>
          <t>JB-LNG-T8-AI01</t>
        </is>
      </c>
      <c r="H6007" s="12" t="inlineStr">
        <is>
          <t>LNG 11: tank 8,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350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K-I-0129</t>
        </is>
      </c>
      <c r="B6008" s="12" t="inlineStr">
        <is>
          <t>K</t>
        </is>
      </c>
      <c r="C6008" s="12" t="inlineStr">
        <is>
          <t>Fuel supply (adjacent market)</t>
        </is>
      </c>
      <c r="D6008" s="12" t="inlineStr">
        <is>
          <t>Discrete device to JB JB-LNG-T8-DI01: 4 x 1 pr (field cables)</t>
        </is>
      </c>
      <c r="E6008" s="12" t="inlineStr">
        <is>
          <t>LNG-T8</t>
        </is>
      </c>
      <c r="F6008" s="12" t="inlineStr">
        <is>
          <t>LNG 11: tank 8, Chart HS 50000 (51,780 gal)</t>
        </is>
      </c>
      <c r="G6008" s="12" t="inlineStr">
        <is>
          <t>JB-LNG-T8-DI01</t>
        </is>
      </c>
      <c r="H6008" s="12" t="inlineStr">
        <is>
          <t>LNG 11: tank 8,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K-I-0130</t>
        </is>
      </c>
      <c r="B6009" s="12" t="inlineStr">
        <is>
          <t>K</t>
        </is>
      </c>
      <c r="C6009" s="12" t="inlineStr">
        <is>
          <t>Fuel supply (adjacent market)</t>
        </is>
      </c>
      <c r="D6009" s="12" t="inlineStr">
        <is>
          <t>Home run JB-LNG-T8-DI01 to the control / marshalling room</t>
        </is>
      </c>
      <c r="E6009" s="12" t="inlineStr"/>
      <c r="F6009" s="12" t="inlineStr">
        <is>
          <t>LNG 17: LNG e-house (13.8 kV / 480 V)</t>
        </is>
      </c>
      <c r="G6009" s="12" t="inlineStr">
        <is>
          <t>JB-LNG-T8-DI01</t>
        </is>
      </c>
      <c r="H6009" s="12" t="inlineStr">
        <is>
          <t>LNG 11: tank 8,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350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K-I-0131</t>
        </is>
      </c>
      <c r="B6010" s="12" t="inlineStr">
        <is>
          <t>K</t>
        </is>
      </c>
      <c r="C6010" s="12" t="inlineStr">
        <is>
          <t>Fuel supply (adjacent market)</t>
        </is>
      </c>
      <c r="D6010" s="12" t="inlineStr">
        <is>
          <t>Analog instrument to JB JB-LNG 12: spill impo-AI01: 12 x 1 pr (field cables)</t>
        </is>
      </c>
      <c r="E6010" s="12" t="inlineStr"/>
      <c r="F6010" s="12" t="inlineStr">
        <is>
          <t>LNG 12: spill impoundment (NFPA 59A, to verify)</t>
        </is>
      </c>
      <c r="G6010" s="12" t="inlineStr">
        <is>
          <t>JB-LNG 12: spill impo-AI01</t>
        </is>
      </c>
      <c r="H6010" s="12" t="inlineStr">
        <is>
          <t>LNG 12: spill impoundment (NFPA 59A, to verify)</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12</v>
      </c>
      <c r="O6010" s="12" t="n">
        <v>1</v>
      </c>
      <c r="P6010" s="12" t="n"/>
      <c r="Q6010" s="12" t="n"/>
      <c r="R6010" s="12" t="n"/>
      <c r="S6010" s="12" t="inlineStr">
        <is>
          <t>Tray / conduit</t>
        </is>
      </c>
      <c r="T6010" s="15" t="n">
        <v>170</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K-I-0132</t>
        </is>
      </c>
      <c r="B6011" s="12" t="inlineStr">
        <is>
          <t>K</t>
        </is>
      </c>
      <c r="C6011" s="12" t="inlineStr">
        <is>
          <t>Fuel supply (adjacent market)</t>
        </is>
      </c>
      <c r="D6011" s="12" t="inlineStr">
        <is>
          <t>Home run JB-LNG 12: spill impo-AI01 to the control / marshalling room</t>
        </is>
      </c>
      <c r="E6011" s="12" t="inlineStr"/>
      <c r="F6011" s="12" t="inlineStr">
        <is>
          <t>LNG 17: LNG e-house (13.8 kV / 480 V)</t>
        </is>
      </c>
      <c r="G6011" s="12" t="inlineStr">
        <is>
          <t>JB-LNG 12: spill impo-AI01</t>
        </is>
      </c>
      <c r="H6011" s="12" t="inlineStr">
        <is>
          <t>LNG 12: spill impoundment (NFPA 59A, to verify)</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230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K-I-0133</t>
        </is>
      </c>
      <c r="B6012" s="12" t="inlineStr">
        <is>
          <t>K</t>
        </is>
      </c>
      <c r="C6012" s="12" t="inlineStr">
        <is>
          <t>Fuel supply (adjacent market)</t>
        </is>
      </c>
      <c r="D6012" s="12" t="inlineStr">
        <is>
          <t>Discrete device to JB JB-LNG 12: spill impo-DI01: 12 x 1 pr (field cables)</t>
        </is>
      </c>
      <c r="E6012" s="12" t="inlineStr"/>
      <c r="F6012" s="12" t="inlineStr">
        <is>
          <t>LNG 12: spill impoundment (NFPA 59A, to verify)</t>
        </is>
      </c>
      <c r="G6012" s="12" t="inlineStr">
        <is>
          <t>JB-LNG 12: spill impo-DI01</t>
        </is>
      </c>
      <c r="H6012" s="12" t="inlineStr">
        <is>
          <t>LNG 12: spill impoundment (NFPA 59A, to verify)</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12</v>
      </c>
      <c r="O6012" s="12" t="n">
        <v>1</v>
      </c>
      <c r="P6012" s="12" t="n"/>
      <c r="Q6012" s="12" t="n"/>
      <c r="R6012" s="12" t="n"/>
      <c r="S6012" s="12" t="inlineStr">
        <is>
          <t>Tray / conduit</t>
        </is>
      </c>
      <c r="T6012" s="15" t="n">
        <v>170</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K-I-0134</t>
        </is>
      </c>
      <c r="B6013" s="12" t="inlineStr">
        <is>
          <t>K</t>
        </is>
      </c>
      <c r="C6013" s="12" t="inlineStr">
        <is>
          <t>Fuel supply (adjacent market)</t>
        </is>
      </c>
      <c r="D6013" s="12" t="inlineStr">
        <is>
          <t>Home run JB-LNG 12: spill impo-DI01 to the control / marshalling room</t>
        </is>
      </c>
      <c r="E6013" s="12" t="inlineStr"/>
      <c r="F6013" s="12" t="inlineStr">
        <is>
          <t>LNG 17: LNG e-house (13.8 kV / 480 V)</t>
        </is>
      </c>
      <c r="G6013" s="12" t="inlineStr">
        <is>
          <t>JB-LNG 12: spill impo-DI01</t>
        </is>
      </c>
      <c r="H6013" s="12" t="inlineStr">
        <is>
          <t>LNG 12: spill impoundment (NFPA 59A, to verify)</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230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K-I-0135</t>
        </is>
      </c>
      <c r="B6014" s="12" t="inlineStr">
        <is>
          <t>K</t>
        </is>
      </c>
      <c r="C6014" s="12" t="inlineStr">
        <is>
          <t>Fuel supply (adjacent market)</t>
        </is>
      </c>
      <c r="D6014" s="12" t="inlineStr">
        <is>
          <t>Analog instrument to JB JB-LNG 13: send-out p-AI01: 12 x 1 pr (field cables)</t>
        </is>
      </c>
      <c r="E6014" s="12" t="inlineStr"/>
      <c r="F6014" s="12" t="inlineStr">
        <is>
          <t>LNG 13: send-out pumps 2 x 100%</t>
        </is>
      </c>
      <c r="G6014" s="12" t="inlineStr">
        <is>
          <t>JB-LNG 13: send-out p-AI01</t>
        </is>
      </c>
      <c r="H6014" s="12" t="inlineStr">
        <is>
          <t>LNG 13: send-out pumps 2 x 100%</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12</v>
      </c>
      <c r="O6014" s="12" t="n">
        <v>1</v>
      </c>
      <c r="P6014" s="12" t="n"/>
      <c r="Q6014" s="12" t="n"/>
      <c r="R6014" s="12" t="n"/>
      <c r="S6014" s="12" t="inlineStr">
        <is>
          <t>Tray / conduit</t>
        </is>
      </c>
      <c r="T6014" s="15" t="n">
        <v>63</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K-I-0136</t>
        </is>
      </c>
      <c r="B6015" s="12" t="inlineStr">
        <is>
          <t>K</t>
        </is>
      </c>
      <c r="C6015" s="12" t="inlineStr">
        <is>
          <t>Fuel supply (adjacent market)</t>
        </is>
      </c>
      <c r="D6015" s="12" t="inlineStr">
        <is>
          <t>Home run JB-LNG 13: send-out p-AI01 to the control / marshalling room</t>
        </is>
      </c>
      <c r="E6015" s="12" t="inlineStr"/>
      <c r="F6015" s="12" t="inlineStr">
        <is>
          <t>LNG 17: LNG e-house (13.8 kV / 480 V)</t>
        </is>
      </c>
      <c r="G6015" s="12" t="inlineStr">
        <is>
          <t>JB-LNG 13: send-out p-AI01</t>
        </is>
      </c>
      <c r="H6015" s="12" t="inlineStr">
        <is>
          <t>LNG 13: send-out pumps 2 x 100%</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110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K-I-0137</t>
        </is>
      </c>
      <c r="B6016" s="12" t="inlineStr">
        <is>
          <t>K</t>
        </is>
      </c>
      <c r="C6016" s="12" t="inlineStr">
        <is>
          <t>Fuel supply (adjacent market)</t>
        </is>
      </c>
      <c r="D6016" s="12" t="inlineStr">
        <is>
          <t>Discrete device to JB JB-LNG 13: send-out p-DI01: 12 x 1 pr (field cables)</t>
        </is>
      </c>
      <c r="E6016" s="12" t="inlineStr"/>
      <c r="F6016" s="12" t="inlineStr">
        <is>
          <t>LNG 13: send-out pumps 2 x 100%</t>
        </is>
      </c>
      <c r="G6016" s="12" t="inlineStr">
        <is>
          <t>JB-LNG 13: send-out p-DI01</t>
        </is>
      </c>
      <c r="H6016" s="12" t="inlineStr">
        <is>
          <t>LNG 13: send-out pumps 2 x 100%</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12</v>
      </c>
      <c r="O6016" s="12" t="n">
        <v>1</v>
      </c>
      <c r="P6016" s="12" t="n"/>
      <c r="Q6016" s="12" t="n"/>
      <c r="R6016" s="12" t="n"/>
      <c r="S6016" s="12" t="inlineStr">
        <is>
          <t>Tray / conduit</t>
        </is>
      </c>
      <c r="T6016" s="15" t="n">
        <v>63</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K-I-0138</t>
        </is>
      </c>
      <c r="B6017" s="12" t="inlineStr">
        <is>
          <t>K</t>
        </is>
      </c>
      <c r="C6017" s="12" t="inlineStr">
        <is>
          <t>Fuel supply (adjacent market)</t>
        </is>
      </c>
      <c r="D6017" s="12" t="inlineStr">
        <is>
          <t>Home run JB-LNG 13: send-out p-DI01 to the control / marshalling room</t>
        </is>
      </c>
      <c r="E6017" s="12" t="inlineStr"/>
      <c r="F6017" s="12" t="inlineStr">
        <is>
          <t>LNG 17: LNG e-house (13.8 kV / 480 V)</t>
        </is>
      </c>
      <c r="G6017" s="12" t="inlineStr">
        <is>
          <t>JB-LNG 13: send-out p-DI01</t>
        </is>
      </c>
      <c r="H6017" s="12" t="inlineStr">
        <is>
          <t>LNG 13: send-out pumps 2 x 100%</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110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K-I-0139</t>
        </is>
      </c>
      <c r="B6018" s="12" t="inlineStr">
        <is>
          <t>K</t>
        </is>
      </c>
      <c r="C6018" s="12" t="inlineStr">
        <is>
          <t>Fuel supply (adjacent market)</t>
        </is>
      </c>
      <c r="D6018" s="12" t="inlineStr">
        <is>
          <t>Analog instrument to JB JB-LNG 14: vaporizers-AI01: 12 x 1 pr (field cables)</t>
        </is>
      </c>
      <c r="E6018" s="12" t="inlineStr"/>
      <c r="F6018" s="12" t="inlineStr">
        <is>
          <t>LNG 14: vaporizers + glycol heater</t>
        </is>
      </c>
      <c r="G6018" s="12" t="inlineStr">
        <is>
          <t>JB-LNG 14: vaporizers-AI01</t>
        </is>
      </c>
      <c r="H6018" s="12" t="inlineStr">
        <is>
          <t>LNG 14: vaporizers + glycol heater</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12</v>
      </c>
      <c r="O6018" s="12" t="n">
        <v>1</v>
      </c>
      <c r="P6018" s="12" t="n"/>
      <c r="Q6018" s="12" t="n"/>
      <c r="R6018" s="12" t="n"/>
      <c r="S6018" s="12" t="inlineStr">
        <is>
          <t>Tray / conduit</t>
        </is>
      </c>
      <c r="T6018" s="15" t="n">
        <v>122</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K-I-0140</t>
        </is>
      </c>
      <c r="B6019" s="12" t="inlineStr">
        <is>
          <t>K</t>
        </is>
      </c>
      <c r="C6019" s="12" t="inlineStr">
        <is>
          <t>Fuel supply (adjacent market)</t>
        </is>
      </c>
      <c r="D6019" s="12" t="inlineStr">
        <is>
          <t>Home run JB-LNG 14: vaporizers-AI01 to the control / marshalling room</t>
        </is>
      </c>
      <c r="E6019" s="12" t="inlineStr"/>
      <c r="F6019" s="12" t="inlineStr">
        <is>
          <t>LNG 17: LNG e-house (13.8 kV / 480 V)</t>
        </is>
      </c>
      <c r="G6019" s="12" t="inlineStr">
        <is>
          <t>JB-LNG 14: vaporizers-AI01</t>
        </is>
      </c>
      <c r="H6019" s="12" t="inlineStr">
        <is>
          <t>LNG 14: vaporizers + glycol heater</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259</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K-I-0141</t>
        </is>
      </c>
      <c r="B6020" s="12" t="inlineStr">
        <is>
          <t>K</t>
        </is>
      </c>
      <c r="C6020" s="12" t="inlineStr">
        <is>
          <t>Fuel supply (adjacent market)</t>
        </is>
      </c>
      <c r="D6020" s="12" t="inlineStr">
        <is>
          <t>Discrete device to JB JB-LNG 14: vaporizers-DI01: 12 x 1 pr (field cables)</t>
        </is>
      </c>
      <c r="E6020" s="12" t="inlineStr"/>
      <c r="F6020" s="12" t="inlineStr">
        <is>
          <t>LNG 14: vaporizers + glycol heater</t>
        </is>
      </c>
      <c r="G6020" s="12" t="inlineStr">
        <is>
          <t>JB-LNG 14: vaporizers-DI01</t>
        </is>
      </c>
      <c r="H6020" s="12" t="inlineStr">
        <is>
          <t>LNG 14: vaporizers + glycol heater</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12</v>
      </c>
      <c r="O6020" s="12" t="n">
        <v>1</v>
      </c>
      <c r="P6020" s="12" t="n"/>
      <c r="Q6020" s="12" t="n"/>
      <c r="R6020" s="12" t="n"/>
      <c r="S6020" s="12" t="inlineStr">
        <is>
          <t>Tray / conduit</t>
        </is>
      </c>
      <c r="T6020" s="15" t="n">
        <v>122</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K-I-0142</t>
        </is>
      </c>
      <c r="B6021" s="12" t="inlineStr">
        <is>
          <t>K</t>
        </is>
      </c>
      <c r="C6021" s="12" t="inlineStr">
        <is>
          <t>Fuel supply (adjacent market)</t>
        </is>
      </c>
      <c r="D6021" s="12" t="inlineStr">
        <is>
          <t>Home run JB-LNG 14: vaporizers-DI01 to the control / marshalling room</t>
        </is>
      </c>
      <c r="E6021" s="12" t="inlineStr"/>
      <c r="F6021" s="12" t="inlineStr">
        <is>
          <t>LNG 17: LNG e-house (13.8 kV / 480 V)</t>
        </is>
      </c>
      <c r="G6021" s="12" t="inlineStr">
        <is>
          <t>JB-LNG 14: vaporizers-DI01</t>
        </is>
      </c>
      <c r="H6021" s="12" t="inlineStr">
        <is>
          <t>LNG 14: vaporizers + glycol heater</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259</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K-I-0143</t>
        </is>
      </c>
      <c r="B6022" s="12" t="inlineStr">
        <is>
          <t>K</t>
        </is>
      </c>
      <c r="C6022" s="12" t="inlineStr">
        <is>
          <t>Fuel supply (adjacent market)</t>
        </is>
      </c>
      <c r="D6022" s="12" t="inlineStr">
        <is>
          <t>Analog instrument to JB JB-LNG 15: boil-off g-AI01: 12 x 1 pr (field cables)</t>
        </is>
      </c>
      <c r="E6022" s="12" t="inlineStr"/>
      <c r="F6022" s="12" t="inlineStr">
        <is>
          <t>LNG 15: boil-off gas compressor</t>
        </is>
      </c>
      <c r="G6022" s="12" t="inlineStr">
        <is>
          <t>JB-LNG 15: boil-off g-AI01</t>
        </is>
      </c>
      <c r="H6022" s="12" t="inlineStr">
        <is>
          <t>LNG 15: boil-off gas compressor</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12</v>
      </c>
      <c r="O6022" s="12" t="n">
        <v>1</v>
      </c>
      <c r="P6022" s="12" t="n"/>
      <c r="Q6022" s="12" t="n"/>
      <c r="R6022" s="12" t="n"/>
      <c r="S6022" s="12" t="inlineStr">
        <is>
          <t>Tray / conduit</t>
        </is>
      </c>
      <c r="T6022" s="15" t="n">
        <v>67</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K-I-0144</t>
        </is>
      </c>
      <c r="B6023" s="12" t="inlineStr">
        <is>
          <t>K</t>
        </is>
      </c>
      <c r="C6023" s="12" t="inlineStr">
        <is>
          <t>Fuel supply (adjacent market)</t>
        </is>
      </c>
      <c r="D6023" s="12" t="inlineStr">
        <is>
          <t>Home run JB-LNG 15: boil-off g-AI01 to the control / marshalling room</t>
        </is>
      </c>
      <c r="E6023" s="12" t="inlineStr"/>
      <c r="F6023" s="12" t="inlineStr">
        <is>
          <t>LNG 17: LNG e-house (13.8 kV / 480 V)</t>
        </is>
      </c>
      <c r="G6023" s="12" t="inlineStr">
        <is>
          <t>JB-LNG 15: boil-off g-AI01</t>
        </is>
      </c>
      <c r="H6023" s="12" t="inlineStr">
        <is>
          <t>LNG 15: boil-off gas compressor</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25</v>
      </c>
      <c r="U6023" s="15" t="n">
        <v>54</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K-I-0145</t>
        </is>
      </c>
      <c r="B6024" s="12" t="inlineStr">
        <is>
          <t>K</t>
        </is>
      </c>
      <c r="C6024" s="12" t="inlineStr">
        <is>
          <t>Fuel supply (adjacent market)</t>
        </is>
      </c>
      <c r="D6024" s="12" t="inlineStr">
        <is>
          <t>Discrete device to JB JB-LNG 15: boil-off g-DI01: 12 x 1 pr (field cables)</t>
        </is>
      </c>
      <c r="E6024" s="12" t="inlineStr"/>
      <c r="F6024" s="12" t="inlineStr">
        <is>
          <t>LNG 15: boil-off gas compressor</t>
        </is>
      </c>
      <c r="G6024" s="12" t="inlineStr">
        <is>
          <t>JB-LNG 15: boil-off g-DI01</t>
        </is>
      </c>
      <c r="H6024" s="12" t="inlineStr">
        <is>
          <t>LNG 15: boil-off gas compressor</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12</v>
      </c>
      <c r="O6024" s="12" t="n">
        <v>1</v>
      </c>
      <c r="P6024" s="12" t="n"/>
      <c r="Q6024" s="12" t="n"/>
      <c r="R6024" s="12" t="n"/>
      <c r="S6024" s="12" t="inlineStr">
        <is>
          <t>Tray / conduit</t>
        </is>
      </c>
      <c r="T6024" s="15" t="n">
        <v>67</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K-I-0146</t>
        </is>
      </c>
      <c r="B6025" s="12" t="inlineStr">
        <is>
          <t>K</t>
        </is>
      </c>
      <c r="C6025" s="12" t="inlineStr">
        <is>
          <t>Fuel supply (adjacent market)</t>
        </is>
      </c>
      <c r="D6025" s="12" t="inlineStr">
        <is>
          <t>Home run JB-LNG 15: boil-off g-DI01 to the control / marshalling room</t>
        </is>
      </c>
      <c r="E6025" s="12" t="inlineStr"/>
      <c r="F6025" s="12" t="inlineStr">
        <is>
          <t>LNG 17: LNG e-house (13.8 kV / 480 V)</t>
        </is>
      </c>
      <c r="G6025" s="12" t="inlineStr">
        <is>
          <t>JB-LNG 15: boil-off g-DI01</t>
        </is>
      </c>
      <c r="H6025" s="12" t="inlineStr">
        <is>
          <t>LNG 15: boil-off gas compressor</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25</v>
      </c>
      <c r="U6025" s="15" t="n">
        <v>54</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K-I-0147</t>
        </is>
      </c>
      <c r="B6026" s="12" t="inlineStr">
        <is>
          <t>K</t>
        </is>
      </c>
      <c r="C6026" s="12" t="inlineStr">
        <is>
          <t>Fuel supply (adjacent market)</t>
        </is>
      </c>
      <c r="D6026" s="12" t="inlineStr">
        <is>
          <t>Analog instrument to JB JB-LNG 16: send-out m-AI01: 12 x 1 pr (field cables)</t>
        </is>
      </c>
      <c r="E6026" s="12" t="inlineStr"/>
      <c r="F6026" s="12" t="inlineStr">
        <is>
          <t>LNG 16: send-out metering + pressure control</t>
        </is>
      </c>
      <c r="G6026" s="12" t="inlineStr">
        <is>
          <t>JB-LNG 16: send-out m-AI01</t>
        </is>
      </c>
      <c r="H6026" s="12" t="inlineStr">
        <is>
          <t>LNG 16: send-out metering + pressure control</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74</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K-I-0148</t>
        </is>
      </c>
      <c r="B6027" s="12" t="inlineStr">
        <is>
          <t>K</t>
        </is>
      </c>
      <c r="C6027" s="12" t="inlineStr">
        <is>
          <t>Fuel supply (adjacent market)</t>
        </is>
      </c>
      <c r="D6027" s="12" t="inlineStr">
        <is>
          <t>Home run JB-LNG 16: send-out m-AI01 to the control / marshalling room</t>
        </is>
      </c>
      <c r="E6027" s="12" t="inlineStr"/>
      <c r="F6027" s="12" t="inlineStr">
        <is>
          <t>LNG 17: LNG e-house (13.8 kV / 480 V)</t>
        </is>
      </c>
      <c r="G6027" s="12" t="inlineStr">
        <is>
          <t>JB-LNG 16: send-out m-AI01</t>
        </is>
      </c>
      <c r="H6027" s="12" t="inlineStr">
        <is>
          <t>LNG 16: send-out metering + pressure control</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20</v>
      </c>
      <c r="U6027" s="15" t="n">
        <v>32</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K-I-0149</t>
        </is>
      </c>
      <c r="B6028" s="12" t="inlineStr">
        <is>
          <t>K</t>
        </is>
      </c>
      <c r="C6028" s="12" t="inlineStr">
        <is>
          <t>Fuel supply (adjacent market)</t>
        </is>
      </c>
      <c r="D6028" s="12" t="inlineStr">
        <is>
          <t>Discrete device to JB JB-LNG 16: send-out m-DI01: 12 x 1 pr (field cables)</t>
        </is>
      </c>
      <c r="E6028" s="12" t="inlineStr"/>
      <c r="F6028" s="12" t="inlineStr">
        <is>
          <t>LNG 16: send-out metering + pressure control</t>
        </is>
      </c>
      <c r="G6028" s="12" t="inlineStr">
        <is>
          <t>JB-LNG 16: send-out m-DI01</t>
        </is>
      </c>
      <c r="H6028" s="12" t="inlineStr">
        <is>
          <t>LNG 16: send-out metering + pressure control</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74</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K-I-0150</t>
        </is>
      </c>
      <c r="B6029" s="12" t="inlineStr">
        <is>
          <t>K</t>
        </is>
      </c>
      <c r="C6029" s="12" t="inlineStr">
        <is>
          <t>Fuel supply (adjacent market)</t>
        </is>
      </c>
      <c r="D6029" s="12" t="inlineStr">
        <is>
          <t>Home run JB-LNG 16: send-out m-DI01 to the control / marshalling room</t>
        </is>
      </c>
      <c r="E6029" s="12" t="inlineStr"/>
      <c r="F6029" s="12" t="inlineStr">
        <is>
          <t>LNG 17: LNG e-house (13.8 kV / 480 V)</t>
        </is>
      </c>
      <c r="G6029" s="12" t="inlineStr">
        <is>
          <t>JB-LNG 16: send-out m-DI01</t>
        </is>
      </c>
      <c r="H6029" s="12" t="inlineStr">
        <is>
          <t>LNG 16: send-out metering + pressure control</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20</v>
      </c>
      <c r="U6029" s="15" t="n">
        <v>32</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K-I-0151</t>
        </is>
      </c>
      <c r="B6030" s="12" t="inlineStr">
        <is>
          <t>K</t>
        </is>
      </c>
      <c r="C6030" s="12" t="inlineStr">
        <is>
          <t>Fuel supply (adjacent market)</t>
        </is>
      </c>
      <c r="D6030" s="12" t="inlineStr">
        <is>
          <t>Analog instrument to JB JB-LNG 17: LNG e-hous-AI01: 12 x 1 pr (field cables)</t>
        </is>
      </c>
      <c r="E6030" s="12" t="inlineStr"/>
      <c r="F6030" s="12" t="inlineStr">
        <is>
          <t>LNG 17: LNG e-house (13.8 kV / 480 V)</t>
        </is>
      </c>
      <c r="G6030" s="12" t="inlineStr">
        <is>
          <t>JB-LNG 17: LNG e-hous-AI01</t>
        </is>
      </c>
      <c r="H6030" s="12" t="inlineStr">
        <is>
          <t>LNG 17: LNG e-house (13.8 kV / 480 V)</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58</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K-I-0152</t>
        </is>
      </c>
      <c r="B6031" s="12" t="inlineStr">
        <is>
          <t>K</t>
        </is>
      </c>
      <c r="C6031" s="12" t="inlineStr">
        <is>
          <t>Fuel supply (adjacent market)</t>
        </is>
      </c>
      <c r="D6031" s="12" t="inlineStr">
        <is>
          <t>Home run JB-LNG 17: LNG e-hous-AI01 to the control / marshalling room</t>
        </is>
      </c>
      <c r="E6031" s="12" t="inlineStr"/>
      <c r="F6031" s="12" t="inlineStr">
        <is>
          <t>LNG 17: LNG e-house (13.8 kV / 480 V)</t>
        </is>
      </c>
      <c r="G6031" s="12" t="inlineStr">
        <is>
          <t>JB-LNG 17: LNG e-hous-AI01</t>
        </is>
      </c>
      <c r="H6031" s="12" t="inlineStr">
        <is>
          <t>LNG 17: LNG e-house (13.8 kV / 480 V)</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Tray</t>
        </is>
      </c>
      <c r="T6031" s="15" t="n">
        <v>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K-I-0153</t>
        </is>
      </c>
      <c r="B6032" s="12" t="inlineStr">
        <is>
          <t>K</t>
        </is>
      </c>
      <c r="C6032" s="12" t="inlineStr">
        <is>
          <t>Fuel supply (adjacent market)</t>
        </is>
      </c>
      <c r="D6032" s="12" t="inlineStr">
        <is>
          <t>Discrete device to JB JB-LNG 17: LNG e-hous-DI01: 12 x 1 pr (field cables)</t>
        </is>
      </c>
      <c r="E6032" s="12" t="inlineStr"/>
      <c r="F6032" s="12" t="inlineStr">
        <is>
          <t>LNG 17: LNG e-house (13.8 kV / 480 V)</t>
        </is>
      </c>
      <c r="G6032" s="12" t="inlineStr">
        <is>
          <t>JB-LNG 17: LNG e-hous-DI01</t>
        </is>
      </c>
      <c r="H6032" s="12" t="inlineStr">
        <is>
          <t>LNG 17: LNG e-house (13.8 kV / 480 V)</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58</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K-I-0154</t>
        </is>
      </c>
      <c r="B6033" s="12" t="inlineStr">
        <is>
          <t>K</t>
        </is>
      </c>
      <c r="C6033" s="12" t="inlineStr">
        <is>
          <t>Fuel supply (adjacent market)</t>
        </is>
      </c>
      <c r="D6033" s="12" t="inlineStr">
        <is>
          <t>Home run JB-LNG 17: LNG e-hous-DI01 to the control / marshalling room</t>
        </is>
      </c>
      <c r="E6033" s="12" t="inlineStr"/>
      <c r="F6033" s="12" t="inlineStr">
        <is>
          <t>LNG 17: LNG e-house (13.8 kV / 480 V)</t>
        </is>
      </c>
      <c r="G6033" s="12" t="inlineStr">
        <is>
          <t>JB-LNG 17: LNG e-hous-DI01</t>
        </is>
      </c>
      <c r="H6033" s="12" t="inlineStr">
        <is>
          <t>LNG 17: LNG e-house (13.8 kV / 480 V)</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Tray</t>
        </is>
      </c>
      <c r="T6033" s="15" t="n">
        <v>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K-I-0155</t>
        </is>
      </c>
      <c r="B6034" s="12" t="inlineStr">
        <is>
          <t>K</t>
        </is>
      </c>
      <c r="C6034" s="12" t="inlineStr">
        <is>
          <t>Fuel supply (adjacent market)</t>
        </is>
      </c>
      <c r="D6034" s="12" t="inlineStr">
        <is>
          <t>Analog instrument to JB JB-LNG 18: vent stack-AI01: 12 x 1 pr (field cables)</t>
        </is>
      </c>
      <c r="E6034" s="12" t="inlineStr"/>
      <c r="F6034" s="12" t="inlineStr">
        <is>
          <t>LNG 18: vent stack</t>
        </is>
      </c>
      <c r="G6034" s="12" t="inlineStr">
        <is>
          <t>JB-LNG 18: vent stack-AI01</t>
        </is>
      </c>
      <c r="H6034" s="12" t="inlineStr">
        <is>
          <t>LNG 18: vent stack</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55</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K-I-0156</t>
        </is>
      </c>
      <c r="B6035" s="12" t="inlineStr">
        <is>
          <t>K</t>
        </is>
      </c>
      <c r="C6035" s="12" t="inlineStr">
        <is>
          <t>Fuel supply (adjacent market)</t>
        </is>
      </c>
      <c r="D6035" s="12" t="inlineStr">
        <is>
          <t>Home run JB-LNG 18: vent stack-AI01 to the control / marshalling room</t>
        </is>
      </c>
      <c r="E6035" s="12" t="inlineStr"/>
      <c r="F6035" s="12" t="inlineStr">
        <is>
          <t>LNG 17: LNG e-house (13.8 kV / 480 V)</t>
        </is>
      </c>
      <c r="G6035" s="12" t="inlineStr">
        <is>
          <t>JB-LNG 18: vent stack-AI01</t>
        </is>
      </c>
      <c r="H6035" s="12" t="inlineStr">
        <is>
          <t>LNG 18: vent stack</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Duct bank</t>
        </is>
      </c>
      <c r="T6035" s="15" t="n">
        <v>25</v>
      </c>
      <c r="U6035" s="15" t="n">
        <v>117</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K-I-0157</t>
        </is>
      </c>
      <c r="B6036" s="12" t="inlineStr">
        <is>
          <t>K</t>
        </is>
      </c>
      <c r="C6036" s="12" t="inlineStr">
        <is>
          <t>Fuel supply (adjacent market)</t>
        </is>
      </c>
      <c r="D6036" s="12" t="inlineStr">
        <is>
          <t>Discrete device to JB JB-LNG 18: vent stack-DI01: 12 x 1 pr (field cables)</t>
        </is>
      </c>
      <c r="E6036" s="12" t="inlineStr"/>
      <c r="F6036" s="12" t="inlineStr">
        <is>
          <t>LNG 18: vent stack</t>
        </is>
      </c>
      <c r="G6036" s="12" t="inlineStr">
        <is>
          <t>JB-LNG 18: vent stack-DI01</t>
        </is>
      </c>
      <c r="H6036" s="12" t="inlineStr">
        <is>
          <t>LNG 18: vent stack</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55</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K-I-0158</t>
        </is>
      </c>
      <c r="B6037" s="12" t="inlineStr">
        <is>
          <t>K</t>
        </is>
      </c>
      <c r="C6037" s="12" t="inlineStr">
        <is>
          <t>Fuel supply (adjacent market)</t>
        </is>
      </c>
      <c r="D6037" s="12" t="inlineStr">
        <is>
          <t>Home run JB-LNG 18: vent stack-DI01 to the control / marshalling room</t>
        </is>
      </c>
      <c r="E6037" s="12" t="inlineStr"/>
      <c r="F6037" s="12" t="inlineStr">
        <is>
          <t>LNG 17: LNG e-house (13.8 kV / 480 V)</t>
        </is>
      </c>
      <c r="G6037" s="12" t="inlineStr">
        <is>
          <t>JB-LNG 18: vent stack-DI01</t>
        </is>
      </c>
      <c r="H6037" s="12" t="inlineStr">
        <is>
          <t>LNG 18: vent stack</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Duct bank</t>
        </is>
      </c>
      <c r="T6037" s="15" t="n">
        <v>25</v>
      </c>
      <c r="U6037" s="15" t="n">
        <v>117</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K-I-0159</t>
        </is>
      </c>
      <c r="B6038" s="12" t="inlineStr">
        <is>
          <t>K</t>
        </is>
      </c>
      <c r="C6038" s="12" t="inlineStr">
        <is>
          <t>Fuel supply (adjacent market)</t>
        </is>
      </c>
      <c r="D6038" s="12" t="inlineStr">
        <is>
          <t>Instrumentation</t>
        </is>
      </c>
      <c r="E6038" s="12" t="inlineStr"/>
      <c r="F6038" s="12" t="inlineStr">
        <is>
          <t>LNG 17: LNG e-house (13.8 kV / 480 V)</t>
        </is>
      </c>
      <c r="G6038" s="12" t="inlineStr"/>
      <c r="H6038" s="12" t="inlineStr">
        <is>
          <t>LNG impoundment sump pump</t>
        </is>
      </c>
      <c r="I6038" s="12" t="inlineStr">
        <is>
          <t>Instrumentation</t>
        </is>
      </c>
      <c r="J6038" s="12" t="inlineStr">
        <is>
          <t>Instrumentation ITC / PLTC, IS, #18 shielded pairs, blue jacket</t>
        </is>
      </c>
      <c r="K6038" s="12" t="inlineStr">
        <is>
          <t>ITC|4 pr|18</t>
        </is>
      </c>
      <c r="L6038" s="12" t="inlineStr">
        <is>
          <t>4 pr</t>
        </is>
      </c>
      <c r="M6038" s="12" t="inlineStr">
        <is>
          <t>18</t>
        </is>
      </c>
      <c r="N6038" s="12" t="n">
        <v>1</v>
      </c>
      <c r="O6038" s="12" t="n">
        <v>1</v>
      </c>
      <c r="P6038" s="12" t="n"/>
      <c r="Q6038" s="12" t="n"/>
      <c r="R6038" s="12" t="n"/>
      <c r="S6038" s="12" t="inlineStr">
        <is>
          <t>Duct bank</t>
        </is>
      </c>
      <c r="T6038" s="15" t="n">
        <v>334</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K-I-0160</t>
        </is>
      </c>
      <c r="B6039" s="12" t="inlineStr">
        <is>
          <t>K</t>
        </is>
      </c>
      <c r="C6039" s="12" t="inlineStr">
        <is>
          <t>Fuel supply (adjacent market)</t>
        </is>
      </c>
      <c r="D6039" s="12" t="inlineStr">
        <is>
          <t>Instrumentation</t>
        </is>
      </c>
      <c r="E6039" s="12" t="inlineStr"/>
      <c r="F6039" s="12" t="inlineStr">
        <is>
          <t>LNG 17: LNG e-house (13.8 kV / 480 V)</t>
        </is>
      </c>
      <c r="G6039" s="12" t="inlineStr"/>
      <c r="H6039" s="12" t="inlineStr">
        <is>
          <t>M&amp;R 1: pig receiver, lateral terminus</t>
        </is>
      </c>
      <c r="I6039" s="12" t="inlineStr">
        <is>
          <t>Instrumentation</t>
        </is>
      </c>
      <c r="J6039" s="12" t="inlineStr">
        <is>
          <t>Instrumentation ITC / PLTC, IS, #18 shielded pairs, blue jacket</t>
        </is>
      </c>
      <c r="K6039" s="12" t="inlineStr">
        <is>
          <t>ITC|4 pr|18</t>
        </is>
      </c>
      <c r="L6039" s="12" t="inlineStr">
        <is>
          <t>4 pr</t>
        </is>
      </c>
      <c r="M6039" s="12" t="inlineStr">
        <is>
          <t>18</t>
        </is>
      </c>
      <c r="N6039" s="12" t="n">
        <v>1</v>
      </c>
      <c r="O6039" s="12" t="n">
        <v>1</v>
      </c>
      <c r="P6039" s="12" t="n"/>
      <c r="Q6039" s="12" t="n"/>
      <c r="R6039" s="12" t="n"/>
      <c r="S6039" s="12" t="inlineStr">
        <is>
          <t>Duct bank</t>
        </is>
      </c>
      <c r="T6039" s="15" t="n">
        <v>773</v>
      </c>
      <c r="U6039" s="15" t="n">
        <v>37</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K-I-0161</t>
        </is>
      </c>
      <c r="B6040" s="12" t="inlineStr">
        <is>
          <t>K</t>
        </is>
      </c>
      <c r="C6040" s="12" t="inlineStr">
        <is>
          <t>Fuel supply (adjacent market)</t>
        </is>
      </c>
      <c r="D6040" s="12" t="inlineStr">
        <is>
          <t>Discrete device to JB JB-M&amp;R 2: insulating -DI01: 8 x 1 pr (field cables)</t>
        </is>
      </c>
      <c r="E6040" s="12" t="inlineStr"/>
      <c r="F6040" s="12" t="inlineStr">
        <is>
          <t>M&amp;R 2: insulating joint + ESD valve</t>
        </is>
      </c>
      <c r="G6040" s="12" t="inlineStr">
        <is>
          <t>JB-M&amp;R 2: insulating -DI01</t>
        </is>
      </c>
      <c r="H6040" s="12" t="inlineStr">
        <is>
          <t>M&amp;R 2: insulating joint + ESD valve</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8</v>
      </c>
      <c r="O6040" s="12" t="n">
        <v>1</v>
      </c>
      <c r="P6040" s="12" t="n"/>
      <c r="Q6040" s="12" t="n"/>
      <c r="R6040" s="12" t="n"/>
      <c r="S6040" s="12" t="inlineStr">
        <is>
          <t>Tray / conduit</t>
        </is>
      </c>
      <c r="T6040" s="15" t="n">
        <v>40</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K-I-0162</t>
        </is>
      </c>
      <c r="B6041" s="12" t="inlineStr">
        <is>
          <t>K</t>
        </is>
      </c>
      <c r="C6041" s="12" t="inlineStr">
        <is>
          <t>Fuel supply (adjacent market)</t>
        </is>
      </c>
      <c r="D6041" s="12" t="inlineStr">
        <is>
          <t>Home run JB-M&amp;R 2: insulating -DI01 to the control / marshalling room</t>
        </is>
      </c>
      <c r="E6041" s="12" t="inlineStr"/>
      <c r="F6041" s="12" t="inlineStr">
        <is>
          <t>LNG 17: LNG e-house (13.8 kV / 480 V)</t>
        </is>
      </c>
      <c r="G6041" s="12" t="inlineStr">
        <is>
          <t>JB-M&amp;R 2: insulating -DI01</t>
        </is>
      </c>
      <c r="H6041" s="12" t="inlineStr">
        <is>
          <t>M&amp;R 2: insulating joint + ESD valve</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758</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K-I-0163</t>
        </is>
      </c>
      <c r="B6042" s="12" t="inlineStr">
        <is>
          <t>K</t>
        </is>
      </c>
      <c r="C6042" s="12" t="inlineStr">
        <is>
          <t>Fuel supply (adjacent market)</t>
        </is>
      </c>
      <c r="D6042" s="12" t="inlineStr">
        <is>
          <t>Analog instrument to JB JB-M&amp;R 3: horizontal -AI01: 8 x 1 pr (field cables)</t>
        </is>
      </c>
      <c r="E6042" s="12" t="inlineStr"/>
      <c r="F6042" s="12" t="inlineStr">
        <is>
          <t>M&amp;R 3: horizontal filter-separator</t>
        </is>
      </c>
      <c r="G6042" s="12" t="inlineStr">
        <is>
          <t>JB-M&amp;R 3: horizontal -AI01</t>
        </is>
      </c>
      <c r="H6042" s="12" t="inlineStr">
        <is>
          <t>M&amp;R 3: horizontal filter-separator</t>
        </is>
      </c>
      <c r="I6042" s="12" t="inlineStr">
        <is>
          <t>Instrumentation</t>
        </is>
      </c>
      <c r="J6042" s="12" t="inlineStr">
        <is>
          <t>Instrumentation ITC / PLTC, IS, #18 shielded pairs, blue jacket</t>
        </is>
      </c>
      <c r="K6042" s="12" t="inlineStr">
        <is>
          <t>ITC|1 pr|16</t>
        </is>
      </c>
      <c r="L6042" s="12" t="inlineStr">
        <is>
          <t>1 pr</t>
        </is>
      </c>
      <c r="M6042" s="12" t="inlineStr">
        <is>
          <t>16</t>
        </is>
      </c>
      <c r="N6042" s="12" t="n">
        <v>8</v>
      </c>
      <c r="O6042" s="12" t="n">
        <v>1</v>
      </c>
      <c r="P6042" s="12" t="n"/>
      <c r="Q6042" s="12" t="n"/>
      <c r="R6042" s="12" t="n"/>
      <c r="S6042" s="12" t="inlineStr">
        <is>
          <t>Tray / conduit</t>
        </is>
      </c>
      <c r="T6042" s="15" t="n">
        <v>53</v>
      </c>
      <c r="U6042" s="15" t="n">
        <v>10</v>
      </c>
      <c r="V6042" s="15">
        <f>ROUNDUP((T6042+U6042+2*'Read Me'!$B$13)*(1+'Read Me'!$B$12),-1)</f>
        <v/>
      </c>
      <c r="W6042" s="15">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K-I-0164</t>
        </is>
      </c>
      <c r="B6043" s="12" t="inlineStr">
        <is>
          <t>K</t>
        </is>
      </c>
      <c r="C6043" s="12" t="inlineStr">
        <is>
          <t>Fuel supply (adjacent market)</t>
        </is>
      </c>
      <c r="D6043" s="12" t="inlineStr">
        <is>
          <t>Home run JB-M&amp;R 3: horizontal -AI01 to the control / marshalling room</t>
        </is>
      </c>
      <c r="E6043" s="12" t="inlineStr"/>
      <c r="F6043" s="12" t="inlineStr">
        <is>
          <t>LNG 17: LNG e-house (13.8 kV / 480 V)</t>
        </is>
      </c>
      <c r="G6043" s="12" t="inlineStr">
        <is>
          <t>JB-M&amp;R 3: horizontal -AI01</t>
        </is>
      </c>
      <c r="H6043" s="12" t="inlineStr">
        <is>
          <t>M&amp;R 3: horizontal filter-separator</t>
        </is>
      </c>
      <c r="I6043" s="12" t="inlineStr">
        <is>
          <t>Instrumentation</t>
        </is>
      </c>
      <c r="J6043" s="12" t="inlineStr">
        <is>
          <t>Instrumentation ITC / PLTC, IS, #18 shielded pairs, blue jacket</t>
        </is>
      </c>
      <c r="K6043" s="12" t="inlineStr">
        <is>
          <t>ITC|24 pr|18</t>
        </is>
      </c>
      <c r="L6043" s="12" t="inlineStr">
        <is>
          <t>24 pr</t>
        </is>
      </c>
      <c r="M6043" s="12" t="inlineStr">
        <is>
          <t>18</t>
        </is>
      </c>
      <c r="N6043" s="12" t="n">
        <v>1</v>
      </c>
      <c r="O6043" s="12" t="n">
        <v>1</v>
      </c>
      <c r="P6043" s="12" t="n"/>
      <c r="Q6043" s="12" t="n"/>
      <c r="R6043" s="12" t="n"/>
      <c r="S6043" s="12" t="inlineStr">
        <is>
          <t>Duct bank</t>
        </is>
      </c>
      <c r="T6043" s="15" t="n">
        <v>797</v>
      </c>
      <c r="U6043" s="15" t="n">
        <v>32</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K-I-0165</t>
        </is>
      </c>
      <c r="B6044" s="12" t="inlineStr">
        <is>
          <t>K</t>
        </is>
      </c>
      <c r="C6044" s="12" t="inlineStr">
        <is>
          <t>Fuel supply (adjacent market)</t>
        </is>
      </c>
      <c r="D6044" s="12" t="inlineStr">
        <is>
          <t>Discrete device to JB JB-M&amp;R 3: horizontal -DI01: 12 x 1 pr (field cables)</t>
        </is>
      </c>
      <c r="E6044" s="12" t="inlineStr"/>
      <c r="F6044" s="12" t="inlineStr">
        <is>
          <t>M&amp;R 3: horizontal filter-separator</t>
        </is>
      </c>
      <c r="G6044" s="12" t="inlineStr">
        <is>
          <t>JB-M&amp;R 3: horizontal -DI01</t>
        </is>
      </c>
      <c r="H6044" s="12" t="inlineStr">
        <is>
          <t>M&amp;R 3: horizontal filter-separator</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12</v>
      </c>
      <c r="O6044" s="12" t="n">
        <v>1</v>
      </c>
      <c r="P6044" s="12" t="n"/>
      <c r="Q6044" s="12" t="n"/>
      <c r="R6044" s="12" t="n"/>
      <c r="S6044" s="12" t="inlineStr">
        <is>
          <t>Tray / conduit</t>
        </is>
      </c>
      <c r="T6044" s="15" t="n">
        <v>53</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K-I-0166</t>
        </is>
      </c>
      <c r="B6045" s="12" t="inlineStr">
        <is>
          <t>K</t>
        </is>
      </c>
      <c r="C6045" s="12" t="inlineStr">
        <is>
          <t>Fuel supply (adjacent market)</t>
        </is>
      </c>
      <c r="D6045" s="12" t="inlineStr">
        <is>
          <t>Home run JB-M&amp;R 3: horizontal -DI01 to the control / marshalling room</t>
        </is>
      </c>
      <c r="E6045" s="12" t="inlineStr"/>
      <c r="F6045" s="12" t="inlineStr">
        <is>
          <t>LNG 17: LNG e-house (13.8 kV / 480 V)</t>
        </is>
      </c>
      <c r="G6045" s="12" t="inlineStr">
        <is>
          <t>JB-M&amp;R 3: horizontal -DI01</t>
        </is>
      </c>
      <c r="H6045" s="12" t="inlineStr">
        <is>
          <t>M&amp;R 3: horizontal filter-separator</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797</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K-I-0167</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1 (water bath)</t>
        </is>
      </c>
      <c r="I6046" s="12" t="inlineStr">
        <is>
          <t>Instrumentation</t>
        </is>
      </c>
      <c r="J6046" s="12" t="inlineStr">
        <is>
          <t>Instrumentation ITC / PLTC, IS, #18 shielded pairs, blue jacket</t>
        </is>
      </c>
      <c r="K6046" s="12" t="inlineStr">
        <is>
          <t>ITC|4 pr|18</t>
        </is>
      </c>
      <c r="L6046" s="12" t="inlineStr">
        <is>
          <t>4 pr</t>
        </is>
      </c>
      <c r="M6046" s="12" t="inlineStr">
        <is>
          <t>18</t>
        </is>
      </c>
      <c r="N6046" s="12" t="n">
        <v>1</v>
      </c>
      <c r="O6046" s="12" t="n">
        <v>1</v>
      </c>
      <c r="P6046" s="12" t="n"/>
      <c r="Q6046" s="12" t="n"/>
      <c r="R6046" s="12" t="n"/>
      <c r="S6046" s="12" t="inlineStr">
        <is>
          <t>Duct bank</t>
        </is>
      </c>
      <c r="T6046" s="15" t="n">
        <v>593</v>
      </c>
      <c r="U6046" s="15" t="n">
        <v>32</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K-I-0168</t>
        </is>
      </c>
      <c r="B6047" s="12" t="inlineStr">
        <is>
          <t>K</t>
        </is>
      </c>
      <c r="C6047" s="12" t="inlineStr">
        <is>
          <t>Fuel supply (adjacent market)</t>
        </is>
      </c>
      <c r="D6047" s="12" t="inlineStr">
        <is>
          <t>Instrumentation</t>
        </is>
      </c>
      <c r="E6047" s="12" t="inlineStr"/>
      <c r="F6047" s="12" t="inlineStr">
        <is>
          <t>LNG 17: LNG e-house (13.8 kV / 480 V)</t>
        </is>
      </c>
      <c r="G6047" s="12" t="inlineStr"/>
      <c r="H6047" s="12" t="inlineStr">
        <is>
          <t>M&amp;R 4: line heater 1 (water bath)</t>
        </is>
      </c>
      <c r="I6047" s="12" t="inlineStr">
        <is>
          <t>Instrumentation</t>
        </is>
      </c>
      <c r="J6047" s="12" t="inlineStr">
        <is>
          <t>Instrumentation ITC / PLTC, IS, #18 shielded pairs, blue jacket</t>
        </is>
      </c>
      <c r="K6047" s="12" t="inlineStr">
        <is>
          <t>ITC|12 pr|18</t>
        </is>
      </c>
      <c r="L6047" s="12" t="inlineStr">
        <is>
          <t>12 pr</t>
        </is>
      </c>
      <c r="M6047" s="12" t="inlineStr">
        <is>
          <t>18</t>
        </is>
      </c>
      <c r="N6047" s="12" t="n">
        <v>1</v>
      </c>
      <c r="O6047" s="12" t="n">
        <v>1</v>
      </c>
      <c r="P6047" s="12" t="n"/>
      <c r="Q6047" s="12" t="n"/>
      <c r="R6047" s="12" t="n"/>
      <c r="S6047" s="12" t="inlineStr">
        <is>
          <t>Duct bank</t>
        </is>
      </c>
      <c r="T6047" s="15" t="n">
        <v>593</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K-I-0169</t>
        </is>
      </c>
      <c r="B6048" s="12" t="inlineStr">
        <is>
          <t>K</t>
        </is>
      </c>
      <c r="C6048" s="12" t="inlineStr">
        <is>
          <t>Fuel supply (adjacent market)</t>
        </is>
      </c>
      <c r="D6048" s="12" t="inlineStr">
        <is>
          <t>Instrumentation</t>
        </is>
      </c>
      <c r="E6048" s="12" t="inlineStr"/>
      <c r="F6048" s="12" t="inlineStr">
        <is>
          <t>LNG 17: LNG e-house (13.8 kV / 480 V)</t>
        </is>
      </c>
      <c r="G6048" s="12" t="inlineStr"/>
      <c r="H6048" s="12" t="inlineStr">
        <is>
          <t>M&amp;R 4: line heater 2 (water bath)</t>
        </is>
      </c>
      <c r="I6048" s="12" t="inlineStr">
        <is>
          <t>Instrumentation</t>
        </is>
      </c>
      <c r="J6048" s="12" t="inlineStr">
        <is>
          <t>Instrumentation ITC / PLTC, IS, #18 shielded pairs, blue jacket</t>
        </is>
      </c>
      <c r="K6048" s="12" t="inlineStr">
        <is>
          <t>ITC|4 pr|18</t>
        </is>
      </c>
      <c r="L6048" s="12" t="inlineStr">
        <is>
          <t>4 pr</t>
        </is>
      </c>
      <c r="M6048" s="12" t="inlineStr">
        <is>
          <t>18</t>
        </is>
      </c>
      <c r="N6048" s="12" t="n">
        <v>1</v>
      </c>
      <c r="O6048" s="12" t="n">
        <v>1</v>
      </c>
      <c r="P6048" s="12" t="n"/>
      <c r="Q6048" s="12" t="n"/>
      <c r="R6048" s="12" t="n"/>
      <c r="S6048" s="12" t="inlineStr">
        <is>
          <t>Duct bank</t>
        </is>
      </c>
      <c r="T6048" s="15" t="n">
        <v>593</v>
      </c>
      <c r="U6048" s="15" t="n">
        <v>50</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K-I-0170</t>
        </is>
      </c>
      <c r="B6049" s="12" t="inlineStr">
        <is>
          <t>K</t>
        </is>
      </c>
      <c r="C6049" s="12" t="inlineStr">
        <is>
          <t>Fuel supply (adjacent market)</t>
        </is>
      </c>
      <c r="D6049" s="12" t="inlineStr">
        <is>
          <t>Instrumentation</t>
        </is>
      </c>
      <c r="E6049" s="12" t="inlineStr"/>
      <c r="F6049" s="12" t="inlineStr">
        <is>
          <t>LNG 17: LNG e-house (13.8 kV / 480 V)</t>
        </is>
      </c>
      <c r="G6049" s="12" t="inlineStr"/>
      <c r="H6049" s="12" t="inlineStr">
        <is>
          <t>M&amp;R 4: line heater 2 (water bath)</t>
        </is>
      </c>
      <c r="I6049" s="12" t="inlineStr">
        <is>
          <t>Instrumentation</t>
        </is>
      </c>
      <c r="J6049" s="12" t="inlineStr">
        <is>
          <t>Instrumentation ITC / PLTC, IS, #18 shielded pairs, blue jacket</t>
        </is>
      </c>
      <c r="K6049" s="12" t="inlineStr">
        <is>
          <t>ITC|12 pr|18</t>
        </is>
      </c>
      <c r="L6049" s="12" t="inlineStr">
        <is>
          <t>12 pr</t>
        </is>
      </c>
      <c r="M6049" s="12" t="inlineStr">
        <is>
          <t>18</t>
        </is>
      </c>
      <c r="N6049" s="12" t="n">
        <v>1</v>
      </c>
      <c r="O6049" s="12" t="n">
        <v>1</v>
      </c>
      <c r="P6049" s="12" t="n"/>
      <c r="Q6049" s="12" t="n"/>
      <c r="R6049" s="12" t="n"/>
      <c r="S6049" s="12" t="inlineStr">
        <is>
          <t>Duct bank</t>
        </is>
      </c>
      <c r="T6049" s="15" t="n">
        <v>593</v>
      </c>
      <c r="U6049" s="15" t="n">
        <v>50</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K-I-0171</t>
        </is>
      </c>
      <c r="B6050" s="12" t="inlineStr">
        <is>
          <t>K</t>
        </is>
      </c>
      <c r="C6050" s="12" t="inlineStr">
        <is>
          <t>Fuel supply (adjacent market)</t>
        </is>
      </c>
      <c r="D6050" s="12" t="inlineStr">
        <is>
          <t>Instrumentation</t>
        </is>
      </c>
      <c r="E6050" s="12" t="inlineStr"/>
      <c r="F6050" s="12" t="inlineStr">
        <is>
          <t>LNG 17: LNG e-house (13.8 kV / 480 V)</t>
        </is>
      </c>
      <c r="G6050" s="12" t="inlineStr"/>
      <c r="H6050" s="12" t="inlineStr">
        <is>
          <t>M&amp;R 4: line heater 3 (water bath)</t>
        </is>
      </c>
      <c r="I6050" s="12" t="inlineStr">
        <is>
          <t>Instrumentation</t>
        </is>
      </c>
      <c r="J6050" s="12" t="inlineStr">
        <is>
          <t>Instrumentation ITC / PLTC, IS, #18 shielded pairs, blue jacket</t>
        </is>
      </c>
      <c r="K6050" s="12" t="inlineStr">
        <is>
          <t>ITC|4 pr|18</t>
        </is>
      </c>
      <c r="L6050" s="12" t="inlineStr">
        <is>
          <t>4 pr</t>
        </is>
      </c>
      <c r="M6050" s="12" t="inlineStr">
        <is>
          <t>18</t>
        </is>
      </c>
      <c r="N6050" s="12" t="n">
        <v>1</v>
      </c>
      <c r="O6050" s="12" t="n">
        <v>1</v>
      </c>
      <c r="P6050" s="12" t="n"/>
      <c r="Q6050" s="12" t="n"/>
      <c r="R6050" s="12" t="n"/>
      <c r="S6050" s="12" t="inlineStr">
        <is>
          <t>Duct bank</t>
        </is>
      </c>
      <c r="T6050" s="15" t="n">
        <v>593</v>
      </c>
      <c r="U6050" s="15" t="n">
        <v>68</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K-I-0172</t>
        </is>
      </c>
      <c r="B6051" s="12" t="inlineStr">
        <is>
          <t>K</t>
        </is>
      </c>
      <c r="C6051" s="12" t="inlineStr">
        <is>
          <t>Fuel supply (adjacent market)</t>
        </is>
      </c>
      <c r="D6051" s="12" t="inlineStr">
        <is>
          <t>Instrumentation</t>
        </is>
      </c>
      <c r="E6051" s="12" t="inlineStr"/>
      <c r="F6051" s="12" t="inlineStr">
        <is>
          <t>LNG 17: LNG e-house (13.8 kV / 480 V)</t>
        </is>
      </c>
      <c r="G6051" s="12" t="inlineStr"/>
      <c r="H6051" s="12" t="inlineStr">
        <is>
          <t>M&amp;R 4: line heater 3 (water bath)</t>
        </is>
      </c>
      <c r="I6051" s="12" t="inlineStr">
        <is>
          <t>Instrumentation</t>
        </is>
      </c>
      <c r="J6051" s="12" t="inlineStr">
        <is>
          <t>Instrumentation ITC / PLTC, IS, #18 shielded pairs, blue jacket</t>
        </is>
      </c>
      <c r="K6051" s="12" t="inlineStr">
        <is>
          <t>ITC|12 pr|18</t>
        </is>
      </c>
      <c r="L6051" s="12" t="inlineStr">
        <is>
          <t>12 pr</t>
        </is>
      </c>
      <c r="M6051" s="12" t="inlineStr">
        <is>
          <t>18</t>
        </is>
      </c>
      <c r="N6051" s="12" t="n">
        <v>1</v>
      </c>
      <c r="O6051" s="12" t="n">
        <v>1</v>
      </c>
      <c r="P6051" s="12" t="n"/>
      <c r="Q6051" s="12" t="n"/>
      <c r="R6051" s="12" t="n"/>
      <c r="S6051" s="12" t="inlineStr">
        <is>
          <t>Duct bank</t>
        </is>
      </c>
      <c r="T6051" s="15" t="n">
        <v>593</v>
      </c>
      <c r="U6051" s="15" t="n">
        <v>68</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K-I-0173</t>
        </is>
      </c>
      <c r="B6052" s="12" t="inlineStr">
        <is>
          <t>K</t>
        </is>
      </c>
      <c r="C6052" s="12" t="inlineStr">
        <is>
          <t>Fuel supply (adjacent market)</t>
        </is>
      </c>
      <c r="D6052" s="12" t="inlineStr">
        <is>
          <t>Analog instrument to JB JB-M&amp;R 5: ultrasonic -AI01: 20 x 1 pr (field cables)</t>
        </is>
      </c>
      <c r="E6052" s="12" t="inlineStr"/>
      <c r="F6052" s="12" t="inlineStr">
        <is>
          <t>M&amp;R 5: ultrasonic meters, 2 runs (custody transfer)</t>
        </is>
      </c>
      <c r="G6052" s="12" t="inlineStr">
        <is>
          <t>JB-M&amp;R 5: ultrasonic -AI01</t>
        </is>
      </c>
      <c r="H6052" s="12" t="inlineStr">
        <is>
          <t>M&amp;R 5: ultrasonic meters, 2 runs (custody transfer)</t>
        </is>
      </c>
      <c r="I6052" s="12" t="inlineStr">
        <is>
          <t>Instrumentation</t>
        </is>
      </c>
      <c r="J6052" s="12" t="inlineStr">
        <is>
          <t>Instrumentation ITC / PLTC, IS, #18 shielded pairs, blue jacket</t>
        </is>
      </c>
      <c r="K6052" s="12" t="inlineStr">
        <is>
          <t>ITC|1 pr|16</t>
        </is>
      </c>
      <c r="L6052" s="12" t="inlineStr">
        <is>
          <t>1 pr</t>
        </is>
      </c>
      <c r="M6052" s="12" t="inlineStr">
        <is>
          <t>16</t>
        </is>
      </c>
      <c r="N6052" s="12" t="n">
        <v>20</v>
      </c>
      <c r="O6052" s="12" t="n">
        <v>1</v>
      </c>
      <c r="P6052" s="12" t="n"/>
      <c r="Q6052" s="12" t="n"/>
      <c r="R6052" s="12" t="n"/>
      <c r="S6052" s="12" t="inlineStr">
        <is>
          <t>Tray / conduit</t>
        </is>
      </c>
      <c r="T6052" s="15" t="n">
        <v>60</v>
      </c>
      <c r="U6052" s="15" t="n">
        <v>10</v>
      </c>
      <c r="V6052" s="15">
        <f>ROUNDUP((T6052+U6052+2*'Read Me'!$B$13)*(1+'Read Me'!$B$12),-1)</f>
        <v/>
      </c>
      <c r="W6052" s="15">
        <f>V6052*N6052*O6052</f>
        <v/>
      </c>
      <c r="X6052" s="12">
        <f>IF(LEFT(I6052,2)="MV",2*N6052*IF(L6052="1/C",O6052,1),0)</f>
        <v/>
      </c>
      <c r="Y6052" s="12">
        <f>IF(OR(LEFT(K6052,4)="LVAX",LEFT(K6052,6)="MV15AX",LEFT(K6052,4)="CTAX",LEFT(K6052,2)="W|"),2*N6052*O6052,0)</f>
        <v/>
      </c>
      <c r="Z6052" s="12" t="inlineStr">
        <is>
          <t>device-to-JB field wiring, one cable per device</t>
        </is>
      </c>
      <c r="AA6052" s="12">
        <f>N6052*O6052</f>
        <v/>
      </c>
    </row>
    <row r="6053">
      <c r="A6053" s="12" t="inlineStr">
        <is>
          <t>K-I-0174</t>
        </is>
      </c>
      <c r="B6053" s="12" t="inlineStr">
        <is>
          <t>K</t>
        </is>
      </c>
      <c r="C6053" s="12" t="inlineStr">
        <is>
          <t>Fuel supply (adjacent market)</t>
        </is>
      </c>
      <c r="D6053" s="12" t="inlineStr">
        <is>
          <t>Home run JB-M&amp;R 5: ultrasonic -AI01 to the control / marshalling room</t>
        </is>
      </c>
      <c r="E6053" s="12" t="inlineStr"/>
      <c r="F6053" s="12" t="inlineStr">
        <is>
          <t>LNG 17: LNG e-house (13.8 kV / 480 V)</t>
        </is>
      </c>
      <c r="G6053" s="12" t="inlineStr">
        <is>
          <t>JB-M&amp;R 5: ultrasonic -AI01</t>
        </is>
      </c>
      <c r="H6053" s="12" t="inlineStr">
        <is>
          <t>M&amp;R 5: ultrasonic meters, 2 runs (custody transfer)</t>
        </is>
      </c>
      <c r="I6053" s="12" t="inlineStr">
        <is>
          <t>Instrumentation</t>
        </is>
      </c>
      <c r="J6053" s="12" t="inlineStr">
        <is>
          <t>Instrumentation ITC / PLTC, IS, #18 shielded pairs, blue jacket</t>
        </is>
      </c>
      <c r="K6053" s="12" t="inlineStr">
        <is>
          <t>ITC|24 pr|18</t>
        </is>
      </c>
      <c r="L6053" s="12" t="inlineStr">
        <is>
          <t>24 pr</t>
        </is>
      </c>
      <c r="M6053" s="12" t="inlineStr">
        <is>
          <t>18</t>
        </is>
      </c>
      <c r="N6053" s="12" t="n">
        <v>1</v>
      </c>
      <c r="O6053" s="12" t="n">
        <v>1</v>
      </c>
      <c r="P6053" s="12" t="n"/>
      <c r="Q6053" s="12" t="n"/>
      <c r="R6053" s="12" t="n"/>
      <c r="S6053" s="12" t="inlineStr">
        <is>
          <t>Duct bank</t>
        </is>
      </c>
      <c r="T6053" s="15" t="n">
        <v>651</v>
      </c>
      <c r="U6053" s="15" t="n">
        <v>57</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K-I-0175</t>
        </is>
      </c>
      <c r="B6054" s="12" t="inlineStr">
        <is>
          <t>K</t>
        </is>
      </c>
      <c r="C6054" s="12" t="inlineStr">
        <is>
          <t>Fuel supply (adjacent market)</t>
        </is>
      </c>
      <c r="D6054" s="12" t="inlineStr">
        <is>
          <t>Discrete device to JB JB-M&amp;R 5: ultrasonic -DI01: 8 x 1 pr (field cables)</t>
        </is>
      </c>
      <c r="E6054" s="12" t="inlineStr"/>
      <c r="F6054" s="12" t="inlineStr">
        <is>
          <t>M&amp;R 5: ultrasonic meters, 2 runs (custody transfer)</t>
        </is>
      </c>
      <c r="G6054" s="12" t="inlineStr">
        <is>
          <t>JB-M&amp;R 5: ultrasonic -DI01</t>
        </is>
      </c>
      <c r="H6054" s="12" t="inlineStr">
        <is>
          <t>M&amp;R 5: ultrasonic meters, 2 runs (custody transfer)</t>
        </is>
      </c>
      <c r="I6054" s="12" t="inlineStr">
        <is>
          <t>Instrumentation</t>
        </is>
      </c>
      <c r="J6054" s="12" t="inlineStr">
        <is>
          <t>Instrumentation ITC / PLTC, IS, #18 shielded pairs, blue jacket</t>
        </is>
      </c>
      <c r="K6054" s="12" t="inlineStr">
        <is>
          <t>ITC|1 pr|16</t>
        </is>
      </c>
      <c r="L6054" s="12" t="inlineStr">
        <is>
          <t>1 pr</t>
        </is>
      </c>
      <c r="M6054" s="12" t="inlineStr">
        <is>
          <t>16</t>
        </is>
      </c>
      <c r="N6054" s="12" t="n">
        <v>8</v>
      </c>
      <c r="O6054" s="12" t="n">
        <v>1</v>
      </c>
      <c r="P6054" s="12" t="n"/>
      <c r="Q6054" s="12" t="n"/>
      <c r="R6054" s="12" t="n"/>
      <c r="S6054" s="12" t="inlineStr">
        <is>
          <t>Tray / conduit</t>
        </is>
      </c>
      <c r="T6054" s="15" t="n">
        <v>60</v>
      </c>
      <c r="U6054" s="15" t="n">
        <v>10</v>
      </c>
      <c r="V6054" s="15">
        <f>ROUNDUP((T6054+U6054+2*'Read Me'!$B$13)*(1+'Read Me'!$B$12),-1)</f>
        <v/>
      </c>
      <c r="W6054" s="15">
        <f>V6054*N6054*O6054</f>
        <v/>
      </c>
      <c r="X6054" s="12">
        <f>IF(LEFT(I6054,2)="MV",2*N6054*IF(L6054="1/C",O6054,1),0)</f>
        <v/>
      </c>
      <c r="Y6054" s="12">
        <f>IF(OR(LEFT(K6054,4)="LVAX",LEFT(K6054,6)="MV15AX",LEFT(K6054,4)="CTAX",LEFT(K6054,2)="W|"),2*N6054*O6054,0)</f>
        <v/>
      </c>
      <c r="Z6054" s="12" t="inlineStr">
        <is>
          <t>device-to-JB field wiring, one cable per device</t>
        </is>
      </c>
      <c r="AA6054" s="12">
        <f>N6054*O6054</f>
        <v/>
      </c>
    </row>
    <row r="6055">
      <c r="A6055" s="12" t="inlineStr">
        <is>
          <t>K-I-0176</t>
        </is>
      </c>
      <c r="B6055" s="12" t="inlineStr">
        <is>
          <t>K</t>
        </is>
      </c>
      <c r="C6055" s="12" t="inlineStr">
        <is>
          <t>Fuel supply (adjacent market)</t>
        </is>
      </c>
      <c r="D6055" s="12" t="inlineStr">
        <is>
          <t>Home run JB-M&amp;R 5: ultrasonic -DI01 to the control / marshalling room</t>
        </is>
      </c>
      <c r="E6055" s="12" t="inlineStr"/>
      <c r="F6055" s="12" t="inlineStr">
        <is>
          <t>LNG 17: LNG e-house (13.8 kV / 480 V)</t>
        </is>
      </c>
      <c r="G6055" s="12" t="inlineStr">
        <is>
          <t>JB-M&amp;R 5: ultrasonic -DI01</t>
        </is>
      </c>
      <c r="H6055" s="12" t="inlineStr">
        <is>
          <t>M&amp;R 5: ultrasonic meters, 2 runs (custody transfer)</t>
        </is>
      </c>
      <c r="I6055" s="12" t="inlineStr">
        <is>
          <t>Instrumentation</t>
        </is>
      </c>
      <c r="J6055" s="12" t="inlineStr">
        <is>
          <t>Instrumentation ITC / PLTC, IS, #18 shielded pairs, blue jacket</t>
        </is>
      </c>
      <c r="K6055" s="12" t="inlineStr">
        <is>
          <t>ITC|24 pr|18</t>
        </is>
      </c>
      <c r="L6055" s="12" t="inlineStr">
        <is>
          <t>24 pr</t>
        </is>
      </c>
      <c r="M6055" s="12" t="inlineStr">
        <is>
          <t>18</t>
        </is>
      </c>
      <c r="N6055" s="12" t="n">
        <v>1</v>
      </c>
      <c r="O6055" s="12" t="n">
        <v>1</v>
      </c>
      <c r="P6055" s="12" t="n"/>
      <c r="Q6055" s="12" t="n"/>
      <c r="R6055" s="12" t="n"/>
      <c r="S6055" s="12" t="inlineStr">
        <is>
          <t>Duct bank</t>
        </is>
      </c>
      <c r="T6055" s="15" t="n">
        <v>651</v>
      </c>
      <c r="U6055" s="15" t="n">
        <v>57</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K-I-0177</t>
        </is>
      </c>
      <c r="B6056" s="12" t="inlineStr">
        <is>
          <t>K</t>
        </is>
      </c>
      <c r="C6056" s="12" t="inlineStr">
        <is>
          <t>Fuel supply (adjacent market)</t>
        </is>
      </c>
      <c r="D6056" s="12" t="inlineStr">
        <is>
          <t>Analog instrument to JB JB-M&amp;R 6: regulation -AI01: 12 x 1 pr (field cables)</t>
        </is>
      </c>
      <c r="E6056" s="12" t="inlineStr"/>
      <c r="F6056" s="12" t="inlineStr">
        <is>
          <t>M&amp;R 6: regulation / flow control building</t>
        </is>
      </c>
      <c r="G6056" s="12" t="inlineStr">
        <is>
          <t>JB-M&amp;R 6: regulation -AI01</t>
        </is>
      </c>
      <c r="H6056" s="12" t="inlineStr">
        <is>
          <t>M&amp;R 6: regulation / flow control building</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12</v>
      </c>
      <c r="O6056" s="12" t="n">
        <v>1</v>
      </c>
      <c r="P6056" s="12" t="n"/>
      <c r="Q6056" s="12" t="n"/>
      <c r="R6056" s="12" t="n"/>
      <c r="S6056" s="12" t="inlineStr">
        <is>
          <t>Tray / conduit</t>
        </is>
      </c>
      <c r="T6056" s="15" t="n">
        <v>61</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K-I-0178</t>
        </is>
      </c>
      <c r="B6057" s="12" t="inlineStr">
        <is>
          <t>K</t>
        </is>
      </c>
      <c r="C6057" s="12" t="inlineStr">
        <is>
          <t>Fuel supply (adjacent market)</t>
        </is>
      </c>
      <c r="D6057" s="12" t="inlineStr">
        <is>
          <t>Home run JB-M&amp;R 6: regulation -AI01 to the control / marshalling room</t>
        </is>
      </c>
      <c r="E6057" s="12" t="inlineStr"/>
      <c r="F6057" s="12" t="inlineStr">
        <is>
          <t>LNG 17: LNG e-house (13.8 kV / 480 V)</t>
        </is>
      </c>
      <c r="G6057" s="12" t="inlineStr">
        <is>
          <t>JB-M&amp;R 6: regulation -AI01</t>
        </is>
      </c>
      <c r="H6057" s="12" t="inlineStr">
        <is>
          <t>M&amp;R 6: regulation / flow control building</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470</v>
      </c>
      <c r="U6057" s="15" t="n">
        <v>70</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K-I-0179</t>
        </is>
      </c>
      <c r="B6058" s="12" t="inlineStr">
        <is>
          <t>K</t>
        </is>
      </c>
      <c r="C6058" s="12" t="inlineStr">
        <is>
          <t>Fuel supply (adjacent market)</t>
        </is>
      </c>
      <c r="D6058" s="12" t="inlineStr">
        <is>
          <t>Discrete device to JB JB-M&amp;R 6: regulation -DI01: 12 x 1 pr (field cables)</t>
        </is>
      </c>
      <c r="E6058" s="12" t="inlineStr"/>
      <c r="F6058" s="12" t="inlineStr">
        <is>
          <t>M&amp;R 6: regulation / flow control building</t>
        </is>
      </c>
      <c r="G6058" s="12" t="inlineStr">
        <is>
          <t>JB-M&amp;R 6: regulation -DI01</t>
        </is>
      </c>
      <c r="H6058" s="12" t="inlineStr">
        <is>
          <t>M&amp;R 6: regulation / flow control building</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12</v>
      </c>
      <c r="O6058" s="12" t="n">
        <v>1</v>
      </c>
      <c r="P6058" s="12" t="n"/>
      <c r="Q6058" s="12" t="n"/>
      <c r="R6058" s="12" t="n"/>
      <c r="S6058" s="12" t="inlineStr">
        <is>
          <t>Tray / conduit</t>
        </is>
      </c>
      <c r="T6058" s="15" t="n">
        <v>61</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K-I-0180</t>
        </is>
      </c>
      <c r="B6059" s="12" t="inlineStr">
        <is>
          <t>K</t>
        </is>
      </c>
      <c r="C6059" s="12" t="inlineStr">
        <is>
          <t>Fuel supply (adjacent market)</t>
        </is>
      </c>
      <c r="D6059" s="12" t="inlineStr">
        <is>
          <t>Home run JB-M&amp;R 6: regulation -DI01 to the control / marshalling room</t>
        </is>
      </c>
      <c r="E6059" s="12" t="inlineStr"/>
      <c r="F6059" s="12" t="inlineStr">
        <is>
          <t>LNG 17: LNG e-house (13.8 kV / 480 V)</t>
        </is>
      </c>
      <c r="G6059" s="12" t="inlineStr">
        <is>
          <t>JB-M&amp;R 6: regulation -DI01</t>
        </is>
      </c>
      <c r="H6059" s="12" t="inlineStr">
        <is>
          <t>M&amp;R 6: regulation / flow control building</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470</v>
      </c>
      <c r="U6059" s="15" t="n">
        <v>70</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K-I-0181</t>
        </is>
      </c>
      <c r="B6060" s="12" t="inlineStr">
        <is>
          <t>K</t>
        </is>
      </c>
      <c r="C6060" s="12" t="inlineStr">
        <is>
          <t>Fuel supply (adjacent market)</t>
        </is>
      </c>
      <c r="D6060" s="12" t="inlineStr">
        <is>
          <t>Analog instrument to JB JB-M&amp;R 7: gas quality-AI01: 20 x 1 pr (field cables)</t>
        </is>
      </c>
      <c r="E6060" s="12" t="inlineStr"/>
      <c r="F6060" s="12" t="inlineStr">
        <is>
          <t>M&amp;R 7: gas quality + measurement building</t>
        </is>
      </c>
      <c r="G6060" s="12" t="inlineStr">
        <is>
          <t>JB-M&amp;R 7: gas quality-AI01</t>
        </is>
      </c>
      <c r="H6060" s="12" t="inlineStr">
        <is>
          <t>M&amp;R 7: gas quality + measurement building</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20</v>
      </c>
      <c r="O6060" s="12" t="n">
        <v>1</v>
      </c>
      <c r="P6060" s="12" t="n"/>
      <c r="Q6060" s="12" t="n"/>
      <c r="R6060" s="12" t="n"/>
      <c r="S6060" s="12" t="inlineStr">
        <is>
          <t>Tray / conduit</t>
        </is>
      </c>
      <c r="T6060" s="15" t="n">
        <v>41</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K-I-0182</t>
        </is>
      </c>
      <c r="B6061" s="12" t="inlineStr">
        <is>
          <t>K</t>
        </is>
      </c>
      <c r="C6061" s="12" t="inlineStr">
        <is>
          <t>Fuel supply (adjacent market)</t>
        </is>
      </c>
      <c r="D6061" s="12" t="inlineStr">
        <is>
          <t>Home run JB-M&amp;R 7: gas quality-AI01 to the control / marshalling room</t>
        </is>
      </c>
      <c r="E6061" s="12" t="inlineStr"/>
      <c r="F6061" s="12" t="inlineStr">
        <is>
          <t>LNG 17: LNG e-house (13.8 kV / 480 V)</t>
        </is>
      </c>
      <c r="G6061" s="12" t="inlineStr">
        <is>
          <t>JB-M&amp;R 7: gas quality-AI01</t>
        </is>
      </c>
      <c r="H6061" s="12" t="inlineStr">
        <is>
          <t>M&amp;R 7: gas quality + measurement building</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616</v>
      </c>
      <c r="U6061" s="15" t="n">
        <v>52</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K-I-0183</t>
        </is>
      </c>
      <c r="B6062" s="12" t="inlineStr">
        <is>
          <t>K</t>
        </is>
      </c>
      <c r="C6062" s="12" t="inlineStr">
        <is>
          <t>Fuel supply (adjacent market)</t>
        </is>
      </c>
      <c r="D6062" s="12" t="inlineStr">
        <is>
          <t>Discrete device to JB JB-M&amp;R 7: gas quality-DI01: 8 x 1 pr (field cables)</t>
        </is>
      </c>
      <c r="E6062" s="12" t="inlineStr"/>
      <c r="F6062" s="12" t="inlineStr">
        <is>
          <t>M&amp;R 7: gas quality + measurement building</t>
        </is>
      </c>
      <c r="G6062" s="12" t="inlineStr">
        <is>
          <t>JB-M&amp;R 7: gas quality-DI01</t>
        </is>
      </c>
      <c r="H6062" s="12" t="inlineStr">
        <is>
          <t>M&amp;R 7: gas quality + measurement building</t>
        </is>
      </c>
      <c r="I6062" s="12" t="inlineStr">
        <is>
          <t>Instrumentation</t>
        </is>
      </c>
      <c r="J6062" s="12" t="inlineStr">
        <is>
          <t>Instrumentation ITC / PLTC, IS, #18 shielded pairs, blue jacket</t>
        </is>
      </c>
      <c r="K6062" s="12" t="inlineStr">
        <is>
          <t>ITC|1 pr|16</t>
        </is>
      </c>
      <c r="L6062" s="12" t="inlineStr">
        <is>
          <t>1 pr</t>
        </is>
      </c>
      <c r="M6062" s="12" t="inlineStr">
        <is>
          <t>16</t>
        </is>
      </c>
      <c r="N6062" s="12" t="n">
        <v>8</v>
      </c>
      <c r="O6062" s="12" t="n">
        <v>1</v>
      </c>
      <c r="P6062" s="12" t="n"/>
      <c r="Q6062" s="12" t="n"/>
      <c r="R6062" s="12" t="n"/>
      <c r="S6062" s="12" t="inlineStr">
        <is>
          <t>Tray / conduit</t>
        </is>
      </c>
      <c r="T6062" s="15" t="n">
        <v>41</v>
      </c>
      <c r="U6062" s="15" t="n">
        <v>10</v>
      </c>
      <c r="V6062" s="15">
        <f>ROUNDUP((T6062+U6062+2*'Read Me'!$B$13)*(1+'Read Me'!$B$12),-1)</f>
        <v/>
      </c>
      <c r="W6062" s="15">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K-I-0184</t>
        </is>
      </c>
      <c r="B6063" s="12" t="inlineStr">
        <is>
          <t>K</t>
        </is>
      </c>
      <c r="C6063" s="12" t="inlineStr">
        <is>
          <t>Fuel supply (adjacent market)</t>
        </is>
      </c>
      <c r="D6063" s="12" t="inlineStr">
        <is>
          <t>Home run JB-M&amp;R 7: gas quality-DI01 to the control / marshalling room</t>
        </is>
      </c>
      <c r="E6063" s="12" t="inlineStr"/>
      <c r="F6063" s="12" t="inlineStr">
        <is>
          <t>LNG 17: LNG e-house (13.8 kV / 480 V)</t>
        </is>
      </c>
      <c r="G6063" s="12" t="inlineStr">
        <is>
          <t>JB-M&amp;R 7: gas quality-DI01</t>
        </is>
      </c>
      <c r="H6063" s="12" t="inlineStr">
        <is>
          <t>M&amp;R 7: gas quality + measurement building</t>
        </is>
      </c>
      <c r="I6063" s="12" t="inlineStr">
        <is>
          <t>Instrumentation</t>
        </is>
      </c>
      <c r="J6063" s="12" t="inlineStr">
        <is>
          <t>Instrumentation ITC / PLTC, IS, #18 shielded pairs, blue jacket</t>
        </is>
      </c>
      <c r="K6063" s="12" t="inlineStr">
        <is>
          <t>ITC|24 pr|18</t>
        </is>
      </c>
      <c r="L6063" s="12" t="inlineStr">
        <is>
          <t>24 pr</t>
        </is>
      </c>
      <c r="M6063" s="12" t="inlineStr">
        <is>
          <t>18</t>
        </is>
      </c>
      <c r="N6063" s="12" t="n">
        <v>1</v>
      </c>
      <c r="O6063" s="12" t="n">
        <v>1</v>
      </c>
      <c r="P6063" s="12" t="n"/>
      <c r="Q6063" s="12" t="n"/>
      <c r="R6063" s="12" t="n"/>
      <c r="S6063" s="12" t="inlineStr">
        <is>
          <t>Duct bank</t>
        </is>
      </c>
      <c r="T6063" s="15" t="n">
        <v>616</v>
      </c>
      <c r="U6063" s="15" t="n">
        <v>52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K-I-0185</t>
        </is>
      </c>
      <c r="B6064" s="12" t="inlineStr">
        <is>
          <t>K</t>
        </is>
      </c>
      <c r="C6064" s="12" t="inlineStr">
        <is>
          <t>Fuel supply (adjacent market)</t>
        </is>
      </c>
      <c r="D6064" s="12" t="inlineStr">
        <is>
          <t>Analog instrument to JB JB-M&amp;R 8: condensate -AI01: 4 x 1 pr (field cables)</t>
        </is>
      </c>
      <c r="E6064" s="12" t="inlineStr"/>
      <c r="F6064" s="12" t="inlineStr">
        <is>
          <t>M&amp;R 8: condensate tank</t>
        </is>
      </c>
      <c r="G6064" s="12" t="inlineStr">
        <is>
          <t>JB-M&amp;R 8: condensate -AI01</t>
        </is>
      </c>
      <c r="H6064" s="12" t="inlineStr">
        <is>
          <t>M&amp;R 8: condensate tank</t>
        </is>
      </c>
      <c r="I6064" s="12" t="inlineStr">
        <is>
          <t>Instrumentation</t>
        </is>
      </c>
      <c r="J6064" s="12" t="inlineStr">
        <is>
          <t>Instrumentation ITC / PLTC, IS, #18 shielded pairs, blue jacket</t>
        </is>
      </c>
      <c r="K6064" s="12" t="inlineStr">
        <is>
          <t>ITC|1 pr|16</t>
        </is>
      </c>
      <c r="L6064" s="12" t="inlineStr">
        <is>
          <t>1 pr</t>
        </is>
      </c>
      <c r="M6064" s="12" t="inlineStr">
        <is>
          <t>16</t>
        </is>
      </c>
      <c r="N6064" s="12" t="n">
        <v>4</v>
      </c>
      <c r="O6064" s="12" t="n">
        <v>1</v>
      </c>
      <c r="P6064" s="12" t="n"/>
      <c r="Q6064" s="12" t="n"/>
      <c r="R6064" s="12" t="n"/>
      <c r="S6064" s="12" t="inlineStr">
        <is>
          <t>Tray / conduit</t>
        </is>
      </c>
      <c r="T6064" s="15" t="n">
        <v>41</v>
      </c>
      <c r="U6064" s="15" t="n">
        <v>10</v>
      </c>
      <c r="V6064" s="15">
        <f>ROUNDUP((T6064+U6064+2*'Read Me'!$B$13)*(1+'Read Me'!$B$12),-1)</f>
        <v/>
      </c>
      <c r="W6064" s="15">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K-I-0186</t>
        </is>
      </c>
      <c r="B6065" s="12" t="inlineStr">
        <is>
          <t>K</t>
        </is>
      </c>
      <c r="C6065" s="12" t="inlineStr">
        <is>
          <t>Fuel supply (adjacent market)</t>
        </is>
      </c>
      <c r="D6065" s="12" t="inlineStr">
        <is>
          <t>Home run JB-M&amp;R 8: condensate -AI01 to the control / marshalling room</t>
        </is>
      </c>
      <c r="E6065" s="12" t="inlineStr"/>
      <c r="F6065" s="12" t="inlineStr">
        <is>
          <t>LNG 17: LNG e-house (13.8 kV / 480 V)</t>
        </is>
      </c>
      <c r="G6065" s="12" t="inlineStr">
        <is>
          <t>JB-M&amp;R 8: condensate -AI01</t>
        </is>
      </c>
      <c r="H6065" s="12" t="inlineStr">
        <is>
          <t>M&amp;R 8: condensate tank</t>
        </is>
      </c>
      <c r="I6065" s="12" t="inlineStr">
        <is>
          <t>Instrumentation</t>
        </is>
      </c>
      <c r="J6065" s="12" t="inlineStr">
        <is>
          <t>Instrumentation ITC / PLTC, IS, #18 shielded pairs, blue jacket</t>
        </is>
      </c>
      <c r="K6065" s="12" t="inlineStr">
        <is>
          <t>ITC|24 pr|18</t>
        </is>
      </c>
      <c r="L6065" s="12" t="inlineStr">
        <is>
          <t>24 pr</t>
        </is>
      </c>
      <c r="M6065" s="12" t="inlineStr">
        <is>
          <t>18</t>
        </is>
      </c>
      <c r="N6065" s="12" t="n">
        <v>1</v>
      </c>
      <c r="O6065" s="12" t="n">
        <v>1</v>
      </c>
      <c r="P6065" s="12" t="n"/>
      <c r="Q6065" s="12" t="n"/>
      <c r="R6065" s="12" t="n"/>
      <c r="S6065" s="12" t="inlineStr">
        <is>
          <t>Duct bank</t>
        </is>
      </c>
      <c r="T6065" s="15" t="n">
        <v>530</v>
      </c>
      <c r="U6065" s="15" t="n">
        <v>87</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K-I-0187</t>
        </is>
      </c>
      <c r="B6066" s="12" t="inlineStr">
        <is>
          <t>K</t>
        </is>
      </c>
      <c r="C6066" s="12" t="inlineStr">
        <is>
          <t>Fuel supply (adjacent market)</t>
        </is>
      </c>
      <c r="D6066" s="12" t="inlineStr">
        <is>
          <t>Discrete device to JB JB-M&amp;R 8: condensate -DI01: 4 x 1 pr (field cables)</t>
        </is>
      </c>
      <c r="E6066" s="12" t="inlineStr"/>
      <c r="F6066" s="12" t="inlineStr">
        <is>
          <t>M&amp;R 8: condensate tank</t>
        </is>
      </c>
      <c r="G6066" s="12" t="inlineStr">
        <is>
          <t>JB-M&amp;R 8: condensate -DI01</t>
        </is>
      </c>
      <c r="H6066" s="12" t="inlineStr">
        <is>
          <t>M&amp;R 8: condensate tank</t>
        </is>
      </c>
      <c r="I6066" s="12" t="inlineStr">
        <is>
          <t>Instrumentation</t>
        </is>
      </c>
      <c r="J6066" s="12" t="inlineStr">
        <is>
          <t>Instrumentation ITC / PLTC, IS, #18 shielded pairs, blue jacket</t>
        </is>
      </c>
      <c r="K6066" s="12" t="inlineStr">
        <is>
          <t>ITC|1 pr|16</t>
        </is>
      </c>
      <c r="L6066" s="12" t="inlineStr">
        <is>
          <t>1 pr</t>
        </is>
      </c>
      <c r="M6066" s="12" t="inlineStr">
        <is>
          <t>16</t>
        </is>
      </c>
      <c r="N6066" s="12" t="n">
        <v>4</v>
      </c>
      <c r="O6066" s="12" t="n">
        <v>1</v>
      </c>
      <c r="P6066" s="12" t="n"/>
      <c r="Q6066" s="12" t="n"/>
      <c r="R6066" s="12" t="n"/>
      <c r="S6066" s="12" t="inlineStr">
        <is>
          <t>Tray / conduit</t>
        </is>
      </c>
      <c r="T6066" s="15" t="n">
        <v>41</v>
      </c>
      <c r="U6066" s="15" t="n">
        <v>10</v>
      </c>
      <c r="V6066" s="15">
        <f>ROUNDUP((T6066+U6066+2*'Read Me'!$B$13)*(1+'Read Me'!$B$12),-1)</f>
        <v/>
      </c>
      <c r="W6066" s="15">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K-I-0188</t>
        </is>
      </c>
      <c r="B6067" s="12" t="inlineStr">
        <is>
          <t>K</t>
        </is>
      </c>
      <c r="C6067" s="12" t="inlineStr">
        <is>
          <t>Fuel supply (adjacent market)</t>
        </is>
      </c>
      <c r="D6067" s="12" t="inlineStr">
        <is>
          <t>Home run JB-M&amp;R 8: condensate -DI01 to the control / marshalling room</t>
        </is>
      </c>
      <c r="E6067" s="12" t="inlineStr"/>
      <c r="F6067" s="12" t="inlineStr">
        <is>
          <t>LNG 17: LNG e-house (13.8 kV / 480 V)</t>
        </is>
      </c>
      <c r="G6067" s="12" t="inlineStr">
        <is>
          <t>JB-M&amp;R 8: condensate -DI01</t>
        </is>
      </c>
      <c r="H6067" s="12" t="inlineStr">
        <is>
          <t>M&amp;R 8: condensate tank</t>
        </is>
      </c>
      <c r="I6067" s="12" t="inlineStr">
        <is>
          <t>Instrumentation</t>
        </is>
      </c>
      <c r="J6067" s="12" t="inlineStr">
        <is>
          <t>Instrumentation ITC / PLTC, IS, #18 shielded pairs, blue jacket</t>
        </is>
      </c>
      <c r="K6067" s="12" t="inlineStr">
        <is>
          <t>ITC|24 pr|18</t>
        </is>
      </c>
      <c r="L6067" s="12" t="inlineStr">
        <is>
          <t>24 pr</t>
        </is>
      </c>
      <c r="M6067" s="12" t="inlineStr">
        <is>
          <t>18</t>
        </is>
      </c>
      <c r="N6067" s="12" t="n">
        <v>1</v>
      </c>
      <c r="O6067" s="12" t="n">
        <v>1</v>
      </c>
      <c r="P6067" s="12" t="n"/>
      <c r="Q6067" s="12" t="n"/>
      <c r="R6067" s="12" t="n"/>
      <c r="S6067" s="12" t="inlineStr">
        <is>
          <t>Duct bank</t>
        </is>
      </c>
      <c r="T6067" s="15" t="n">
        <v>530</v>
      </c>
      <c r="U6067" s="15" t="n">
        <v>87</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K-I-0189</t>
        </is>
      </c>
      <c r="B6068" s="12" t="inlineStr">
        <is>
          <t>K</t>
        </is>
      </c>
      <c r="C6068" s="12" t="inlineStr">
        <is>
          <t>Fuel supply (adjacent market)</t>
        </is>
      </c>
      <c r="D6068" s="12" t="inlineStr">
        <is>
          <t>Instrumentation</t>
        </is>
      </c>
      <c r="E6068" s="12" t="inlineStr"/>
      <c r="F6068" s="12" t="inlineStr">
        <is>
          <t>LNG 17: LNG e-house (13.8 kV / 480 V)</t>
        </is>
      </c>
      <c r="G6068" s="12" t="inlineStr"/>
      <c r="H6068" s="12" t="inlineStr">
        <is>
          <t>M&amp;R CP test station (as drawn)</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441</v>
      </c>
      <c r="U6068" s="15" t="n">
        <v>42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K-I-0190</t>
        </is>
      </c>
      <c r="B6069" s="12" t="inlineStr">
        <is>
          <t>K</t>
        </is>
      </c>
      <c r="C6069" s="12" t="inlineStr">
        <is>
          <t>Fuel supply (adjacent market)</t>
        </is>
      </c>
      <c r="D6069" s="12" t="inlineStr">
        <is>
          <t>Instrumentation</t>
        </is>
      </c>
      <c r="E6069" s="12" t="inlineStr"/>
      <c r="F6069" s="12" t="inlineStr">
        <is>
          <t>H2 20: 13.8 kV e-house</t>
        </is>
      </c>
      <c r="G6069" s="12" t="inlineStr"/>
      <c r="H6069" s="12" t="inlineStr">
        <is>
          <t>PEM electrolyzer 1 (HyLYZER-1000)</t>
        </is>
      </c>
      <c r="I6069" s="12" t="inlineStr">
        <is>
          <t>Instrumentation</t>
        </is>
      </c>
      <c r="J6069" s="12" t="inlineStr">
        <is>
          <t>Instrumentation ITC / PLTC, IS, #18 shielded pairs, blue jacket</t>
        </is>
      </c>
      <c r="K6069" s="12" t="inlineStr">
        <is>
          <t>ITC|4 pr|18</t>
        </is>
      </c>
      <c r="L6069" s="12" t="inlineStr">
        <is>
          <t>4 pr</t>
        </is>
      </c>
      <c r="M6069" s="12" t="inlineStr">
        <is>
          <t>18</t>
        </is>
      </c>
      <c r="N6069" s="12" t="n">
        <v>1</v>
      </c>
      <c r="O6069" s="12" t="n">
        <v>1</v>
      </c>
      <c r="P6069" s="12" t="n"/>
      <c r="Q6069" s="12" t="n"/>
      <c r="R6069" s="12" t="n"/>
      <c r="S6069" s="12" t="inlineStr">
        <is>
          <t>Duct bank</t>
        </is>
      </c>
      <c r="T6069" s="15" t="n">
        <v>358</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K-I-0191</t>
        </is>
      </c>
      <c r="B6070" s="12" t="inlineStr">
        <is>
          <t>K</t>
        </is>
      </c>
      <c r="C6070" s="12" t="inlineStr">
        <is>
          <t>Fuel supply (adjacent market)</t>
        </is>
      </c>
      <c r="D6070" s="12" t="inlineStr">
        <is>
          <t>Instrumentation</t>
        </is>
      </c>
      <c r="E6070" s="12" t="inlineStr"/>
      <c r="F6070" s="12" t="inlineStr">
        <is>
          <t>H2 20: 13.8 kV e-house</t>
        </is>
      </c>
      <c r="G6070" s="12" t="inlineStr"/>
      <c r="H6070" s="12" t="inlineStr">
        <is>
          <t>PEM electrolyzer 2 (HyLYZER-1000)</t>
        </is>
      </c>
      <c r="I6070" s="12" t="inlineStr">
        <is>
          <t>Instrumentation</t>
        </is>
      </c>
      <c r="J6070" s="12" t="inlineStr">
        <is>
          <t>Instrumentation ITC / PLTC, IS, #18 shielded pairs, blue jacket</t>
        </is>
      </c>
      <c r="K6070" s="12" t="inlineStr">
        <is>
          <t>ITC|4 pr|18</t>
        </is>
      </c>
      <c r="L6070" s="12" t="inlineStr">
        <is>
          <t>4 pr</t>
        </is>
      </c>
      <c r="M6070" s="12" t="inlineStr">
        <is>
          <t>18</t>
        </is>
      </c>
      <c r="N6070" s="12" t="n">
        <v>1</v>
      </c>
      <c r="O6070" s="12" t="n">
        <v>1</v>
      </c>
      <c r="P6070" s="12" t="n"/>
      <c r="Q6070" s="12" t="n"/>
      <c r="R6070" s="12" t="n"/>
      <c r="S6070" s="12" t="inlineStr">
        <is>
          <t>Duct bank</t>
        </is>
      </c>
      <c r="T6070" s="15" t="n">
        <v>358</v>
      </c>
      <c r="U6070" s="15" t="n">
        <v>48</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K-I-0192</t>
        </is>
      </c>
      <c r="B6071" s="12" t="inlineStr">
        <is>
          <t>K</t>
        </is>
      </c>
      <c r="C6071" s="12" t="inlineStr">
        <is>
          <t>Fuel supply (adjacent market)</t>
        </is>
      </c>
      <c r="D6071" s="12" t="inlineStr">
        <is>
          <t>Instrumentation</t>
        </is>
      </c>
      <c r="E6071" s="12" t="inlineStr"/>
      <c r="F6071" s="12" t="inlineStr">
        <is>
          <t>H2 20: 13.8 kV e-house</t>
        </is>
      </c>
      <c r="G6071" s="12" t="inlineStr"/>
      <c r="H6071" s="12" t="inlineStr">
        <is>
          <t>PEM electrolyzer 3 (HyLYZER-1000)</t>
        </is>
      </c>
      <c r="I6071" s="12" t="inlineStr">
        <is>
          <t>Instrumentation</t>
        </is>
      </c>
      <c r="J6071" s="12" t="inlineStr">
        <is>
          <t>Instrumentation ITC / PLTC, IS, #18 shielded pairs, blue jacket</t>
        </is>
      </c>
      <c r="K6071" s="12" t="inlineStr">
        <is>
          <t>ITC|4 pr|18</t>
        </is>
      </c>
      <c r="L6071" s="12" t="inlineStr">
        <is>
          <t>4 pr</t>
        </is>
      </c>
      <c r="M6071" s="12" t="inlineStr">
        <is>
          <t>18</t>
        </is>
      </c>
      <c r="N6071" s="12" t="n">
        <v>1</v>
      </c>
      <c r="O6071" s="12" t="n">
        <v>1</v>
      </c>
      <c r="P6071" s="12" t="n"/>
      <c r="Q6071" s="12" t="n"/>
      <c r="R6071" s="12" t="n"/>
      <c r="S6071" s="12" t="inlineStr">
        <is>
          <t>Duct bank</t>
        </is>
      </c>
      <c r="T6071" s="15" t="n">
        <v>348</v>
      </c>
      <c r="U6071" s="15" t="n">
        <v>49</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K-I-0193</t>
        </is>
      </c>
      <c r="B6072" s="12" t="inlineStr">
        <is>
          <t>K</t>
        </is>
      </c>
      <c r="C6072" s="12" t="inlineStr">
        <is>
          <t>Fuel supply (adjacent market)</t>
        </is>
      </c>
      <c r="D6072" s="12" t="inlineStr">
        <is>
          <t>Instrumentation</t>
        </is>
      </c>
      <c r="E6072" s="12" t="inlineStr"/>
      <c r="F6072" s="12" t="inlineStr">
        <is>
          <t>H2 20: 13.8 kV e-house</t>
        </is>
      </c>
      <c r="G6072" s="12" t="inlineStr"/>
      <c r="H6072" s="12" t="inlineStr">
        <is>
          <t>PEM electrolyzer 4 (HyLYZER-1000)</t>
        </is>
      </c>
      <c r="I6072" s="12" t="inlineStr">
        <is>
          <t>Instrumentation</t>
        </is>
      </c>
      <c r="J6072" s="12" t="inlineStr">
        <is>
          <t>Instrumentation ITC / PLTC, IS, #18 shielded pairs, blue jacket</t>
        </is>
      </c>
      <c r="K6072" s="12" t="inlineStr">
        <is>
          <t>ITC|4 pr|18</t>
        </is>
      </c>
      <c r="L6072" s="12" t="inlineStr">
        <is>
          <t>4 pr</t>
        </is>
      </c>
      <c r="M6072" s="12" t="inlineStr">
        <is>
          <t>18</t>
        </is>
      </c>
      <c r="N6072" s="12" t="n">
        <v>1</v>
      </c>
      <c r="O6072" s="12" t="n">
        <v>1</v>
      </c>
      <c r="P6072" s="12" t="n"/>
      <c r="Q6072" s="12" t="n"/>
      <c r="R6072" s="12" t="n"/>
      <c r="S6072" s="12" t="inlineStr">
        <is>
          <t>Duct bank</t>
        </is>
      </c>
      <c r="T6072" s="15" t="n">
        <v>328</v>
      </c>
      <c r="U6072" s="15" t="n">
        <v>49</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K-I-0194</t>
        </is>
      </c>
      <c r="B6073" s="12" t="inlineStr">
        <is>
          <t>K</t>
        </is>
      </c>
      <c r="C6073" s="12" t="inlineStr">
        <is>
          <t>Fuel supply (adjacent market)</t>
        </is>
      </c>
      <c r="D6073" s="12" t="inlineStr">
        <is>
          <t>Instrumentation</t>
        </is>
      </c>
      <c r="E6073" s="12" t="inlineStr"/>
      <c r="F6073" s="12" t="inlineStr">
        <is>
          <t>H2 20: 13.8 kV e-house</t>
        </is>
      </c>
      <c r="G6073" s="12" t="inlineStr"/>
      <c r="H6073" s="12" t="inlineStr">
        <is>
          <t>PEM electrolyzer 5 (HyLYZER-1000)</t>
        </is>
      </c>
      <c r="I6073" s="12" t="inlineStr">
        <is>
          <t>Instrumentation</t>
        </is>
      </c>
      <c r="J6073" s="12" t="inlineStr">
        <is>
          <t>Instrumentation ITC / PLTC, IS, #18 shielded pairs, blue jacket</t>
        </is>
      </c>
      <c r="K6073" s="12" t="inlineStr">
        <is>
          <t>ITC|4 pr|18</t>
        </is>
      </c>
      <c r="L6073" s="12" t="inlineStr">
        <is>
          <t>4 pr</t>
        </is>
      </c>
      <c r="M6073" s="12" t="inlineStr">
        <is>
          <t>18</t>
        </is>
      </c>
      <c r="N6073" s="12" t="n">
        <v>1</v>
      </c>
      <c r="O6073" s="12" t="n">
        <v>1</v>
      </c>
      <c r="P6073" s="12" t="n"/>
      <c r="Q6073" s="12" t="n"/>
      <c r="R6073" s="12" t="n"/>
      <c r="S6073" s="12" t="inlineStr">
        <is>
          <t>Duct bank</t>
        </is>
      </c>
      <c r="T6073" s="15" t="n">
        <v>328</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K-P-0001</t>
        </is>
      </c>
      <c r="B6074" s="12" t="inlineStr">
        <is>
          <t>K</t>
        </is>
      </c>
      <c r="C6074" s="12" t="inlineStr">
        <is>
          <t>Fuel supply (adjacent market)</t>
        </is>
      </c>
      <c r="D6074" s="12" t="inlineStr">
        <is>
          <t>Motor 1 of 1, 15 kW</t>
        </is>
      </c>
      <c r="E6074" s="12" t="inlineStr"/>
      <c r="F6074" s="12" t="inlineStr">
        <is>
          <t>H2 20: 13.8 kV e-house</t>
        </is>
      </c>
      <c r="G6074" s="12" t="inlineStr">
        <is>
          <t>T-H2</t>
        </is>
      </c>
      <c r="H6074" s="12" t="inlineStr">
        <is>
          <t>H2 19: T-H2 230/13.8 kV (about 40 MVA)</t>
        </is>
      </c>
      <c r="I6074" s="12" t="inlineStr">
        <is>
          <t>LV 600 V</t>
        </is>
      </c>
      <c r="J6074" s="12" t="inlineStr">
        <is>
          <t>ARMOR-X MC-HL 600 V 3/C Cu XHHW-2 + ground, CWA, black PVC (Class I Div 2)</t>
        </is>
      </c>
      <c r="K6074" s="12" t="inlineStr">
        <is>
          <t>LVAX|3/C+G|10</t>
        </is>
      </c>
      <c r="L6074" s="12" t="inlineStr">
        <is>
          <t>3/C+G</t>
        </is>
      </c>
      <c r="M6074" s="12" t="inlineStr">
        <is>
          <t>10</t>
        </is>
      </c>
      <c r="N6074" s="12" t="n">
        <v>1</v>
      </c>
      <c r="O6074" s="12" t="n">
        <v>1</v>
      </c>
      <c r="P6074" s="12" t="n">
        <v>480</v>
      </c>
      <c r="Q6074" s="12" t="n">
        <v>15</v>
      </c>
      <c r="R6074" s="12" t="n">
        <v>21.2</v>
      </c>
      <c r="S6074" s="12" t="inlineStr">
        <is>
          <t>Duct bank</t>
        </is>
      </c>
      <c r="T6074" s="15" t="n">
        <v>35</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0.7 %</t>
        </is>
      </c>
      <c r="AA6074" s="12">
        <f>N6074*O6074</f>
        <v/>
      </c>
    </row>
    <row r="6075">
      <c r="A6075" s="12" t="inlineStr">
        <is>
          <t>K-P-0002</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20: 13.8 kV e-house</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Tray</t>
        </is>
      </c>
      <c r="T6075" s="15" t="n">
        <v>0</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0.3 %</t>
        </is>
      </c>
      <c r="AA6075" s="12">
        <f>N6075*O6075</f>
        <v/>
      </c>
    </row>
    <row r="6076">
      <c r="A6076" s="12" t="inlineStr">
        <is>
          <t>K-P-0003</t>
        </is>
      </c>
      <c r="B6076" s="12" t="inlineStr">
        <is>
          <t>K</t>
        </is>
      </c>
      <c r="C6076" s="12" t="inlineStr">
        <is>
          <t>Fuel supply (adjacent market)</t>
        </is>
      </c>
      <c r="D6076" s="12" t="inlineStr">
        <is>
          <t>Motor 1 of 1, 15 kW</t>
        </is>
      </c>
      <c r="E6076" s="12" t="inlineStr"/>
      <c r="F6076" s="12" t="inlineStr">
        <is>
          <t>H2 20: 13.8 kV e-house</t>
        </is>
      </c>
      <c r="G6076" s="12" t="inlineStr"/>
      <c r="H6076" s="12" t="inlineStr">
        <is>
          <t>H2 21: rectifier transformer 1 (7 MVA)</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356</v>
      </c>
      <c r="U6076" s="15" t="n">
        <v>48</v>
      </c>
      <c r="V6076" s="15">
        <f>ROUNDUP((T6076+U6076+2*'Read Me'!$B$13)*(1+'Read Me'!$B$12),-1)</f>
        <v/>
      </c>
      <c r="W6076" s="15">
        <f>V6076*N6076*O6076</f>
        <v/>
      </c>
      <c r="X6076" s="12">
        <f>IF(LEFT(I6076,2)="MV",2*N6076*IF(L6076="1/C",O6076,1),0)</f>
        <v/>
      </c>
      <c r="Y6076" s="12">
        <f>IF(OR(LEFT(K6076,4)="LVAX",LEFT(K6076,6)="MV15AX",LEFT(K6076,4)="CTAX",LEFT(K6076,2)="W|"),2*N6076*O6076,0)</f>
        <v/>
      </c>
      <c r="Z6076" s="12" t="inlineStr">
        <is>
          <t>VD 2.6 %</t>
        </is>
      </c>
      <c r="AA6076" s="12">
        <f>N6076*O6076</f>
        <v/>
      </c>
    </row>
    <row r="6077">
      <c r="A6077" s="12" t="inlineStr">
        <is>
          <t>K-P-0004</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21: rectifier transformer 2 (7 MVA)</t>
        </is>
      </c>
      <c r="I6077" s="12" t="inlineStr">
        <is>
          <t>LV 600 V</t>
        </is>
      </c>
      <c r="J6077" s="12" t="inlineStr">
        <is>
          <t>ARMOR-X MC-HL 600 V 3/C Cu XHHW-2 + ground, CWA, black PVC (Class I Div 2)</t>
        </is>
      </c>
      <c r="K6077" s="12" t="inlineStr">
        <is>
          <t>LVAX|3/C+G|8</t>
        </is>
      </c>
      <c r="L6077" s="12" t="inlineStr">
        <is>
          <t>3/C+G</t>
        </is>
      </c>
      <c r="M6077" s="12" t="inlineStr">
        <is>
          <t>8</t>
        </is>
      </c>
      <c r="N6077" s="12" t="n">
        <v>1</v>
      </c>
      <c r="O6077" s="12" t="n">
        <v>1</v>
      </c>
      <c r="P6077" s="12" t="n">
        <v>480</v>
      </c>
      <c r="Q6077" s="12" t="n">
        <v>15</v>
      </c>
      <c r="R6077" s="12" t="n">
        <v>21.2</v>
      </c>
      <c r="S6077" s="12" t="inlineStr">
        <is>
          <t>Duct bank</t>
        </is>
      </c>
      <c r="T6077" s="15" t="n">
        <v>356</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2.5 %</t>
        </is>
      </c>
      <c r="AA6077" s="12">
        <f>N6077*O6077</f>
        <v/>
      </c>
    </row>
    <row r="6078">
      <c r="A6078" s="12" t="inlineStr">
        <is>
          <t>K-P-0005</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21: rectifier transformer 3 (7 MVA)</t>
        </is>
      </c>
      <c r="I6078" s="12" t="inlineStr">
        <is>
          <t>LV 600 V</t>
        </is>
      </c>
      <c r="J6078" s="12" t="inlineStr">
        <is>
          <t>ARMOR-X MC-HL 600 V 3/C Cu XHHW-2 + ground, CWA, black PVC (Class I Div 2)</t>
        </is>
      </c>
      <c r="K6078" s="12" t="inlineStr">
        <is>
          <t>LVAX|3/C+G|8</t>
        </is>
      </c>
      <c r="L6078" s="12" t="inlineStr">
        <is>
          <t>3/C+G</t>
        </is>
      </c>
      <c r="M6078" s="12" t="inlineStr">
        <is>
          <t>8</t>
        </is>
      </c>
      <c r="N6078" s="12" t="n">
        <v>1</v>
      </c>
      <c r="O6078" s="12" t="n">
        <v>1</v>
      </c>
      <c r="P6078" s="12" t="n">
        <v>480</v>
      </c>
      <c r="Q6078" s="12" t="n">
        <v>15</v>
      </c>
      <c r="R6078" s="12" t="n">
        <v>21.2</v>
      </c>
      <c r="S6078" s="12" t="inlineStr">
        <is>
          <t>Duct bank</t>
        </is>
      </c>
      <c r="T6078" s="15" t="n">
        <v>334</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2.4 %</t>
        </is>
      </c>
      <c r="AA6078" s="12">
        <f>N6078*O6078</f>
        <v/>
      </c>
    </row>
    <row r="6079">
      <c r="A6079" s="12" t="inlineStr">
        <is>
          <t>K-P-0006</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21: rectifier transformer 4 (7 MVA)</t>
        </is>
      </c>
      <c r="I6079" s="12" t="inlineStr">
        <is>
          <t>LV 600 V</t>
        </is>
      </c>
      <c r="J6079" s="12" t="inlineStr">
        <is>
          <t>ARMOR-X MC-HL 600 V 3/C Cu XHHW-2 + ground, CWA, black PVC (Class I Div 2)</t>
        </is>
      </c>
      <c r="K6079" s="12" t="inlineStr">
        <is>
          <t>LVAX|3/C+G|8</t>
        </is>
      </c>
      <c r="L6079" s="12" t="inlineStr">
        <is>
          <t>3/C+G</t>
        </is>
      </c>
      <c r="M6079" s="12" t="inlineStr">
        <is>
          <t>8</t>
        </is>
      </c>
      <c r="N6079" s="12" t="n">
        <v>1</v>
      </c>
      <c r="O6079" s="12" t="n">
        <v>1</v>
      </c>
      <c r="P6079" s="12" t="n">
        <v>480</v>
      </c>
      <c r="Q6079" s="12" t="n">
        <v>15</v>
      </c>
      <c r="R6079" s="12" t="n">
        <v>21.2</v>
      </c>
      <c r="S6079" s="12" t="inlineStr">
        <is>
          <t>Duct bank</t>
        </is>
      </c>
      <c r="T6079" s="15" t="n">
        <v>312</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2.2 %</t>
        </is>
      </c>
      <c r="AA6079" s="12">
        <f>N6079*O6079</f>
        <v/>
      </c>
    </row>
    <row r="6080">
      <c r="A6080" s="12" t="inlineStr">
        <is>
          <t>K-P-0007</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21: rectifier transformer 5 (7 MVA)</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254</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2.9 %</t>
        </is>
      </c>
      <c r="AA6080" s="12">
        <f>N6080*O6080</f>
        <v/>
      </c>
    </row>
    <row r="6081">
      <c r="A6081" s="12" t="inlineStr">
        <is>
          <t>K-P-0008</t>
        </is>
      </c>
      <c r="B6081" s="12" t="inlineStr">
        <is>
          <t>K</t>
        </is>
      </c>
      <c r="C6081" s="12" t="inlineStr">
        <is>
          <t>Fuel supply (adjacent market)</t>
        </is>
      </c>
      <c r="D6081" s="12" t="inlineStr">
        <is>
          <t>Motor 1 of 1, 15 kW</t>
        </is>
      </c>
      <c r="E6081" s="12" t="inlineStr"/>
      <c r="F6081" s="12" t="inlineStr">
        <is>
          <t>H2 20: 13.8 kV e-house</t>
        </is>
      </c>
      <c r="G6081" s="12" t="inlineStr">
        <is>
          <t>H2-EL</t>
        </is>
      </c>
      <c r="H6081" s="12" t="inlineStr">
        <is>
          <t>H2 22: electrolyzer building (5 x HyLYZER-1000 + 5 rectifiers)</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346</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2.4 %</t>
        </is>
      </c>
      <c r="AA6081" s="12">
        <f>N6081*O6081</f>
        <v/>
      </c>
    </row>
    <row r="6082">
      <c r="A6082" s="12" t="inlineStr">
        <is>
          <t>K-P-0009</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23: dry coolers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100</v>
      </c>
      <c r="U6082" s="15" t="n">
        <v>32</v>
      </c>
      <c r="V6082" s="15">
        <f>ROUNDUP((T6082+U6082+2*'Read Me'!$B$13)*(1+'Read Me'!$B$12),-1)</f>
        <v/>
      </c>
      <c r="W6082" s="15">
        <f>V6082*N6082*O6082</f>
        <v/>
      </c>
      <c r="X6082" s="12">
        <f>IF(LEFT(I6082,2)="MV",2*N6082*IF(L6082="1/C",O6082,1),0)</f>
        <v/>
      </c>
      <c r="Y6082" s="12">
        <f>IF(OR(LEFT(K6082,4)="LVAX",LEFT(K6082,6)="MV15AX",LEFT(K6082,4)="CTAX",LEFT(K6082,2)="W|"),2*N6082*O6082,0)</f>
        <v/>
      </c>
      <c r="Z6082" s="12" t="inlineStr">
        <is>
          <t>VD 1.3 %</t>
        </is>
      </c>
      <c r="AA6082" s="12">
        <f>N6082*O6082</f>
        <v/>
      </c>
    </row>
    <row r="6083">
      <c r="A6083" s="12" t="inlineStr">
        <is>
          <t>K-P-0010</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24: water purification (RO / EDI)</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146</v>
      </c>
      <c r="U6083" s="15" t="n">
        <v>32</v>
      </c>
      <c r="V6083" s="15">
        <f>ROUNDUP((T6083+U6083+2*'Read Me'!$B$13)*(1+'Read Me'!$B$12),-1)</f>
        <v/>
      </c>
      <c r="W6083" s="15">
        <f>V6083*N6083*O6083</f>
        <v/>
      </c>
      <c r="X6083" s="12">
        <f>IF(LEFT(I6083,2)="MV",2*N6083*IF(L6083="1/C",O6083,1),0)</f>
        <v/>
      </c>
      <c r="Y6083" s="12">
        <f>IF(OR(LEFT(K6083,4)="LVAX",LEFT(K6083,6)="MV15AX",LEFT(K6083,4)="CTAX",LEFT(K6083,2)="W|"),2*N6083*O6083,0)</f>
        <v/>
      </c>
      <c r="Z6083" s="12" t="inlineStr">
        <is>
          <t>VD 1.8 %</t>
        </is>
      </c>
      <c r="AA6083" s="12">
        <f>N6083*O6083</f>
        <v/>
      </c>
    </row>
    <row r="6084">
      <c r="A6084" s="12" t="inlineStr">
        <is>
          <t>K-P-0011</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25: H2 dryer / purification</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0</v>
      </c>
      <c r="U6084" s="15" t="n">
        <v>49</v>
      </c>
      <c r="V6084" s="15">
        <f>ROUNDUP((T6084+U6084+2*'Read Me'!$B$13)*(1+'Read Me'!$B$12),-1)</f>
        <v/>
      </c>
      <c r="W6084" s="15">
        <f>V6084*N6084*O6084</f>
        <v/>
      </c>
      <c r="X6084" s="12">
        <f>IF(LEFT(I6084,2)="MV",2*N6084*IF(L6084="1/C",O6084,1),0)</f>
        <v/>
      </c>
      <c r="Y6084" s="12">
        <f>IF(OR(LEFT(K6084,4)="LVAX",LEFT(K6084,6)="MV15AX",LEFT(K6084,4)="CTAX",LEFT(K6084,2)="W|"),2*N6084*O6084,0)</f>
        <v/>
      </c>
      <c r="Z6084" s="12" t="inlineStr">
        <is>
          <t>VD 0.5 %</t>
        </is>
      </c>
      <c r="AA6084" s="12">
        <f>N6084*O6084</f>
        <v/>
      </c>
    </row>
    <row r="6085">
      <c r="A6085" s="12" t="inlineStr">
        <is>
          <t>K-P-0012</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26: H2 compressor 1 (40 ft ISO)</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is>
          <t>VD 0.8 %</t>
        </is>
      </c>
      <c r="AA6085" s="12">
        <f>N6085*O6085</f>
        <v/>
      </c>
    </row>
    <row r="6086">
      <c r="A6086" s="12" t="inlineStr">
        <is>
          <t>K-P-0013</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26: H2 compressor 2 (40 ft ISO)</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50</v>
      </c>
      <c r="U6086" s="15" t="n">
        <v>47</v>
      </c>
      <c r="V6086" s="15">
        <f>ROUNDUP((T6086+U6086+2*'Read Me'!$B$13)*(1+'Read Me'!$B$12),-1)</f>
        <v/>
      </c>
      <c r="W6086" s="15">
        <f>V6086*N6086*O6086</f>
        <v/>
      </c>
      <c r="X6086" s="12">
        <f>IF(LEFT(I6086,2)="MV",2*N6086*IF(L6086="1/C",O6086,1),0)</f>
        <v/>
      </c>
      <c r="Y6086" s="12">
        <f>IF(OR(LEFT(K6086,4)="LVAX",LEFT(K6086,6)="MV15AX",LEFT(K6086,4)="CTAX",LEFT(K6086,2)="W|"),2*N6086*O6086,0)</f>
        <v/>
      </c>
      <c r="Z6086" s="12" t="inlineStr">
        <is>
          <t>VD 1.0 %</t>
        </is>
      </c>
      <c r="AA6086" s="12">
        <f>N6086*O6086</f>
        <v/>
      </c>
    </row>
    <row r="6087">
      <c r="A6087" s="12" t="inlineStr">
        <is>
          <t>K-P-0014</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27: storage tube bank (~40 ft tubes)</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50</v>
      </c>
      <c r="U6087" s="15" t="n">
        <v>97</v>
      </c>
      <c r="V6087" s="15">
        <f>ROUNDUP((T6087+U6087+2*'Read Me'!$B$13)*(1+'Read Me'!$B$12),-1)</f>
        <v/>
      </c>
      <c r="W6087" s="15">
        <f>V6087*N6087*O6087</f>
        <v/>
      </c>
      <c r="X6087" s="12">
        <f>IF(LEFT(I6087,2)="MV",2*N6087*IF(L6087="1/C",O6087,1),0)</f>
        <v/>
      </c>
      <c r="Y6087" s="12">
        <f>IF(OR(LEFT(K6087,4)="LVAX",LEFT(K6087,6)="MV15AX",LEFT(K6087,4)="CTAX",LEFT(K6087,2)="W|"),2*N6087*O6087,0)</f>
        <v/>
      </c>
      <c r="Z6087" s="12" t="inlineStr">
        <is>
          <t>VD 1.5 %</t>
        </is>
      </c>
      <c r="AA6087" s="12">
        <f>N6087*O6087</f>
        <v/>
      </c>
    </row>
    <row r="6088">
      <c r="A6088" s="12" t="inlineStr">
        <is>
          <t>K-P-0015</t>
        </is>
      </c>
      <c r="B6088" s="12" t="inlineStr">
        <is>
          <t>K</t>
        </is>
      </c>
      <c r="C6088" s="12" t="inlineStr">
        <is>
          <t>Fuel supply (adjacent market)</t>
        </is>
      </c>
      <c r="D6088" s="12" t="inlineStr">
        <is>
          <t>Motor 1 of 1, 15 kW</t>
        </is>
      </c>
      <c r="E6088" s="12" t="inlineStr"/>
      <c r="F6088" s="12" t="inlineStr">
        <is>
          <t>H2 20: 13.8 kV e-house</t>
        </is>
      </c>
      <c r="G6088" s="12" t="inlineStr"/>
      <c r="H6088" s="12" t="inlineStr">
        <is>
          <t>H2 27: storage tube bank (~40 ft tubes)</t>
        </is>
      </c>
      <c r="I6088" s="12" t="inlineStr">
        <is>
          <t>LV 600 V</t>
        </is>
      </c>
      <c r="J6088" s="12" t="inlineStr">
        <is>
          <t>ARMOR-X MC-HL 600 V 3/C Cu XHHW-2 + ground, CWA, black PVC (Class I Div 2)</t>
        </is>
      </c>
      <c r="K6088" s="12" t="inlineStr">
        <is>
          <t>LVAX|3/C+G|10</t>
        </is>
      </c>
      <c r="L6088" s="12" t="inlineStr">
        <is>
          <t>3/C+G</t>
        </is>
      </c>
      <c r="M6088" s="12" t="inlineStr">
        <is>
          <t>10</t>
        </is>
      </c>
      <c r="N6088" s="12" t="n">
        <v>1</v>
      </c>
      <c r="O6088" s="12" t="n">
        <v>1</v>
      </c>
      <c r="P6088" s="12" t="n">
        <v>480</v>
      </c>
      <c r="Q6088" s="12" t="n">
        <v>15</v>
      </c>
      <c r="R6088" s="12" t="n">
        <v>21.2</v>
      </c>
      <c r="S6088" s="12" t="inlineStr">
        <is>
          <t>Duct bank</t>
        </is>
      </c>
      <c r="T6088" s="15" t="n">
        <v>50</v>
      </c>
      <c r="U6088" s="15" t="n">
        <v>117</v>
      </c>
      <c r="V6088" s="15">
        <f>ROUNDUP((T6088+U6088+2*'Read Me'!$B$13)*(1+'Read Me'!$B$12),-1)</f>
        <v/>
      </c>
      <c r="W6088" s="15">
        <f>V6088*N6088*O6088</f>
        <v/>
      </c>
      <c r="X6088" s="12">
        <f>IF(LEFT(I6088,2)="MV",2*N6088*IF(L6088="1/C",O6088,1),0)</f>
        <v/>
      </c>
      <c r="Y6088" s="12">
        <f>IF(OR(LEFT(K6088,4)="LVAX",LEFT(K6088,6)="MV15AX",LEFT(K6088,4)="CTAX",LEFT(K6088,2)="W|"),2*N6088*O6088,0)</f>
        <v/>
      </c>
      <c r="Z6088" s="12" t="inlineStr">
        <is>
          <t>VD 1.7 %</t>
        </is>
      </c>
      <c r="AA6088" s="12">
        <f>N6088*O6088</f>
        <v/>
      </c>
    </row>
    <row r="6089">
      <c r="A6089" s="12" t="inlineStr">
        <is>
          <t>K-P-0016</t>
        </is>
      </c>
      <c r="B6089" s="12" t="inlineStr">
        <is>
          <t>K</t>
        </is>
      </c>
      <c r="C6089" s="12" t="inlineStr">
        <is>
          <t>Fuel supply (adjacent market)</t>
        </is>
      </c>
      <c r="D6089" s="12" t="inlineStr">
        <is>
          <t>Motor 1 of 1, 15 kW</t>
        </is>
      </c>
      <c r="E6089" s="12" t="inlineStr"/>
      <c r="F6089" s="12" t="inlineStr">
        <is>
          <t>H2 20: 13.8 kV e-house</t>
        </is>
      </c>
      <c r="G6089" s="12" t="inlineStr"/>
      <c r="H6089" s="12" t="inlineStr">
        <is>
          <t>H2 27: storage tube bank (~40 ft tubes)</t>
        </is>
      </c>
      <c r="I6089" s="12" t="inlineStr">
        <is>
          <t>LV 600 V</t>
        </is>
      </c>
      <c r="J6089" s="12" t="inlineStr">
        <is>
          <t>ARMOR-X MC-HL 600 V 3/C Cu XHHW-2 + ground, CWA, black PVC (Class I Div 2)</t>
        </is>
      </c>
      <c r="K6089" s="12" t="inlineStr">
        <is>
          <t>LVAX|3/C+G|10</t>
        </is>
      </c>
      <c r="L6089" s="12" t="inlineStr">
        <is>
          <t>3/C+G</t>
        </is>
      </c>
      <c r="M6089" s="12" t="inlineStr">
        <is>
          <t>10</t>
        </is>
      </c>
      <c r="N6089" s="12" t="n">
        <v>1</v>
      </c>
      <c r="O6089" s="12" t="n">
        <v>1</v>
      </c>
      <c r="P6089" s="12" t="n">
        <v>480</v>
      </c>
      <c r="Q6089" s="12" t="n">
        <v>15</v>
      </c>
      <c r="R6089" s="12" t="n">
        <v>21.2</v>
      </c>
      <c r="S6089" s="12" t="inlineStr">
        <is>
          <t>Duct bank</t>
        </is>
      </c>
      <c r="T6089" s="15" t="n">
        <v>50</v>
      </c>
      <c r="U6089" s="15" t="n">
        <v>97</v>
      </c>
      <c r="V6089" s="15">
        <f>ROUNDUP((T6089+U6089+2*'Read Me'!$B$13)*(1+'Read Me'!$B$12),-1)</f>
        <v/>
      </c>
      <c r="W6089" s="15">
        <f>V6089*N6089*O6089</f>
        <v/>
      </c>
      <c r="X6089" s="12">
        <f>IF(LEFT(I6089,2)="MV",2*N6089*IF(L6089="1/C",O6089,1),0)</f>
        <v/>
      </c>
      <c r="Y6089" s="12">
        <f>IF(OR(LEFT(K6089,4)="LVAX",LEFT(K6089,6)="MV15AX",LEFT(K6089,4)="CTAX",LEFT(K6089,2)="W|"),2*N6089*O6089,0)</f>
        <v/>
      </c>
      <c r="Z6089" s="12" t="inlineStr">
        <is>
          <t>VD 1.5 %</t>
        </is>
      </c>
      <c r="AA6089" s="12">
        <f>N6089*O6089</f>
        <v/>
      </c>
    </row>
    <row r="6090">
      <c r="A6090" s="12" t="inlineStr">
        <is>
          <t>K-P-0017</t>
        </is>
      </c>
      <c r="B6090" s="12" t="inlineStr">
        <is>
          <t>K</t>
        </is>
      </c>
      <c r="C6090" s="12" t="inlineStr">
        <is>
          <t>Fuel supply (adjacent market)</t>
        </is>
      </c>
      <c r="D6090" s="12" t="inlineStr">
        <is>
          <t>Motor 1 of 1, 15 kW</t>
        </is>
      </c>
      <c r="E6090" s="12" t="inlineStr"/>
      <c r="F6090" s="12" t="inlineStr">
        <is>
          <t>H2 20: 13.8 kV e-house</t>
        </is>
      </c>
      <c r="G6090" s="12" t="inlineStr"/>
      <c r="H6090" s="12" t="inlineStr">
        <is>
          <t>H2 27: storage tube bank (~40 ft tubes)</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50</v>
      </c>
      <c r="U6090" s="15" t="n">
        <v>117</v>
      </c>
      <c r="V6090" s="15">
        <f>ROUNDUP((T6090+U6090+2*'Read Me'!$B$13)*(1+'Read Me'!$B$12),-1)</f>
        <v/>
      </c>
      <c r="W6090" s="15">
        <f>V6090*N6090*O6090</f>
        <v/>
      </c>
      <c r="X6090" s="12">
        <f>IF(LEFT(I6090,2)="MV",2*N6090*IF(L6090="1/C",O6090,1),0)</f>
        <v/>
      </c>
      <c r="Y6090" s="12">
        <f>IF(OR(LEFT(K6090,4)="LVAX",LEFT(K6090,6)="MV15AX",LEFT(K6090,4)="CTAX",LEFT(K6090,2)="W|"),2*N6090*O6090,0)</f>
        <v/>
      </c>
      <c r="Z6090" s="12" t="inlineStr">
        <is>
          <t>VD 1.7 %</t>
        </is>
      </c>
      <c r="AA6090" s="12">
        <f>N6090*O6090</f>
        <v/>
      </c>
    </row>
    <row r="6091">
      <c r="A6091" s="12" t="inlineStr">
        <is>
          <t>K-P-0018</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28: N2 purge supply</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53</v>
      </c>
      <c r="U6091" s="15" t="n">
        <v>36</v>
      </c>
      <c r="V6091" s="15">
        <f>ROUNDUP((T6091+U6091+2*'Read Me'!$B$13)*(1+'Read Me'!$B$12),-1)</f>
        <v/>
      </c>
      <c r="W6091" s="15">
        <f>V6091*N6091*O6091</f>
        <v/>
      </c>
      <c r="X6091" s="12">
        <f>IF(LEFT(I6091,2)="MV",2*N6091*IF(L6091="1/C",O6091,1),0)</f>
        <v/>
      </c>
      <c r="Y6091" s="12">
        <f>IF(OR(LEFT(K6091,4)="LVAX",LEFT(K6091,6)="MV15AX",LEFT(K6091,4)="CTAX",LEFT(K6091,2)="W|"),2*N6091*O6091,0)</f>
        <v/>
      </c>
      <c r="Z6091" s="12" t="inlineStr">
        <is>
          <t>VD 0.9 %</t>
        </is>
      </c>
      <c r="AA6091" s="12">
        <f>N6091*O6091</f>
        <v/>
      </c>
    </row>
    <row r="6092">
      <c r="A6092" s="12" t="inlineStr">
        <is>
          <t>K-P-0019</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29: vent stack</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55</v>
      </c>
      <c r="U6092" s="15" t="n">
        <v>205</v>
      </c>
      <c r="V6092" s="15">
        <f>ROUNDUP((T6092+U6092+2*'Read Me'!$B$13)*(1+'Read Me'!$B$12),-1)</f>
        <v/>
      </c>
      <c r="W6092" s="15">
        <f>V6092*N6092*O6092</f>
        <v/>
      </c>
      <c r="X6092" s="12">
        <f>IF(LEFT(I6092,2)="MV",2*N6092*IF(L6092="1/C",O6092,1),0)</f>
        <v/>
      </c>
      <c r="Y6092" s="12">
        <f>IF(OR(LEFT(K6092,4)="LVAX",LEFT(K6092,6)="MV15AX",LEFT(K6092,4)="CTAX",LEFT(K6092,2)="W|"),2*N6092*O6092,0)</f>
        <v/>
      </c>
      <c r="Z6092" s="12" t="inlineStr">
        <is>
          <t>VD 2.7 %</t>
        </is>
      </c>
      <c r="AA6092" s="12">
        <f>N6092*O6092</f>
        <v/>
      </c>
    </row>
    <row r="6093">
      <c r="A6093" s="12" t="inlineStr">
        <is>
          <t>K-P-0020</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H2 30: H2 / gas blending station (plant gas yard)</t>
        </is>
      </c>
      <c r="I6093" s="12" t="inlineStr">
        <is>
          <t>LV 600 V</t>
        </is>
      </c>
      <c r="J6093" s="12" t="inlineStr">
        <is>
          <t>ARMOR-X MC-HL 600 V 3/C Cu XHHW-2 + ground, CWA, black PVC (Class I Div 2)</t>
        </is>
      </c>
      <c r="K6093" s="12" t="inlineStr">
        <is>
          <t>LVAX|3/C+G|4</t>
        </is>
      </c>
      <c r="L6093" s="12" t="inlineStr">
        <is>
          <t>3/C+G</t>
        </is>
      </c>
      <c r="M6093" s="12" t="inlineStr">
        <is>
          <t>4</t>
        </is>
      </c>
      <c r="N6093" s="12" t="n">
        <v>1</v>
      </c>
      <c r="O6093" s="12" t="n">
        <v>1</v>
      </c>
      <c r="P6093" s="12" t="n">
        <v>480</v>
      </c>
      <c r="Q6093" s="12" t="n">
        <v>15</v>
      </c>
      <c r="R6093" s="12" t="n">
        <v>21.2</v>
      </c>
      <c r="S6093" s="12" t="inlineStr">
        <is>
          <t>Duct bank</t>
        </is>
      </c>
      <c r="T6093" s="15" t="n">
        <v>994</v>
      </c>
      <c r="U6093" s="15" t="n">
        <v>114</v>
      </c>
      <c r="V6093" s="15">
        <f>ROUNDUP((T6093+U6093+2*'Read Me'!$B$13)*(1+'Read Me'!$B$12),-1)</f>
        <v/>
      </c>
      <c r="W6093" s="15">
        <f>V6093*N6093*O6093</f>
        <v/>
      </c>
      <c r="X6093" s="12">
        <f>IF(LEFT(I6093,2)="MV",2*N6093*IF(L6093="1/C",O6093,1),0)</f>
        <v/>
      </c>
      <c r="Y6093" s="12">
        <f>IF(OR(LEFT(K6093,4)="LVAX",LEFT(K6093,6)="MV15AX",LEFT(K6093,4)="CTAX",LEFT(K6093,2)="W|"),2*N6093*O6093,0)</f>
        <v/>
      </c>
      <c r="Z6093" s="12" t="inlineStr">
        <is>
          <t>VD 2.9 %</t>
        </is>
      </c>
      <c r="AA6093" s="12">
        <f>N6093*O6093</f>
        <v/>
      </c>
    </row>
    <row r="6094">
      <c r="A6094" s="12" t="inlineStr">
        <is>
          <t>K-P-0021</t>
        </is>
      </c>
      <c r="B6094" s="12" t="inlineStr">
        <is>
          <t>K</t>
        </is>
      </c>
      <c r="C6094" s="12" t="inlineStr">
        <is>
          <t>Fuel supply (adjacent market)</t>
        </is>
      </c>
      <c r="D6094" s="12" t="inlineStr">
        <is>
          <t>Motor 1 of 2, 250 kW</t>
        </is>
      </c>
      <c r="E6094" s="12" t="inlineStr"/>
      <c r="F6094" s="12" t="inlineStr">
        <is>
          <t>H2 20: 13.8 kV e-house</t>
        </is>
      </c>
      <c r="G6094" s="12" t="inlineStr"/>
      <c r="H6094" s="12" t="inlineStr">
        <is>
          <t>H2 pipe track and cable trench, hall -&gt; dryer / compressors (N2, instr</t>
        </is>
      </c>
      <c r="I6094" s="12" t="inlineStr">
        <is>
          <t>LV 600 V</t>
        </is>
      </c>
      <c r="J6094" s="12" t="inlineStr">
        <is>
          <t>ARMOR-X MC-HL 600 V 3/C Cu XHHW-2 + ground, CWA, black PVC (Class I Div 2)</t>
        </is>
      </c>
      <c r="K6094" s="12" t="inlineStr">
        <is>
          <t>LVAX|3/C+G|4/0</t>
        </is>
      </c>
      <c r="L6094" s="12" t="inlineStr">
        <is>
          <t>3/C+G</t>
        </is>
      </c>
      <c r="M6094" s="12" t="inlineStr">
        <is>
          <t>4/0</t>
        </is>
      </c>
      <c r="N6094" s="12" t="n">
        <v>2</v>
      </c>
      <c r="O6094" s="12" t="n">
        <v>1</v>
      </c>
      <c r="P6094" s="12" t="n">
        <v>480</v>
      </c>
      <c r="Q6094" s="12" t="n">
        <v>250</v>
      </c>
      <c r="R6094" s="12" t="n">
        <v>353.8</v>
      </c>
      <c r="S6094" s="12" t="inlineStr">
        <is>
          <t>Duct bank</t>
        </is>
      </c>
      <c r="T6094" s="15" t="n">
        <v>53</v>
      </c>
      <c r="U6094" s="15" t="n">
        <v>62</v>
      </c>
      <c r="V6094" s="15">
        <f>ROUNDUP((T6094+U6094+2*'Read Me'!$B$13)*(1+'Read Me'!$B$12),-1)</f>
        <v/>
      </c>
      <c r="W6094" s="15">
        <f>V6094*N6094*O6094</f>
        <v/>
      </c>
      <c r="X6094" s="12">
        <f>IF(LEFT(I6094,2)="MV",2*N6094*IF(L6094="1/C",O6094,1),0)</f>
        <v/>
      </c>
      <c r="Y6094" s="12">
        <f>IF(OR(LEFT(K6094,4)="LVAX",LEFT(K6094,6)="MV15AX",LEFT(K6094,4)="CTAX",LEFT(K6094,2)="W|"),2*N6094*O6094,0)</f>
        <v/>
      </c>
      <c r="Z6094" s="12" t="inlineStr">
        <is>
          <t>VD 0.5 %</t>
        </is>
      </c>
      <c r="AA6094" s="12">
        <f>N6094*O6094</f>
        <v/>
      </c>
    </row>
    <row r="6095">
      <c r="A6095" s="12" t="inlineStr">
        <is>
          <t>K-P-0022</t>
        </is>
      </c>
      <c r="B6095" s="12" t="inlineStr">
        <is>
          <t>K</t>
        </is>
      </c>
      <c r="C6095" s="12" t="inlineStr">
        <is>
          <t>Fuel supply (adjacent market)</t>
        </is>
      </c>
      <c r="D6095" s="12" t="inlineStr">
        <is>
          <t>Motor 2 of 2, 250 kW</t>
        </is>
      </c>
      <c r="E6095" s="12" t="inlineStr"/>
      <c r="F6095" s="12" t="inlineStr">
        <is>
          <t>H2 20: 13.8 kV e-house</t>
        </is>
      </c>
      <c r="G6095" s="12" t="inlineStr"/>
      <c r="H6095" s="12" t="inlineStr">
        <is>
          <t>H2 pipe track and cable trench, hall -&gt; dryer / compressors (N2, instr</t>
        </is>
      </c>
      <c r="I6095" s="12" t="inlineStr">
        <is>
          <t>LV 600 V</t>
        </is>
      </c>
      <c r="J6095" s="12" t="inlineStr">
        <is>
          <t>ARMOR-X MC-HL 600 V 3/C Cu XHHW-2 + ground, CWA, black PVC (Class I Div 2)</t>
        </is>
      </c>
      <c r="K6095" s="12" t="inlineStr">
        <is>
          <t>LVAX|3/C+G|4/0</t>
        </is>
      </c>
      <c r="L6095" s="12" t="inlineStr">
        <is>
          <t>3/C+G</t>
        </is>
      </c>
      <c r="M6095" s="12" t="inlineStr">
        <is>
          <t>4/0</t>
        </is>
      </c>
      <c r="N6095" s="12" t="n">
        <v>2</v>
      </c>
      <c r="O6095" s="12" t="n">
        <v>1</v>
      </c>
      <c r="P6095" s="12" t="n">
        <v>480</v>
      </c>
      <c r="Q6095" s="12" t="n">
        <v>250</v>
      </c>
      <c r="R6095" s="12" t="n">
        <v>353.8</v>
      </c>
      <c r="S6095" s="12" t="inlineStr">
        <is>
          <t>Duct bank</t>
        </is>
      </c>
      <c r="T6095" s="15" t="n">
        <v>53</v>
      </c>
      <c r="U6095" s="15" t="n">
        <v>62</v>
      </c>
      <c r="V6095" s="15">
        <f>ROUNDUP((T6095+U6095+2*'Read Me'!$B$13)*(1+'Read Me'!$B$12),-1)</f>
        <v/>
      </c>
      <c r="W6095" s="15">
        <f>V6095*N6095*O6095</f>
        <v/>
      </c>
      <c r="X6095" s="12">
        <f>IF(LEFT(I6095,2)="MV",2*N6095*IF(L6095="1/C",O6095,1),0)</f>
        <v/>
      </c>
      <c r="Y6095" s="12">
        <f>IF(OR(LEFT(K6095,4)="LVAX",LEFT(K6095,6)="MV15AX",LEFT(K6095,4)="CTAX",LEFT(K6095,2)="W|"),2*N6095*O6095,0)</f>
        <v/>
      </c>
      <c r="Z6095" s="12" t="inlineStr">
        <is>
          <t>VD 0.5 %</t>
        </is>
      </c>
      <c r="AA6095" s="12">
        <f>N6095*O6095</f>
        <v/>
      </c>
    </row>
    <row r="6096">
      <c r="A6096" s="12" t="inlineStr">
        <is>
          <t>K-P-0023</t>
        </is>
      </c>
      <c r="B6096" s="12" t="inlineStr">
        <is>
          <t>K</t>
        </is>
      </c>
      <c r="C6096" s="12" t="inlineStr">
        <is>
          <t>Fuel supply (adjacent market)</t>
        </is>
      </c>
      <c r="D6096" s="12" t="inlineStr">
        <is>
          <t>LV power feeder</t>
        </is>
      </c>
      <c r="E6096" s="12" t="inlineStr"/>
      <c r="F6096" s="12" t="inlineStr">
        <is>
          <t>H2 20: 13.8 kV e-house</t>
        </is>
      </c>
      <c r="G6096" s="12" t="inlineStr">
        <is>
          <t>H2-ST</t>
        </is>
      </c>
      <c r="H6096" s="12" t="inlineStr">
        <is>
          <t>H2 storage tube banks x4</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50</v>
      </c>
      <c r="U6096" s="15" t="n">
        <v>92</v>
      </c>
      <c r="V6096" s="15">
        <f>ROUNDUP((T6096+U6096+2*'Read Me'!$B$13)*(1+'Read Me'!$B$12),-1)</f>
        <v/>
      </c>
      <c r="W6096" s="15">
        <f>V6096*N6096*O6096</f>
        <v/>
      </c>
      <c r="X6096" s="12">
        <f>IF(LEFT(I6096,2)="MV",2*N6096*IF(L6096="1/C",O6096,1),0)</f>
        <v/>
      </c>
      <c r="Y6096" s="12">
        <f>IF(OR(LEFT(K6096,4)="LVAX",LEFT(K6096,6)="MV15AX",LEFT(K6096,4)="CTAX",LEFT(K6096,2)="W|"),2*N6096*O6096,0)</f>
        <v/>
      </c>
      <c r="Z6096" s="12" t="inlineStr">
        <is>
          <t>VD 1.4 %</t>
        </is>
      </c>
      <c r="AA6096" s="12">
        <f>N6096*O6096</f>
        <v/>
      </c>
    </row>
    <row r="6097">
      <c r="A6097" s="12" t="inlineStr">
        <is>
          <t>K-P-0024</t>
        </is>
      </c>
      <c r="B6097" s="12" t="inlineStr">
        <is>
          <t>K</t>
        </is>
      </c>
      <c r="C6097" s="12" t="inlineStr">
        <is>
          <t>Fuel supply (adjacent market)</t>
        </is>
      </c>
      <c r="D6097" s="12" t="inlineStr">
        <is>
          <t>LV power feeder</t>
        </is>
      </c>
      <c r="E6097" s="12" t="inlineStr"/>
      <c r="F6097" s="12" t="inlineStr">
        <is>
          <t>H2 20: 13.8 kV e-house</t>
        </is>
      </c>
      <c r="G6097" s="12" t="inlineStr">
        <is>
          <t>H2R</t>
        </is>
      </c>
      <c r="H6097" s="12" t="inlineStr">
        <is>
          <t>H2R: hydrogen pipeline receiving station (pig receiver, filters, meter</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15</v>
      </c>
      <c r="R6097" s="12" t="n">
        <v>21.2</v>
      </c>
      <c r="S6097" s="12" t="inlineStr">
        <is>
          <t>Duct bank</t>
        </is>
      </c>
      <c r="T6097" s="15" t="n">
        <v>40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0.7 %</t>
        </is>
      </c>
      <c r="AA6097" s="12">
        <f>N6097*O6097</f>
        <v/>
      </c>
    </row>
    <row r="6098">
      <c r="A6098" s="12" t="inlineStr">
        <is>
          <t>K-P-0025</t>
        </is>
      </c>
      <c r="B6098" s="12" t="inlineStr">
        <is>
          <t>K</t>
        </is>
      </c>
      <c r="C6098" s="12" t="inlineStr">
        <is>
          <t>Fuel supply (adjacent market)</t>
        </is>
      </c>
      <c r="D6098" s="12" t="inlineStr">
        <is>
          <t>Motor 1 of 1, 15 kW</t>
        </is>
      </c>
      <c r="E6098" s="12" t="inlineStr"/>
      <c r="F6098" s="12" t="inlineStr">
        <is>
          <t>LNG 17: LNG e-house (13.8 kV / 480 V)</t>
        </is>
      </c>
      <c r="G6098" s="12" t="inlineStr"/>
      <c r="H6098" s="12" t="inlineStr">
        <is>
          <t>LNG 10: truck unloading bay 1</t>
        </is>
      </c>
      <c r="I6098" s="12" t="inlineStr">
        <is>
          <t>LV 600 V</t>
        </is>
      </c>
      <c r="J6098" s="12" t="inlineStr">
        <is>
          <t>ARMOR-X MC-HL 600 V 3/C Cu XHHW-2 + ground, CWA, black PVC (Class I Div 2)</t>
        </is>
      </c>
      <c r="K6098" s="12" t="inlineStr">
        <is>
          <t>LVAX|3/C+G|8</t>
        </is>
      </c>
      <c r="L6098" s="12" t="inlineStr">
        <is>
          <t>3/C+G</t>
        </is>
      </c>
      <c r="M6098" s="12" t="inlineStr">
        <is>
          <t>8</t>
        </is>
      </c>
      <c r="N6098" s="12" t="n">
        <v>1</v>
      </c>
      <c r="O6098" s="12" t="n">
        <v>1</v>
      </c>
      <c r="P6098" s="12" t="n">
        <v>480</v>
      </c>
      <c r="Q6098" s="12" t="n">
        <v>15</v>
      </c>
      <c r="R6098" s="12" t="n">
        <v>21.2</v>
      </c>
      <c r="S6098" s="12" t="inlineStr">
        <is>
          <t>Duct bank</t>
        </is>
      </c>
      <c r="T6098" s="15" t="n">
        <v>237</v>
      </c>
      <c r="U6098" s="15" t="n">
        <v>61</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K-P-0026</t>
        </is>
      </c>
      <c r="B6099" s="12" t="inlineStr">
        <is>
          <t>K</t>
        </is>
      </c>
      <c r="C6099" s="12" t="inlineStr">
        <is>
          <t>Fuel supply (adjacent market)</t>
        </is>
      </c>
      <c r="D6099" s="12" t="inlineStr">
        <is>
          <t>Motor 1 of 1, 15 kW</t>
        </is>
      </c>
      <c r="E6099" s="12" t="inlineStr"/>
      <c r="F6099" s="12" t="inlineStr">
        <is>
          <t>LNG 17: LNG e-house (13.8 kV / 480 V)</t>
        </is>
      </c>
      <c r="G6099" s="12" t="inlineStr"/>
      <c r="H6099" s="12" t="inlineStr">
        <is>
          <t>LNG 10: truck unloading bay 2</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15</v>
      </c>
      <c r="R6099" s="12" t="n">
        <v>21.2</v>
      </c>
      <c r="S6099" s="12" t="inlineStr">
        <is>
          <t>Duct bank</t>
        </is>
      </c>
      <c r="T6099" s="15" t="n">
        <v>147</v>
      </c>
      <c r="U6099" s="15" t="n">
        <v>66</v>
      </c>
      <c r="V6099" s="15">
        <f>ROUNDUP((T6099+U6099+2*'Read Me'!$B$13)*(1+'Read Me'!$B$12),-1)</f>
        <v/>
      </c>
      <c r="W6099" s="15">
        <f>V6099*N6099*O6099</f>
        <v/>
      </c>
      <c r="X6099" s="12">
        <f>IF(LEFT(I6099,2)="MV",2*N6099*IF(L6099="1/C",O6099,1),0)</f>
        <v/>
      </c>
      <c r="Y6099" s="12">
        <f>IF(OR(LEFT(K6099,4)="LVAX",LEFT(K6099,6)="MV15AX",LEFT(K6099,4)="CTAX",LEFT(K6099,2)="W|"),2*N6099*O6099,0)</f>
        <v/>
      </c>
      <c r="Z6099" s="12" t="inlineStr">
        <is>
          <t>VD 2.2 %</t>
        </is>
      </c>
      <c r="AA6099" s="12">
        <f>N6099*O6099</f>
        <v/>
      </c>
    </row>
    <row r="6100">
      <c r="A6100" s="12" t="inlineStr">
        <is>
          <t>K-P-0027</t>
        </is>
      </c>
      <c r="B6100" s="12" t="inlineStr">
        <is>
          <t>K</t>
        </is>
      </c>
      <c r="C6100" s="12" t="inlineStr">
        <is>
          <t>Fuel supply (adjacent market)</t>
        </is>
      </c>
      <c r="D6100" s="12" t="inlineStr">
        <is>
          <t>Motor 1 of 1, 15 kW</t>
        </is>
      </c>
      <c r="E6100" s="12" t="inlineStr"/>
      <c r="F6100" s="12" t="inlineStr">
        <is>
          <t>LNG 17: LNG e-house (13.8 kV / 480 V)</t>
        </is>
      </c>
      <c r="G6100" s="12" t="inlineStr"/>
      <c r="H6100" s="12" t="inlineStr">
        <is>
          <t>LNG 10: unloading skid</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237</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2.7 %</t>
        </is>
      </c>
      <c r="AA6100" s="12">
        <f>N6100*O6100</f>
        <v/>
      </c>
    </row>
    <row r="6101">
      <c r="A6101" s="12" t="inlineStr">
        <is>
          <t>K-P-0028</t>
        </is>
      </c>
      <c r="B6101" s="12" t="inlineStr">
        <is>
          <t>K</t>
        </is>
      </c>
      <c r="C6101" s="12" t="inlineStr">
        <is>
          <t>Fuel supply (adjacent market)</t>
        </is>
      </c>
      <c r="D6101" s="12" t="inlineStr">
        <is>
          <t>LV power feeder</t>
        </is>
      </c>
      <c r="E6101" s="12" t="inlineStr"/>
      <c r="F6101" s="12" t="inlineStr">
        <is>
          <t>LNG 17: LNG e-house (13.8 kV / 480 V)</t>
        </is>
      </c>
      <c r="G6101" s="12" t="inlineStr">
        <is>
          <t>LNG-T1</t>
        </is>
      </c>
      <c r="H6101" s="12" t="inlineStr">
        <is>
          <t>LNG 11: tank 1,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210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1.6 %</t>
        </is>
      </c>
      <c r="AA6101" s="12">
        <f>N6101*O6101</f>
        <v/>
      </c>
    </row>
    <row r="6102">
      <c r="A6102" s="12" t="inlineStr">
        <is>
          <t>K-P-0029</t>
        </is>
      </c>
      <c r="B6102" s="12" t="inlineStr">
        <is>
          <t>K</t>
        </is>
      </c>
      <c r="C6102" s="12" t="inlineStr">
        <is>
          <t>Fuel supply (adjacent market)</t>
        </is>
      </c>
      <c r="D6102" s="12" t="inlineStr">
        <is>
          <t>LV power feeder</t>
        </is>
      </c>
      <c r="E6102" s="12" t="inlineStr"/>
      <c r="F6102" s="12" t="inlineStr">
        <is>
          <t>LNG 17: LNG e-house (13.8 kV / 480 V)</t>
        </is>
      </c>
      <c r="G6102" s="12" t="inlineStr">
        <is>
          <t>LNG-T2</t>
        </is>
      </c>
      <c r="H6102" s="12" t="inlineStr">
        <is>
          <t>LNG 11: tank 2,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230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1.8 %</t>
        </is>
      </c>
      <c r="AA6102" s="12">
        <f>N6102*O6102</f>
        <v/>
      </c>
    </row>
    <row r="6103">
      <c r="A6103" s="12" t="inlineStr">
        <is>
          <t>K-P-0030</t>
        </is>
      </c>
      <c r="B6103" s="12" t="inlineStr">
        <is>
          <t>K</t>
        </is>
      </c>
      <c r="C6103" s="12" t="inlineStr">
        <is>
          <t>Fuel supply (adjacent market)</t>
        </is>
      </c>
      <c r="D6103" s="12" t="inlineStr">
        <is>
          <t>LV power feeder</t>
        </is>
      </c>
      <c r="E6103" s="12" t="inlineStr"/>
      <c r="F6103" s="12" t="inlineStr">
        <is>
          <t>LNG 17: LNG e-house (13.8 kV / 480 V)</t>
        </is>
      </c>
      <c r="G6103" s="12" t="inlineStr">
        <is>
          <t>LNG-T3</t>
        </is>
      </c>
      <c r="H6103" s="12" t="inlineStr">
        <is>
          <t>LNG 11: tank 3,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250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1.9 %</t>
        </is>
      </c>
      <c r="AA6103" s="12">
        <f>N6103*O6103</f>
        <v/>
      </c>
    </row>
    <row r="6104">
      <c r="A6104" s="12" t="inlineStr">
        <is>
          <t>K-P-0031</t>
        </is>
      </c>
      <c r="B6104" s="12" t="inlineStr">
        <is>
          <t>K</t>
        </is>
      </c>
      <c r="C6104" s="12" t="inlineStr">
        <is>
          <t>Fuel supply (adjacent market)</t>
        </is>
      </c>
      <c r="D6104" s="12" t="inlineStr">
        <is>
          <t>LV power feeder</t>
        </is>
      </c>
      <c r="E6104" s="12" t="inlineStr"/>
      <c r="F6104" s="12" t="inlineStr">
        <is>
          <t>LNG 17: LNG e-house (13.8 kV / 480 V)</t>
        </is>
      </c>
      <c r="G6104" s="12" t="inlineStr">
        <is>
          <t>LNG-T4</t>
        </is>
      </c>
      <c r="H6104" s="12" t="inlineStr">
        <is>
          <t>LNG 11: tank 4, Chart HS 50000 (51,780 gal)</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10</v>
      </c>
      <c r="R6104" s="12" t="n">
        <v>14.2</v>
      </c>
      <c r="S6104" s="12" t="inlineStr">
        <is>
          <t>Duct bank</t>
        </is>
      </c>
      <c r="T6104" s="15" t="n">
        <v>270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2.1 %</t>
        </is>
      </c>
      <c r="AA6104" s="12">
        <f>N6104*O6104</f>
        <v/>
      </c>
    </row>
    <row r="6105">
      <c r="A6105" s="12" t="inlineStr">
        <is>
          <t>K-P-0032</t>
        </is>
      </c>
      <c r="B6105" s="12" t="inlineStr">
        <is>
          <t>K</t>
        </is>
      </c>
      <c r="C6105" s="12" t="inlineStr">
        <is>
          <t>Fuel supply (adjacent market)</t>
        </is>
      </c>
      <c r="D6105" s="12" t="inlineStr">
        <is>
          <t>LV power feeder</t>
        </is>
      </c>
      <c r="E6105" s="12" t="inlineStr"/>
      <c r="F6105" s="12" t="inlineStr">
        <is>
          <t>LNG 17: LNG e-house (13.8 kV / 480 V)</t>
        </is>
      </c>
      <c r="G6105" s="12" t="inlineStr">
        <is>
          <t>LNG-T5</t>
        </is>
      </c>
      <c r="H6105" s="12" t="inlineStr">
        <is>
          <t>LNG 11: tank 5, Chart HS 50000 (51,780 gal)</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10</v>
      </c>
      <c r="R6105" s="12" t="n">
        <v>14.2</v>
      </c>
      <c r="S6105" s="12" t="inlineStr">
        <is>
          <t>Duct bank</t>
        </is>
      </c>
      <c r="T6105" s="15" t="n">
        <v>290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2.2 %</t>
        </is>
      </c>
      <c r="AA6105" s="12">
        <f>N6105*O6105</f>
        <v/>
      </c>
    </row>
    <row r="6106">
      <c r="A6106" s="12" t="inlineStr">
        <is>
          <t>K-P-0033</t>
        </is>
      </c>
      <c r="B6106" s="12" t="inlineStr">
        <is>
          <t>K</t>
        </is>
      </c>
      <c r="C6106" s="12" t="inlineStr">
        <is>
          <t>Fuel supply (adjacent market)</t>
        </is>
      </c>
      <c r="D6106" s="12" t="inlineStr">
        <is>
          <t>LV power feeder</t>
        </is>
      </c>
      <c r="E6106" s="12" t="inlineStr"/>
      <c r="F6106" s="12" t="inlineStr">
        <is>
          <t>LNG 17: LNG e-house (13.8 kV / 480 V)</t>
        </is>
      </c>
      <c r="G6106" s="12" t="inlineStr">
        <is>
          <t>LNG-T6</t>
        </is>
      </c>
      <c r="H6106" s="12" t="inlineStr">
        <is>
          <t>LNG 11: tank 6, Chart HS 50000 (51,780 gal)</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10</v>
      </c>
      <c r="R6106" s="12" t="n">
        <v>14.2</v>
      </c>
      <c r="S6106" s="12" t="inlineStr">
        <is>
          <t>Duct bank</t>
        </is>
      </c>
      <c r="T6106" s="15" t="n">
        <v>310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2.3 %</t>
        </is>
      </c>
      <c r="AA6106" s="12">
        <f>N6106*O6106</f>
        <v/>
      </c>
    </row>
    <row r="6107">
      <c r="A6107" s="12" t="inlineStr">
        <is>
          <t>K-P-0034</t>
        </is>
      </c>
      <c r="B6107" s="12" t="inlineStr">
        <is>
          <t>K</t>
        </is>
      </c>
      <c r="C6107" s="12" t="inlineStr">
        <is>
          <t>Fuel supply (adjacent market)</t>
        </is>
      </c>
      <c r="D6107" s="12" t="inlineStr">
        <is>
          <t>LV power feeder</t>
        </is>
      </c>
      <c r="E6107" s="12" t="inlineStr"/>
      <c r="F6107" s="12" t="inlineStr">
        <is>
          <t>LNG 17: LNG e-house (13.8 kV / 480 V)</t>
        </is>
      </c>
      <c r="G6107" s="12" t="inlineStr">
        <is>
          <t>LNG-T7</t>
        </is>
      </c>
      <c r="H6107" s="12" t="inlineStr">
        <is>
          <t>LNG 11: tank 7, Chart HS 50000 (51,780 gal)</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10</v>
      </c>
      <c r="R6107" s="12" t="n">
        <v>14.2</v>
      </c>
      <c r="S6107" s="12" t="inlineStr">
        <is>
          <t>Duct bank</t>
        </is>
      </c>
      <c r="T6107" s="15" t="n">
        <v>330</v>
      </c>
      <c r="U6107" s="15" t="n">
        <v>32</v>
      </c>
      <c r="V6107" s="15">
        <f>ROUNDUP((T6107+U6107+2*'Read Me'!$B$13)*(1+'Read Me'!$B$12),-1)</f>
        <v/>
      </c>
      <c r="W6107" s="15">
        <f>V6107*N6107*O6107</f>
        <v/>
      </c>
      <c r="X6107" s="12">
        <f>IF(LEFT(I6107,2)="MV",2*N6107*IF(L6107="1/C",O6107,1),0)</f>
        <v/>
      </c>
      <c r="Y6107" s="12">
        <f>IF(OR(LEFT(K6107,4)="LVAX",LEFT(K6107,6)="MV15AX",LEFT(K6107,4)="CTAX",LEFT(K6107,2)="W|"),2*N6107*O6107,0)</f>
        <v/>
      </c>
      <c r="Z6107" s="12" t="inlineStr">
        <is>
          <t>VD 2.5 %</t>
        </is>
      </c>
      <c r="AA6107" s="12">
        <f>N6107*O6107</f>
        <v/>
      </c>
    </row>
    <row r="6108">
      <c r="A6108" s="12" t="inlineStr">
        <is>
          <t>K-P-0035</t>
        </is>
      </c>
      <c r="B6108" s="12" t="inlineStr">
        <is>
          <t>K</t>
        </is>
      </c>
      <c r="C6108" s="12" t="inlineStr">
        <is>
          <t>Fuel supply (adjacent market)</t>
        </is>
      </c>
      <c r="D6108" s="12" t="inlineStr">
        <is>
          <t>LV power feeder</t>
        </is>
      </c>
      <c r="E6108" s="12" t="inlineStr"/>
      <c r="F6108" s="12" t="inlineStr">
        <is>
          <t>LNG 17: LNG e-house (13.8 kV / 480 V)</t>
        </is>
      </c>
      <c r="G6108" s="12" t="inlineStr">
        <is>
          <t>LNG-T8</t>
        </is>
      </c>
      <c r="H6108" s="12" t="inlineStr">
        <is>
          <t>LNG 11: tank 8, Chart HS 50000 (51,780 gal)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10</v>
      </c>
      <c r="R6108" s="12" t="n">
        <v>14.2</v>
      </c>
      <c r="S6108" s="12" t="inlineStr">
        <is>
          <t>Duct bank</t>
        </is>
      </c>
      <c r="T6108" s="15" t="n">
        <v>350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2.6 %</t>
        </is>
      </c>
      <c r="AA6108" s="12">
        <f>N6108*O6108</f>
        <v/>
      </c>
    </row>
    <row r="6109">
      <c r="A6109" s="12" t="inlineStr">
        <is>
          <t>K-P-0036</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12: spill impoundment (NFPA 59A, to verify)</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Duct bank</t>
        </is>
      </c>
      <c r="T6109" s="15" t="n">
        <v>230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2.7 %</t>
        </is>
      </c>
      <c r="AA6109" s="12">
        <f>N6109*O6109</f>
        <v/>
      </c>
    </row>
    <row r="6110">
      <c r="A6110" s="12" t="inlineStr">
        <is>
          <t>K-P-0037</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13: send-out pumps 2 x 100%</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110</v>
      </c>
      <c r="U6110" s="15" t="n">
        <v>32</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K-P-0038</t>
        </is>
      </c>
      <c r="B6111" s="12" t="inlineStr">
        <is>
          <t>K</t>
        </is>
      </c>
      <c r="C6111" s="12" t="inlineStr">
        <is>
          <t>Fuel supply (adjacent market)</t>
        </is>
      </c>
      <c r="D6111" s="12" t="inlineStr">
        <is>
          <t>Motor 1 of 1, 15 kW</t>
        </is>
      </c>
      <c r="E6111" s="12" t="inlineStr"/>
      <c r="F6111" s="12" t="inlineStr">
        <is>
          <t>LNG 17: LNG e-house (13.8 kV / 480 V)</t>
        </is>
      </c>
      <c r="G6111" s="12" t="inlineStr"/>
      <c r="H6111" s="12" t="inlineStr">
        <is>
          <t>LNG 14: vaporizers + glycol heater</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5" t="n">
        <v>259</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3.0 %</t>
        </is>
      </c>
      <c r="AA6111" s="12">
        <f>N6111*O6111</f>
        <v/>
      </c>
    </row>
    <row r="6112">
      <c r="A6112" s="12" t="inlineStr">
        <is>
          <t>K-P-0039</t>
        </is>
      </c>
      <c r="B6112" s="12" t="inlineStr">
        <is>
          <t>K</t>
        </is>
      </c>
      <c r="C6112" s="12" t="inlineStr">
        <is>
          <t>Fuel supply (adjacent market)</t>
        </is>
      </c>
      <c r="D6112" s="12" t="inlineStr">
        <is>
          <t>Motor 1 of 1, 15 kW</t>
        </is>
      </c>
      <c r="E6112" s="12" t="inlineStr"/>
      <c r="F6112" s="12" t="inlineStr">
        <is>
          <t>LNG 17: LNG e-house (13.8 kV / 480 V)</t>
        </is>
      </c>
      <c r="G6112" s="12" t="inlineStr"/>
      <c r="H6112" s="12" t="inlineStr">
        <is>
          <t>LNG 15: boil-off gas compressor</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25</v>
      </c>
      <c r="U6112" s="15" t="n">
        <v>54</v>
      </c>
      <c r="V6112" s="15">
        <f>ROUNDUP((T6112+U6112+2*'Read Me'!$B$13)*(1+'Read Me'!$B$12),-1)</f>
        <v/>
      </c>
      <c r="W6112" s="15">
        <f>V6112*N6112*O6112</f>
        <v/>
      </c>
      <c r="X6112" s="12">
        <f>IF(LEFT(I6112,2)="MV",2*N6112*IF(L6112="1/C",O6112,1),0)</f>
        <v/>
      </c>
      <c r="Y6112" s="12">
        <f>IF(OR(LEFT(K6112,4)="LVAX",LEFT(K6112,6)="MV15AX",LEFT(K6112,4)="CTAX",LEFT(K6112,2)="W|"),2*N6112*O6112,0)</f>
        <v/>
      </c>
      <c r="Z6112" s="12" t="inlineStr">
        <is>
          <t>VD 0.8 %</t>
        </is>
      </c>
      <c r="AA6112" s="12">
        <f>N6112*O6112</f>
        <v/>
      </c>
    </row>
    <row r="6113">
      <c r="A6113" s="12" t="inlineStr">
        <is>
          <t>K-P-0040</t>
        </is>
      </c>
      <c r="B6113" s="12" t="inlineStr">
        <is>
          <t>K</t>
        </is>
      </c>
      <c r="C6113" s="12" t="inlineStr">
        <is>
          <t>Fuel supply (adjacent market)</t>
        </is>
      </c>
      <c r="D6113" s="12" t="inlineStr">
        <is>
          <t>Motor 1 of 1, 15 kW</t>
        </is>
      </c>
      <c r="E6113" s="12" t="inlineStr"/>
      <c r="F6113" s="12" t="inlineStr">
        <is>
          <t>LNG 17: LNG e-house (13.8 kV / 480 V)</t>
        </is>
      </c>
      <c r="G6113" s="12" t="inlineStr"/>
      <c r="H6113" s="12" t="inlineStr">
        <is>
          <t>LNG 16: send-out metering + pressure control</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20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0.5 %</t>
        </is>
      </c>
      <c r="AA6113" s="12">
        <f>N6113*O6113</f>
        <v/>
      </c>
    </row>
    <row r="6114">
      <c r="A6114" s="12" t="inlineStr">
        <is>
          <t>K-P-0041</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17: LNG e-house (13.8 kV / 480 V)</t>
        </is>
      </c>
      <c r="I6114" s="12" t="inlineStr">
        <is>
          <t>LV 600 V</t>
        </is>
      </c>
      <c r="J6114" s="12" t="inlineStr">
        <is>
          <t>ARMOR-X MC-HL 600 V 3/C Cu XHHW-2 + ground, CWA, black PVC (Class I Div 2)</t>
        </is>
      </c>
      <c r="K6114" s="12" t="inlineStr">
        <is>
          <t>LVAX|3/C+G|10</t>
        </is>
      </c>
      <c r="L6114" s="12" t="inlineStr">
        <is>
          <t>3/C+G</t>
        </is>
      </c>
      <c r="M6114" s="12" t="inlineStr">
        <is>
          <t>10</t>
        </is>
      </c>
      <c r="N6114" s="12" t="n">
        <v>1</v>
      </c>
      <c r="O6114" s="12" t="n">
        <v>1</v>
      </c>
      <c r="P6114" s="12" t="n">
        <v>480</v>
      </c>
      <c r="Q6114" s="12" t="n">
        <v>15</v>
      </c>
      <c r="R6114" s="12" t="n">
        <v>21.2</v>
      </c>
      <c r="S6114" s="12" t="inlineStr">
        <is>
          <t>Tray</t>
        </is>
      </c>
      <c r="T6114" s="15" t="n">
        <v>0</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0.3 %</t>
        </is>
      </c>
      <c r="AA6114" s="12">
        <f>N6114*O6114</f>
        <v/>
      </c>
    </row>
    <row r="6115">
      <c r="A6115" s="12" t="inlineStr">
        <is>
          <t>K-P-0042</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18: vent stack</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25</v>
      </c>
      <c r="U6115" s="15" t="n">
        <v>117</v>
      </c>
      <c r="V6115" s="15">
        <f>ROUNDUP((T6115+U6115+2*'Read Me'!$B$13)*(1+'Read Me'!$B$12),-1)</f>
        <v/>
      </c>
      <c r="W6115" s="15">
        <f>V6115*N6115*O6115</f>
        <v/>
      </c>
      <c r="X6115" s="12">
        <f>IF(LEFT(I6115,2)="MV",2*N6115*IF(L6115="1/C",O6115,1),0)</f>
        <v/>
      </c>
      <c r="Y6115" s="12">
        <f>IF(OR(LEFT(K6115,4)="LVAX",LEFT(K6115,6)="MV15AX",LEFT(K6115,4)="CTAX",LEFT(K6115,2)="W|"),2*N6115*O6115,0)</f>
        <v/>
      </c>
      <c r="Z6115" s="12" t="inlineStr">
        <is>
          <t>VD 1.4 %</t>
        </is>
      </c>
      <c r="AA6115" s="12">
        <f>N6115*O6115</f>
        <v/>
      </c>
    </row>
    <row r="6116">
      <c r="A6116" s="12" t="inlineStr">
        <is>
          <t>K-P-0043</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LNG impoundment sump pump</t>
        </is>
      </c>
      <c r="I6116" s="12" t="inlineStr">
        <is>
          <t>LV 600 V</t>
        </is>
      </c>
      <c r="J6116" s="12" t="inlineStr">
        <is>
          <t>ARMOR-X MC-HL 600 V 3/C Cu XHHW-2 + ground, CWA, black PVC (Class I Div 2)</t>
        </is>
      </c>
      <c r="K6116" s="12" t="inlineStr">
        <is>
          <t>LVAX|3/C+G|8</t>
        </is>
      </c>
      <c r="L6116" s="12" t="inlineStr">
        <is>
          <t>3/C+G</t>
        </is>
      </c>
      <c r="M6116" s="12" t="inlineStr">
        <is>
          <t>8</t>
        </is>
      </c>
      <c r="N6116" s="12" t="n">
        <v>1</v>
      </c>
      <c r="O6116" s="12" t="n">
        <v>1</v>
      </c>
      <c r="P6116" s="12" t="n">
        <v>480</v>
      </c>
      <c r="Q6116" s="12" t="n">
        <v>15</v>
      </c>
      <c r="R6116" s="12" t="n">
        <v>21.2</v>
      </c>
      <c r="S6116" s="12" t="inlineStr">
        <is>
          <t>Duct bank</t>
        </is>
      </c>
      <c r="T6116" s="15" t="n">
        <v>334</v>
      </c>
      <c r="U6116" s="15" t="n">
        <v>32</v>
      </c>
      <c r="V6116" s="15">
        <f>ROUNDUP((T6116+U6116+2*'Read Me'!$B$13)*(1+'Read Me'!$B$12),-1)</f>
        <v/>
      </c>
      <c r="W6116" s="15">
        <f>V6116*N6116*O6116</f>
        <v/>
      </c>
      <c r="X6116" s="12">
        <f>IF(LEFT(I6116,2)="MV",2*N6116*IF(L6116="1/C",O6116,1),0)</f>
        <v/>
      </c>
      <c r="Y6116" s="12">
        <f>IF(OR(LEFT(K6116,4)="LVAX",LEFT(K6116,6)="MV15AX",LEFT(K6116,4)="CTAX",LEFT(K6116,2)="W|"),2*N6116*O6116,0)</f>
        <v/>
      </c>
      <c r="Z6116" s="12" t="inlineStr">
        <is>
          <t>VD 2.4 %</t>
        </is>
      </c>
      <c r="AA6116" s="12">
        <f>N6116*O6116</f>
        <v/>
      </c>
    </row>
    <row r="6117">
      <c r="A6117" s="12" t="inlineStr">
        <is>
          <t>K-P-0044</t>
        </is>
      </c>
      <c r="B6117" s="12" t="inlineStr">
        <is>
          <t>K</t>
        </is>
      </c>
      <c r="C6117" s="12" t="inlineStr">
        <is>
          <t>Fuel supply (adjacent market)</t>
        </is>
      </c>
      <c r="D6117" s="12" t="inlineStr">
        <is>
          <t>LV power feeder</t>
        </is>
      </c>
      <c r="E6117" s="12" t="inlineStr"/>
      <c r="F6117" s="12" t="inlineStr">
        <is>
          <t>LNG 17: LNG e-house (13.8 kV / 480 V)</t>
        </is>
      </c>
      <c r="G6117" s="12" t="inlineStr"/>
      <c r="H6117" s="12" t="inlineStr">
        <is>
          <t>M&amp;R 2: insulating joint + ESD valve</t>
        </is>
      </c>
      <c r="I6117" s="12" t="inlineStr">
        <is>
          <t>LV 600 V</t>
        </is>
      </c>
      <c r="J6117" s="12" t="inlineStr">
        <is>
          <t>ARMOR-X MC-HL 600 V 3/C Cu XHHW-2 + ground, CWA, black PVC (Class I Div 2)</t>
        </is>
      </c>
      <c r="K6117" s="12" t="inlineStr">
        <is>
          <t>LVAX|3/C+G|6</t>
        </is>
      </c>
      <c r="L6117" s="12" t="inlineStr">
        <is>
          <t>3/C+G</t>
        </is>
      </c>
      <c r="M6117" s="12" t="inlineStr">
        <is>
          <t>6</t>
        </is>
      </c>
      <c r="N6117" s="12" t="n">
        <v>1</v>
      </c>
      <c r="O6117" s="12" t="n">
        <v>1</v>
      </c>
      <c r="P6117" s="12" t="n">
        <v>480</v>
      </c>
      <c r="Q6117" s="12" t="n">
        <v>10</v>
      </c>
      <c r="R6117" s="12" t="n">
        <v>14.2</v>
      </c>
      <c r="S6117" s="12" t="inlineStr">
        <is>
          <t>Duct bank</t>
        </is>
      </c>
      <c r="T6117" s="15" t="n">
        <v>758</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2.2 %</t>
        </is>
      </c>
      <c r="AA6117" s="12">
        <f>N6117*O6117</f>
        <v/>
      </c>
    </row>
    <row r="6118">
      <c r="A6118" s="12" t="inlineStr">
        <is>
          <t>K-P-0045</t>
        </is>
      </c>
      <c r="B6118" s="12" t="inlineStr">
        <is>
          <t>K</t>
        </is>
      </c>
      <c r="C6118" s="12" t="inlineStr">
        <is>
          <t>Fuel supply (adjacent market)</t>
        </is>
      </c>
      <c r="D6118" s="12" t="inlineStr">
        <is>
          <t>LV power feeder</t>
        </is>
      </c>
      <c r="E6118" s="12" t="inlineStr"/>
      <c r="F6118" s="12" t="inlineStr">
        <is>
          <t>LNG 17: LNG e-house (13.8 kV / 480 V)</t>
        </is>
      </c>
      <c r="G6118" s="12" t="inlineStr"/>
      <c r="H6118" s="12" t="inlineStr">
        <is>
          <t>M&amp;R 3: horizontal filter-separator</t>
        </is>
      </c>
      <c r="I6118" s="12" t="inlineStr">
        <is>
          <t>LV 600 V</t>
        </is>
      </c>
      <c r="J6118" s="12" t="inlineStr">
        <is>
          <t>ARMOR-X MC-HL 600 V 3/C Cu XHHW-2 + ground, CWA, black PVC (Class I Div 2)</t>
        </is>
      </c>
      <c r="K6118" s="12" t="inlineStr">
        <is>
          <t>LVAX|3/C+G|4</t>
        </is>
      </c>
      <c r="L6118" s="12" t="inlineStr">
        <is>
          <t>3/C+G</t>
        </is>
      </c>
      <c r="M6118" s="12" t="inlineStr">
        <is>
          <t>4</t>
        </is>
      </c>
      <c r="N6118" s="12" t="n">
        <v>1</v>
      </c>
      <c r="O6118" s="12" t="n">
        <v>1</v>
      </c>
      <c r="P6118" s="12" t="n">
        <v>480</v>
      </c>
      <c r="Q6118" s="12" t="n">
        <v>15</v>
      </c>
      <c r="R6118" s="12" t="n">
        <v>21.2</v>
      </c>
      <c r="S6118" s="12" t="inlineStr">
        <is>
          <t>Duct bank</t>
        </is>
      </c>
      <c r="T6118" s="15" t="n">
        <v>797</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K-P-0046</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4: line heater 1 (water bath)</t>
        </is>
      </c>
      <c r="I6119" s="12" t="inlineStr">
        <is>
          <t>LV 600 V</t>
        </is>
      </c>
      <c r="J6119" s="12" t="inlineStr">
        <is>
          <t>ARMOR-X MC-HL 600 V 3/C Cu XHHW-2 + ground, CWA, black PVC (Class I Div 2)</t>
        </is>
      </c>
      <c r="K6119" s="12" t="inlineStr">
        <is>
          <t>LVAX|3/C+G|6</t>
        </is>
      </c>
      <c r="L6119" s="12" t="inlineStr">
        <is>
          <t>3/C+G</t>
        </is>
      </c>
      <c r="M6119" s="12" t="inlineStr">
        <is>
          <t>6</t>
        </is>
      </c>
      <c r="N6119" s="12" t="n">
        <v>1</v>
      </c>
      <c r="O6119" s="12" t="n">
        <v>1</v>
      </c>
      <c r="P6119" s="12" t="n">
        <v>480</v>
      </c>
      <c r="Q6119" s="12" t="n">
        <v>15</v>
      </c>
      <c r="R6119" s="12" t="n">
        <v>21.2</v>
      </c>
      <c r="S6119" s="12" t="inlineStr">
        <is>
          <t>Duct bank</t>
        </is>
      </c>
      <c r="T6119" s="15" t="n">
        <v>593</v>
      </c>
      <c r="U6119" s="15" t="n">
        <v>32</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K-P-0047</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4: line heater 2 (water bath)</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593</v>
      </c>
      <c r="U6120" s="15" t="n">
        <v>50</v>
      </c>
      <c r="V6120" s="15">
        <f>ROUNDUP((T6120+U6120+2*'Read Me'!$B$13)*(1+'Read Me'!$B$12),-1)</f>
        <v/>
      </c>
      <c r="W6120" s="15">
        <f>V6120*N6120*O6120</f>
        <v/>
      </c>
      <c r="X6120" s="12">
        <f>IF(LEFT(I6120,2)="MV",2*N6120*IF(L6120="1/C",O6120,1),0)</f>
        <v/>
      </c>
      <c r="Y6120" s="12">
        <f>IF(OR(LEFT(K6120,4)="LVAX",LEFT(K6120,6)="MV15AX",LEFT(K6120,4)="CTAX",LEFT(K6120,2)="W|"),2*N6120*O6120,0)</f>
        <v/>
      </c>
      <c r="Z6120" s="12" t="inlineStr">
        <is>
          <t>VD 2.7 %</t>
        </is>
      </c>
      <c r="AA6120" s="12">
        <f>N6120*O6120</f>
        <v/>
      </c>
    </row>
    <row r="6121">
      <c r="A6121" s="12" t="inlineStr">
        <is>
          <t>K-P-0048</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4: line heater 3 (water bath)</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593</v>
      </c>
      <c r="U6121" s="15" t="n">
        <v>68</v>
      </c>
      <c r="V6121" s="15">
        <f>ROUNDUP((T6121+U6121+2*'Read Me'!$B$13)*(1+'Read Me'!$B$12),-1)</f>
        <v/>
      </c>
      <c r="W6121" s="15">
        <f>V6121*N6121*O6121</f>
        <v/>
      </c>
      <c r="X6121" s="12">
        <f>IF(LEFT(I6121,2)="MV",2*N6121*IF(L6121="1/C",O6121,1),0)</f>
        <v/>
      </c>
      <c r="Y6121" s="12">
        <f>IF(OR(LEFT(K6121,4)="LVAX",LEFT(K6121,6)="MV15AX",LEFT(K6121,4)="CTAX",LEFT(K6121,2)="W|"),2*N6121*O6121,0)</f>
        <v/>
      </c>
      <c r="Z6121" s="12" t="inlineStr">
        <is>
          <t>VD 2.7 %</t>
        </is>
      </c>
      <c r="AA6121" s="12">
        <f>N6121*O6121</f>
        <v/>
      </c>
    </row>
    <row r="6122">
      <c r="A6122" s="12" t="inlineStr">
        <is>
          <t>K-P-0049</t>
        </is>
      </c>
      <c r="B6122" s="12" t="inlineStr">
        <is>
          <t>K</t>
        </is>
      </c>
      <c r="C6122" s="12" t="inlineStr">
        <is>
          <t>Fuel supply (adjacent market)</t>
        </is>
      </c>
      <c r="D6122" s="12" t="inlineStr">
        <is>
          <t>LV panel / distribution feeder</t>
        </is>
      </c>
      <c r="E6122" s="12" t="inlineStr"/>
      <c r="F6122" s="12" t="inlineStr">
        <is>
          <t>LNG 17: LNG e-house (13.8 kV / 480 V)</t>
        </is>
      </c>
      <c r="G6122" s="12" t="inlineStr"/>
      <c r="H6122" s="12" t="inlineStr">
        <is>
          <t>M&amp;R 6: regulation / flow control building</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10</v>
      </c>
      <c r="R6122" s="12" t="n">
        <v>14.2</v>
      </c>
      <c r="S6122" s="12" t="inlineStr">
        <is>
          <t>Duct bank</t>
        </is>
      </c>
      <c r="T6122" s="15" t="n">
        <v>470</v>
      </c>
      <c r="U6122" s="15" t="n">
        <v>70</v>
      </c>
      <c r="V6122" s="15">
        <f>ROUNDUP((T6122+U6122+2*'Read Me'!$B$13)*(1+'Read Me'!$B$12),-1)</f>
        <v/>
      </c>
      <c r="W6122" s="15">
        <f>V6122*N6122*O6122</f>
        <v/>
      </c>
      <c r="X6122" s="12">
        <f>IF(LEFT(I6122,2)="MV",2*N6122*IF(L6122="1/C",O6122,1),0)</f>
        <v/>
      </c>
      <c r="Y6122" s="12">
        <f>IF(OR(LEFT(K6122,4)="LVAX",LEFT(K6122,6)="MV15AX",LEFT(K6122,4)="CTAX",LEFT(K6122,2)="W|"),2*N6122*O6122,0)</f>
        <v/>
      </c>
      <c r="Z6122" s="12" t="inlineStr">
        <is>
          <t>VD 2.3 %</t>
        </is>
      </c>
      <c r="AA6122" s="12">
        <f>N6122*O6122</f>
        <v/>
      </c>
    </row>
    <row r="6123">
      <c r="A6123" s="12" t="inlineStr">
        <is>
          <t>K-P-0050</t>
        </is>
      </c>
      <c r="B6123" s="12" t="inlineStr">
        <is>
          <t>K</t>
        </is>
      </c>
      <c r="C6123" s="12" t="inlineStr">
        <is>
          <t>Fuel supply (adjacent market)</t>
        </is>
      </c>
      <c r="D6123" s="12" t="inlineStr">
        <is>
          <t>LV panel / distribution feeder</t>
        </is>
      </c>
      <c r="E6123" s="12" t="inlineStr"/>
      <c r="F6123" s="12" t="inlineStr">
        <is>
          <t>LNG 17: LNG e-house (13.8 kV / 480 V)</t>
        </is>
      </c>
      <c r="G6123" s="12" t="inlineStr"/>
      <c r="H6123" s="12" t="inlineStr">
        <is>
          <t>M&amp;R 7: gas quality + measurement building</t>
        </is>
      </c>
      <c r="I6123" s="12" t="inlineStr">
        <is>
          <t>LV 600 V</t>
        </is>
      </c>
      <c r="J6123" s="12" t="inlineStr">
        <is>
          <t>ARMOR-X MC-HL 600 V 3/C Cu XHHW-2 + ground, CWA, black PVC (Class I Div 2)</t>
        </is>
      </c>
      <c r="K6123" s="12" t="inlineStr">
        <is>
          <t>LVAX|3/C+G|2</t>
        </is>
      </c>
      <c r="L6123" s="12" t="inlineStr">
        <is>
          <t>3/C+G</t>
        </is>
      </c>
      <c r="M6123" s="12" t="inlineStr">
        <is>
          <t>2</t>
        </is>
      </c>
      <c r="N6123" s="12" t="n">
        <v>1</v>
      </c>
      <c r="O6123" s="12" t="n">
        <v>1</v>
      </c>
      <c r="P6123" s="12" t="n">
        <v>480</v>
      </c>
      <c r="Q6123" s="12" t="n">
        <v>30</v>
      </c>
      <c r="R6123" s="12" t="n">
        <v>42.5</v>
      </c>
      <c r="S6123" s="12" t="inlineStr">
        <is>
          <t>Duct bank</t>
        </is>
      </c>
      <c r="T6123" s="15" t="n">
        <v>616</v>
      </c>
      <c r="U6123" s="15" t="n">
        <v>52</v>
      </c>
      <c r="V6123" s="15">
        <f>ROUNDUP((T6123+U6123+2*'Read Me'!$B$13)*(1+'Read Me'!$B$12),-1)</f>
        <v/>
      </c>
      <c r="W6123" s="15">
        <f>V6123*N6123*O6123</f>
        <v/>
      </c>
      <c r="X6123" s="12">
        <f>IF(LEFT(I6123,2)="MV",2*N6123*IF(L6123="1/C",O6123,1),0)</f>
        <v/>
      </c>
      <c r="Y6123" s="12">
        <f>IF(OR(LEFT(K6123,4)="LVAX",LEFT(K6123,6)="MV15AX",LEFT(K6123,4)="CTAX",LEFT(K6123,2)="W|"),2*N6123*O6123,0)</f>
        <v/>
      </c>
      <c r="Z6123" s="12" t="inlineStr">
        <is>
          <t>VD 2.2 %</t>
        </is>
      </c>
      <c r="AA6123" s="12">
        <f>N6123*O6123</f>
        <v/>
      </c>
    </row>
    <row r="6124">
      <c r="A6124" s="12" t="inlineStr">
        <is>
          <t>K-P-0051</t>
        </is>
      </c>
      <c r="B6124" s="12" t="inlineStr">
        <is>
          <t>K</t>
        </is>
      </c>
      <c r="C6124" s="12" t="inlineStr">
        <is>
          <t>Fuel supply (adjacent market)</t>
        </is>
      </c>
      <c r="D6124" s="12" t="inlineStr">
        <is>
          <t>LV power feeder</t>
        </is>
      </c>
      <c r="E6124" s="12" t="inlineStr"/>
      <c r="F6124" s="12" t="inlineStr">
        <is>
          <t>LNG 17: LNG e-house (13.8 kV / 480 V)</t>
        </is>
      </c>
      <c r="G6124" s="12" t="inlineStr"/>
      <c r="H6124" s="12" t="inlineStr">
        <is>
          <t>M&amp;R 8: condensate tank</t>
        </is>
      </c>
      <c r="I6124" s="12" t="inlineStr">
        <is>
          <t>LV 600 V</t>
        </is>
      </c>
      <c r="J6124" s="12" t="inlineStr">
        <is>
          <t>ARMOR-X MC-HL 600 V 3/C Cu XHHW-2 + ground, CWA, black PVC (Class I Div 2)</t>
        </is>
      </c>
      <c r="K6124" s="12" t="inlineStr">
        <is>
          <t>LVAX|3/C+G|8</t>
        </is>
      </c>
      <c r="L6124" s="12" t="inlineStr">
        <is>
          <t>3/C+G</t>
        </is>
      </c>
      <c r="M6124" s="12" t="inlineStr">
        <is>
          <t>8</t>
        </is>
      </c>
      <c r="N6124" s="12" t="n">
        <v>1</v>
      </c>
      <c r="O6124" s="12" t="n">
        <v>1</v>
      </c>
      <c r="P6124" s="12" t="n">
        <v>480</v>
      </c>
      <c r="Q6124" s="12" t="n">
        <v>10</v>
      </c>
      <c r="R6124" s="12" t="n">
        <v>14.2</v>
      </c>
      <c r="S6124" s="12" t="inlineStr">
        <is>
          <t>Duct bank</t>
        </is>
      </c>
      <c r="T6124" s="15" t="n">
        <v>530</v>
      </c>
      <c r="U6124" s="15" t="n">
        <v>87</v>
      </c>
      <c r="V6124" s="15">
        <f>ROUNDUP((T6124+U6124+2*'Read Me'!$B$13)*(1+'Read Me'!$B$12),-1)</f>
        <v/>
      </c>
      <c r="W6124" s="15">
        <f>V6124*N6124*O6124</f>
        <v/>
      </c>
      <c r="X6124" s="12">
        <f>IF(LEFT(I6124,2)="MV",2*N6124*IF(L6124="1/C",O6124,1),0)</f>
        <v/>
      </c>
      <c r="Y6124" s="12">
        <f>IF(OR(LEFT(K6124,4)="LVAX",LEFT(K6124,6)="MV15AX",LEFT(K6124,4)="CTAX",LEFT(K6124,2)="W|"),2*N6124*O6124,0)</f>
        <v/>
      </c>
      <c r="Z6124" s="12" t="inlineStr">
        <is>
          <t>VD 2.6 %</t>
        </is>
      </c>
      <c r="AA6124" s="12">
        <f>N6124*O6124</f>
        <v/>
      </c>
    </row>
    <row r="6125">
      <c r="A6125" s="12" t="inlineStr">
        <is>
          <t>K-P-0052</t>
        </is>
      </c>
      <c r="B6125" s="12" t="inlineStr">
        <is>
          <t>K</t>
        </is>
      </c>
      <c r="C6125" s="12" t="inlineStr">
        <is>
          <t>Fuel supply (adjacent market)</t>
        </is>
      </c>
      <c r="D6125" s="12" t="inlineStr">
        <is>
          <t>LV power feeder</t>
        </is>
      </c>
      <c r="E6125" s="12" t="inlineStr"/>
      <c r="F6125" s="12" t="inlineStr">
        <is>
          <t>LNG 17: LNG e-house (13.8 kV / 480 V)</t>
        </is>
      </c>
      <c r="G6125" s="12" t="inlineStr"/>
      <c r="H6125" s="12" t="inlineStr">
        <is>
          <t>M&amp;R 9: service panel + UPS, SCADA RTU, CP</t>
        </is>
      </c>
      <c r="I6125" s="12" t="inlineStr">
        <is>
          <t>LV 600 V</t>
        </is>
      </c>
      <c r="J6125" s="12" t="inlineStr">
        <is>
          <t>ARMOR-X MC-HL 600 V 3/C Cu XHHW-2 + ground, CWA, black PVC (Class I Div 2)</t>
        </is>
      </c>
      <c r="K6125" s="12" t="inlineStr">
        <is>
          <t>LVAX|3/C+G|6</t>
        </is>
      </c>
      <c r="L6125" s="12" t="inlineStr">
        <is>
          <t>3/C+G</t>
        </is>
      </c>
      <c r="M6125" s="12" t="inlineStr">
        <is>
          <t>6</t>
        </is>
      </c>
      <c r="N6125" s="12" t="n">
        <v>1</v>
      </c>
      <c r="O6125" s="12" t="n">
        <v>1</v>
      </c>
      <c r="P6125" s="12" t="n">
        <v>480</v>
      </c>
      <c r="Q6125" s="12" t="n">
        <v>15</v>
      </c>
      <c r="R6125" s="12" t="n">
        <v>21.2</v>
      </c>
      <c r="S6125" s="12" t="inlineStr">
        <is>
          <t>Duct bank</t>
        </is>
      </c>
      <c r="T6125" s="15" t="n">
        <v>466</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2.1 %</t>
        </is>
      </c>
      <c r="AA6125" s="12">
        <f>N6125*O6125</f>
        <v/>
      </c>
    </row>
    <row r="6126">
      <c r="A6126" s="12" t="inlineStr">
        <is>
          <t>K-P-0053</t>
        </is>
      </c>
      <c r="B6126" s="12" t="inlineStr">
        <is>
          <t>K</t>
        </is>
      </c>
      <c r="C6126" s="12" t="inlineStr">
        <is>
          <t>Fuel supply (adjacent market)</t>
        </is>
      </c>
      <c r="D6126" s="12" t="inlineStr">
        <is>
          <t>LV power feeder</t>
        </is>
      </c>
      <c r="E6126" s="12" t="inlineStr"/>
      <c r="F6126" s="12" t="inlineStr">
        <is>
          <t>LNG 17: LNG e-house (13.8 kV / 480 V)</t>
        </is>
      </c>
      <c r="G6126" s="12" t="inlineStr"/>
      <c r="H6126" s="12" t="inlineStr">
        <is>
          <t>M&amp;R CP test station (as drawn)</t>
        </is>
      </c>
      <c r="I6126" s="12" t="inlineStr">
        <is>
          <t>LV 600 V</t>
        </is>
      </c>
      <c r="J6126" s="12" t="inlineStr">
        <is>
          <t>ARMOR-X MC-HL 600 V 3/C Cu XHHW-2 + ground, CWA, black PVC (Class I Div 2)</t>
        </is>
      </c>
      <c r="K6126" s="12" t="inlineStr">
        <is>
          <t>LVAX|3/C+G|6</t>
        </is>
      </c>
      <c r="L6126" s="12" t="inlineStr">
        <is>
          <t>3/C+G</t>
        </is>
      </c>
      <c r="M6126" s="12" t="inlineStr">
        <is>
          <t>6</t>
        </is>
      </c>
      <c r="N6126" s="12" t="n">
        <v>1</v>
      </c>
      <c r="O6126" s="12" t="n">
        <v>1</v>
      </c>
      <c r="P6126" s="12" t="n">
        <v>480</v>
      </c>
      <c r="Q6126" s="12" t="n">
        <v>15</v>
      </c>
      <c r="R6126" s="12" t="n">
        <v>21.2</v>
      </c>
      <c r="S6126" s="12" t="inlineStr">
        <is>
          <t>Duct bank</t>
        </is>
      </c>
      <c r="T6126" s="15" t="n">
        <v>441</v>
      </c>
      <c r="U6126" s="15" t="n">
        <v>42</v>
      </c>
      <c r="V6126" s="15">
        <f>ROUNDUP((T6126+U6126+2*'Read Me'!$B$13)*(1+'Read Me'!$B$12),-1)</f>
        <v/>
      </c>
      <c r="W6126" s="15">
        <f>V6126*N6126*O6126</f>
        <v/>
      </c>
      <c r="X6126" s="12">
        <f>IF(LEFT(I6126,2)="MV",2*N6126*IF(L6126="1/C",O6126,1),0)</f>
        <v/>
      </c>
      <c r="Y6126" s="12">
        <f>IF(OR(LEFT(K6126,4)="LVAX",LEFT(K6126,6)="MV15AX",LEFT(K6126,4)="CTAX",LEFT(K6126,2)="W|"),2*N6126*O6126,0)</f>
        <v/>
      </c>
      <c r="Z6126" s="12" t="inlineStr">
        <is>
          <t>VD 2.0 %</t>
        </is>
      </c>
      <c r="AA6126" s="12">
        <f>N6126*O6126</f>
        <v/>
      </c>
    </row>
    <row r="6127">
      <c r="A6127" s="12" t="inlineStr">
        <is>
          <t>K-P-0054</t>
        </is>
      </c>
      <c r="B6127" s="12" t="inlineStr">
        <is>
          <t>K</t>
        </is>
      </c>
      <c r="C6127" s="12" t="inlineStr">
        <is>
          <t>Fuel supply (adjacent market)</t>
        </is>
      </c>
      <c r="D6127" s="12" t="inlineStr">
        <is>
          <t>LV power feeder</t>
        </is>
      </c>
      <c r="E6127" s="12" t="inlineStr"/>
      <c r="F6127" s="12" t="inlineStr">
        <is>
          <t>LNG 17: LNG e-house (13.8 kV / 480 V)</t>
        </is>
      </c>
      <c r="G6127" s="12" t="inlineStr"/>
      <c r="H6127" s="12" t="inlineStr">
        <is>
          <t>M&amp;R SCADA antenna mast base (as drawn)</t>
        </is>
      </c>
      <c r="I6127" s="12" t="inlineStr">
        <is>
          <t>LV 600 V</t>
        </is>
      </c>
      <c r="J6127" s="12" t="inlineStr">
        <is>
          <t>ARMOR-X MC-HL 600 V 3/C Cu XHHW-2 + ground, CWA, black PVC (Class I Div 2)</t>
        </is>
      </c>
      <c r="K6127" s="12" t="inlineStr">
        <is>
          <t>LVAX|3/C+G|8</t>
        </is>
      </c>
      <c r="L6127" s="12" t="inlineStr">
        <is>
          <t>3/C+G</t>
        </is>
      </c>
      <c r="M6127" s="12" t="inlineStr">
        <is>
          <t>8</t>
        </is>
      </c>
      <c r="N6127" s="12" t="n">
        <v>1</v>
      </c>
      <c r="O6127" s="12" t="n">
        <v>1</v>
      </c>
      <c r="P6127" s="12" t="n">
        <v>480</v>
      </c>
      <c r="Q6127" s="12" t="n">
        <v>15</v>
      </c>
      <c r="R6127" s="12" t="n">
        <v>21.2</v>
      </c>
      <c r="S6127" s="12" t="inlineStr">
        <is>
          <t>Duct bank</t>
        </is>
      </c>
      <c r="T6127" s="15" t="n">
        <v>433</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3.0 %</t>
        </is>
      </c>
      <c r="AA6127" s="12">
        <f>N6127*O6127</f>
        <v/>
      </c>
    </row>
    <row r="6128">
      <c r="A6128" s="12" t="inlineStr">
        <is>
          <t>K-MV-0001</t>
        </is>
      </c>
      <c r="B6128" s="12" t="inlineStr">
        <is>
          <t>K</t>
        </is>
      </c>
      <c r="C6128" s="12" t="inlineStr">
        <is>
          <t>Fuel supply (adjacent market)</t>
        </is>
      </c>
      <c r="D6128" s="12" t="inlineStr">
        <is>
          <t>H2 13.8 kV e-house (electrolyzers)</t>
        </is>
      </c>
      <c r="E6128" s="12" t="inlineStr">
        <is>
          <t>SWGR-13.8-3</t>
        </is>
      </c>
      <c r="F6128" s="12" t="inlineStr">
        <is>
          <t>R1 SWGR-13.8-3 (11 x 36 in cubicles, 15 kV metal-clad)</t>
        </is>
      </c>
      <c r="G6128" s="12" t="inlineStr"/>
      <c r="H6128" s="12" t="inlineStr">
        <is>
          <t>H2 20: 13.8 kV e-house</t>
        </is>
      </c>
      <c r="I6128" s="12" t="inlineStr">
        <is>
          <t>MV 15 kV</t>
        </is>
      </c>
      <c r="J6128" s="12" t="inlineStr">
        <is>
          <t>MV-105 15 kV 1/C Cu, EPR 133%, Cu tape shield, PVC jacket (triplexed)</t>
        </is>
      </c>
      <c r="K6128" s="12" t="inlineStr">
        <is>
          <t>MV15|1/C|750</t>
        </is>
      </c>
      <c r="L6128" s="12" t="inlineStr">
        <is>
          <t>1/C</t>
        </is>
      </c>
      <c r="M6128" s="12" t="inlineStr">
        <is>
          <t>750 kcmil</t>
        </is>
      </c>
      <c r="N6128" s="12" t="n">
        <v>2</v>
      </c>
      <c r="O6128" s="12" t="n">
        <v>3</v>
      </c>
      <c r="P6128" s="12" t="n">
        <v>13800</v>
      </c>
      <c r="Q6128" s="12" t="n">
        <v>20000</v>
      </c>
      <c r="R6128" s="12" t="n">
        <v>837</v>
      </c>
      <c r="S6128" s="12" t="inlineStr">
        <is>
          <t>HV duct bank</t>
        </is>
      </c>
      <c r="T6128" s="15" t="n">
        <v>4013</v>
      </c>
      <c r="U6128" s="15" t="n">
        <v>128</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K-MV-0002</t>
        </is>
      </c>
      <c r="B6129" s="12" t="inlineStr">
        <is>
          <t>K</t>
        </is>
      </c>
      <c r="C6129" s="12" t="inlineStr">
        <is>
          <t>Fuel supply (adjacent market)</t>
        </is>
      </c>
      <c r="D6129" s="12" t="inlineStr">
        <is>
          <t>LNG e-house</t>
        </is>
      </c>
      <c r="E6129" s="12" t="inlineStr">
        <is>
          <t>SWGR-13.8-3</t>
        </is>
      </c>
      <c r="F6129" s="12" t="inlineStr">
        <is>
          <t>R1 SWGR-13.8-3 (11 x 36 in cubicles, 15 kV metal-clad)</t>
        </is>
      </c>
      <c r="G6129" s="12" t="inlineStr"/>
      <c r="H6129" s="12" t="inlineStr">
        <is>
          <t>LNG 17: LNG e-house (13.8 kV / 480 V)</t>
        </is>
      </c>
      <c r="I6129" s="12" t="inlineStr">
        <is>
          <t>MV 15 kV</t>
        </is>
      </c>
      <c r="J6129" s="12" t="inlineStr">
        <is>
          <t>MV-105 15 kV 1/C Cu, EPR 133%, Cu tape shield, PVC jacket (triplexed)</t>
        </is>
      </c>
      <c r="K6129" s="12" t="inlineStr">
        <is>
          <t>MV15|1/C|4/0</t>
        </is>
      </c>
      <c r="L6129" s="12" t="inlineStr">
        <is>
          <t>1/C</t>
        </is>
      </c>
      <c r="M6129" s="12" t="inlineStr">
        <is>
          <t>4/0</t>
        </is>
      </c>
      <c r="N6129" s="12" t="n">
        <v>1</v>
      </c>
      <c r="O6129" s="12" t="n">
        <v>3</v>
      </c>
      <c r="P6129" s="12" t="n">
        <v>13800</v>
      </c>
      <c r="Q6129" s="12" t="n">
        <v>5000</v>
      </c>
      <c r="R6129" s="12" t="n">
        <v>209</v>
      </c>
      <c r="S6129" s="12" t="inlineStr">
        <is>
          <t>Duct bank</t>
        </is>
      </c>
      <c r="T6129" s="15" t="n">
        <v>2649</v>
      </c>
      <c r="U6129" s="15" t="n">
        <v>219</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C-C-0128</t>
        </is>
      </c>
      <c r="B6130" s="12" t="inlineStr">
        <is>
          <t>C</t>
        </is>
      </c>
      <c r="C6130" s="12" t="inlineStr">
        <is>
          <t>Grid interface</t>
        </is>
      </c>
      <c r="D6130" s="12" t="inlineStr">
        <is>
          <t>Motor 1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C-C-0129</t>
        </is>
      </c>
      <c r="B6131" s="12" t="inlineStr">
        <is>
          <t>C</t>
        </is>
      </c>
      <c r="C6131" s="12" t="inlineStr">
        <is>
          <t>Grid interface</t>
        </is>
      </c>
      <c r="D6131" s="12" t="inlineStr">
        <is>
          <t>Motor 2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C-C-0130</t>
        </is>
      </c>
      <c r="B6132" s="12" t="inlineStr">
        <is>
          <t>C</t>
        </is>
      </c>
      <c r="C6132" s="12" t="inlineStr">
        <is>
          <t>Grid interface</t>
        </is>
      </c>
      <c r="D6132" s="12" t="inlineStr">
        <is>
          <t>Motor 3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C-C-0131</t>
        </is>
      </c>
      <c r="B6133" s="12" t="inlineStr">
        <is>
          <t>C</t>
        </is>
      </c>
      <c r="C6133" s="12" t="inlineStr">
        <is>
          <t>Grid interface</t>
        </is>
      </c>
      <c r="D6133" s="12" t="inlineStr">
        <is>
          <t>Motor 4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C-C-0132</t>
        </is>
      </c>
      <c r="B6134" s="12" t="inlineStr">
        <is>
          <t>C</t>
        </is>
      </c>
      <c r="C6134" s="12" t="inlineStr">
        <is>
          <t>Grid interface</t>
        </is>
      </c>
      <c r="D6134" s="12" t="inlineStr">
        <is>
          <t>Motor 5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C-C-0133</t>
        </is>
      </c>
      <c r="B6135" s="12" t="inlineStr">
        <is>
          <t>C</t>
        </is>
      </c>
      <c r="C6135" s="12" t="inlineStr">
        <is>
          <t>Grid interface</t>
        </is>
      </c>
      <c r="D6135" s="12" t="inlineStr">
        <is>
          <t>Motor 6 of 10: control / local station</t>
        </is>
      </c>
      <c r="E6135" s="12" t="inlineStr">
        <is>
          <t>MCC-C1</t>
        </is>
      </c>
      <c r="F6135" s="12" t="inlineStr">
        <is>
          <t>R1 MCC-C1</t>
        </is>
      </c>
      <c r="G6135" s="12" t="inlineStr"/>
      <c r="H6135" s="12" t="inlineStr">
        <is>
          <t xml:space="preserve">CO2 compression 3 x ~19 MW + dehydration: rooftop HVAC, exhaust fans, </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1744</v>
      </c>
      <c r="U6135" s="15" t="n">
        <v>161</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C-C-0134</t>
        </is>
      </c>
      <c r="B6136" s="12" t="inlineStr">
        <is>
          <t>C</t>
        </is>
      </c>
      <c r="C6136" s="12" t="inlineStr">
        <is>
          <t>Grid interface</t>
        </is>
      </c>
      <c r="D6136" s="12" t="inlineStr">
        <is>
          <t>Motor 7 of 10: control / local station</t>
        </is>
      </c>
      <c r="E6136" s="12" t="inlineStr">
        <is>
          <t>MCC-C1</t>
        </is>
      </c>
      <c r="F6136" s="12" t="inlineStr">
        <is>
          <t>R1 MCC-C1</t>
        </is>
      </c>
      <c r="G6136" s="12" t="inlineStr"/>
      <c r="H6136" s="12" t="inlineStr">
        <is>
          <t xml:space="preserve">CO2 compression 3 x ~19 MW + dehydration: rooftop HVAC, exhaust fans, </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1744</v>
      </c>
      <c r="U6136" s="15" t="n">
        <v>161</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C-C-0135</t>
        </is>
      </c>
      <c r="B6137" s="12" t="inlineStr">
        <is>
          <t>C</t>
        </is>
      </c>
      <c r="C6137" s="12" t="inlineStr">
        <is>
          <t>Grid interface</t>
        </is>
      </c>
      <c r="D6137" s="12" t="inlineStr">
        <is>
          <t>Motor 8 of 10: control / local station</t>
        </is>
      </c>
      <c r="E6137" s="12" t="inlineStr">
        <is>
          <t>MCC-C1</t>
        </is>
      </c>
      <c r="F6137" s="12" t="inlineStr">
        <is>
          <t>R1 MCC-C1</t>
        </is>
      </c>
      <c r="G6137" s="12" t="inlineStr"/>
      <c r="H6137" s="12" t="inlineStr">
        <is>
          <t xml:space="preserve">CO2 compression 3 x ~19 MW + dehydration: rooftop HVAC, exhaust fans, </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Tray</t>
        </is>
      </c>
      <c r="T6137" s="15" t="n">
        <v>1744</v>
      </c>
      <c r="U6137" s="15" t="n">
        <v>161</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C-C-0136</t>
        </is>
      </c>
      <c r="B6138" s="12" t="inlineStr">
        <is>
          <t>C</t>
        </is>
      </c>
      <c r="C6138" s="12" t="inlineStr">
        <is>
          <t>Grid interface</t>
        </is>
      </c>
      <c r="D6138" s="12" t="inlineStr">
        <is>
          <t>Motor 9 of 10: control / local station</t>
        </is>
      </c>
      <c r="E6138" s="12" t="inlineStr">
        <is>
          <t>MCC-C1</t>
        </is>
      </c>
      <c r="F6138" s="12" t="inlineStr">
        <is>
          <t>R1 MCC-C1</t>
        </is>
      </c>
      <c r="G6138" s="12" t="inlineStr"/>
      <c r="H6138" s="12" t="inlineStr">
        <is>
          <t xml:space="preserve">CO2 compression 3 x ~19 MW + dehydration: rooftop HVAC, exhaust fans, </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Tray</t>
        </is>
      </c>
      <c r="T6138" s="15" t="n">
        <v>1744</v>
      </c>
      <c r="U6138" s="15" t="n">
        <v>161</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C-C-0137</t>
        </is>
      </c>
      <c r="B6139" s="12" t="inlineStr">
        <is>
          <t>C</t>
        </is>
      </c>
      <c r="C6139" s="12" t="inlineStr">
        <is>
          <t>Grid interface</t>
        </is>
      </c>
      <c r="D6139" s="12" t="inlineStr">
        <is>
          <t>Motor 10 of 10: control / local station</t>
        </is>
      </c>
      <c r="E6139" s="12" t="inlineStr">
        <is>
          <t>MCC-C1</t>
        </is>
      </c>
      <c r="F6139" s="12" t="inlineStr">
        <is>
          <t>R1 MCC-C1</t>
        </is>
      </c>
      <c r="G6139" s="12" t="inlineStr"/>
      <c r="H6139" s="12" t="inlineStr">
        <is>
          <t xml:space="preserve">CO2 compression 3 x ~19 MW + dehydration: rooftop HVAC, exhaust fans, </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Tray</t>
        </is>
      </c>
      <c r="T6139" s="15" t="n">
        <v>1744</v>
      </c>
      <c r="U6139" s="15" t="n">
        <v>161</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C-C-0138</t>
        </is>
      </c>
      <c r="B6140" s="12" t="inlineStr">
        <is>
          <t>C</t>
        </is>
      </c>
      <c r="C6140" s="12" t="inlineStr">
        <is>
          <t>Grid interface</t>
        </is>
      </c>
      <c r="D6140" s="12" t="inlineStr">
        <is>
          <t>Motor 1 of 2: control / local station</t>
        </is>
      </c>
      <c r="E6140" s="12" t="inlineStr">
        <is>
          <t>MCC-C1</t>
        </is>
      </c>
      <c r="F6140" s="12" t="inlineStr">
        <is>
          <t>R1 MCC-C1</t>
        </is>
      </c>
      <c r="G6140" s="12" t="inlineStr"/>
      <c r="H6140" s="12" t="inlineStr">
        <is>
          <t>Small-bore piping: instrument air, service water, nitrogen, HRSG drain</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Tray</t>
        </is>
      </c>
      <c r="T6140" s="15" t="n">
        <v>614</v>
      </c>
      <c r="U6140" s="15" t="n">
        <v>145</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C-C-0139</t>
        </is>
      </c>
      <c r="B6141" s="12" t="inlineStr">
        <is>
          <t>C</t>
        </is>
      </c>
      <c r="C6141" s="12" t="inlineStr">
        <is>
          <t>Grid interface</t>
        </is>
      </c>
      <c r="D6141" s="12" t="inlineStr">
        <is>
          <t>Motor 2 of 2: control / local station</t>
        </is>
      </c>
      <c r="E6141" s="12" t="inlineStr">
        <is>
          <t>MCC-C1</t>
        </is>
      </c>
      <c r="F6141" s="12" t="inlineStr">
        <is>
          <t>R1 MCC-C1</t>
        </is>
      </c>
      <c r="G6141" s="12" t="inlineStr"/>
      <c r="H6141" s="12" t="inlineStr">
        <is>
          <t>Small-bore piping: instrument air, service water, nitrogen, HRSG drain</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Tray</t>
        </is>
      </c>
      <c r="T6141" s="15" t="n">
        <v>614</v>
      </c>
      <c r="U6141" s="15" t="n">
        <v>145</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C-C-0140</t>
        </is>
      </c>
      <c r="B6142" s="12" t="inlineStr">
        <is>
          <t>C</t>
        </is>
      </c>
      <c r="C6142" s="12" t="inlineStr">
        <is>
          <t>Grid interface</t>
        </is>
      </c>
      <c r="D6142" s="12" t="inlineStr">
        <is>
          <t>Motor 1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C-C-0141</t>
        </is>
      </c>
      <c r="B6143" s="12" t="inlineStr">
        <is>
          <t>C</t>
        </is>
      </c>
      <c r="C6143" s="12" t="inlineStr">
        <is>
          <t>Grid interface</t>
        </is>
      </c>
      <c r="D6143" s="12" t="inlineStr">
        <is>
          <t>Motor 2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C-C-0142</t>
        </is>
      </c>
      <c r="B6144" s="12" t="inlineStr">
        <is>
          <t>C</t>
        </is>
      </c>
      <c r="C6144" s="12" t="inlineStr">
        <is>
          <t>Grid interface</t>
        </is>
      </c>
      <c r="D6144" s="12" t="inlineStr">
        <is>
          <t>Motor 3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C-C-0143</t>
        </is>
      </c>
      <c r="B6145" s="12" t="inlineStr">
        <is>
          <t>C</t>
        </is>
      </c>
      <c r="C6145" s="12" t="inlineStr">
        <is>
          <t>Grid interface</t>
        </is>
      </c>
      <c r="D6145" s="12" t="inlineStr">
        <is>
          <t>Motor 4 of 8: control / local station</t>
        </is>
      </c>
      <c r="E6145" s="12" t="inlineStr">
        <is>
          <t>MCC-C1</t>
        </is>
      </c>
      <c r="F6145" s="12" t="inlineStr">
        <is>
          <t>R1 MCC-C1</t>
        </is>
      </c>
      <c r="G6145" s="12" t="inlineStr"/>
      <c r="H6145" s="12" t="inlineStr">
        <is>
          <t>Wastewater treatment: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1859</v>
      </c>
      <c r="U6145" s="15" t="n">
        <v>228</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C-C-0144</t>
        </is>
      </c>
      <c r="B6146" s="12" t="inlineStr">
        <is>
          <t>C</t>
        </is>
      </c>
      <c r="C6146" s="12" t="inlineStr">
        <is>
          <t>Grid interface</t>
        </is>
      </c>
      <c r="D6146" s="12" t="inlineStr">
        <is>
          <t>Motor 5 of 8: control / local station</t>
        </is>
      </c>
      <c r="E6146" s="12" t="inlineStr">
        <is>
          <t>MCC-C1</t>
        </is>
      </c>
      <c r="F6146" s="12" t="inlineStr">
        <is>
          <t>R1 MCC-C1</t>
        </is>
      </c>
      <c r="G6146" s="12" t="inlineStr"/>
      <c r="H6146" s="12" t="inlineStr">
        <is>
          <t>Wastewater treatment: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1859</v>
      </c>
      <c r="U6146" s="15" t="n">
        <v>228</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C-C-0145</t>
        </is>
      </c>
      <c r="B6147" s="12" t="inlineStr">
        <is>
          <t>C</t>
        </is>
      </c>
      <c r="C6147" s="12" t="inlineStr">
        <is>
          <t>Grid interface</t>
        </is>
      </c>
      <c r="D6147" s="12" t="inlineStr">
        <is>
          <t>Motor 6 of 8: control / local station</t>
        </is>
      </c>
      <c r="E6147" s="12" t="inlineStr">
        <is>
          <t>MCC-C1</t>
        </is>
      </c>
      <c r="F6147" s="12" t="inlineStr">
        <is>
          <t>R1 MCC-C1</t>
        </is>
      </c>
      <c r="G6147" s="12" t="inlineStr"/>
      <c r="H6147" s="12" t="inlineStr">
        <is>
          <t>Wastewater treatment: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1859</v>
      </c>
      <c r="U6147" s="15" t="n">
        <v>228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C-C-0146</t>
        </is>
      </c>
      <c r="B6148" s="12" t="inlineStr">
        <is>
          <t>C</t>
        </is>
      </c>
      <c r="C6148" s="12" t="inlineStr">
        <is>
          <t>Grid interface</t>
        </is>
      </c>
      <c r="D6148" s="12" t="inlineStr">
        <is>
          <t>Motor 7 of 8: control / local station</t>
        </is>
      </c>
      <c r="E6148" s="12" t="inlineStr">
        <is>
          <t>MCC-C1</t>
        </is>
      </c>
      <c r="F6148" s="12" t="inlineStr">
        <is>
          <t>R1 MCC-C1</t>
        </is>
      </c>
      <c r="G6148" s="12" t="inlineStr"/>
      <c r="H6148" s="12" t="inlineStr">
        <is>
          <t>Wastewater treatment: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1859</v>
      </c>
      <c r="U6148" s="15" t="n">
        <v>228</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C-C-0147</t>
        </is>
      </c>
      <c r="B6149" s="12" t="inlineStr">
        <is>
          <t>C</t>
        </is>
      </c>
      <c r="C6149" s="12" t="inlineStr">
        <is>
          <t>Grid interface</t>
        </is>
      </c>
      <c r="D6149" s="12" t="inlineStr">
        <is>
          <t>Motor 8 of 8: control / local station</t>
        </is>
      </c>
      <c r="E6149" s="12" t="inlineStr">
        <is>
          <t>MCC-C1</t>
        </is>
      </c>
      <c r="F6149" s="12" t="inlineStr">
        <is>
          <t>R1 MCC-C1</t>
        </is>
      </c>
      <c r="G6149" s="12" t="inlineStr"/>
      <c r="H6149" s="12" t="inlineStr">
        <is>
          <t>Wastewater treatment: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1859</v>
      </c>
      <c r="U6149" s="15" t="n">
        <v>228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C-C-0148</t>
        </is>
      </c>
      <c r="B6150" s="12" t="inlineStr">
        <is>
          <t>C</t>
        </is>
      </c>
      <c r="C6150" s="12" t="inlineStr">
        <is>
          <t>Grid interface</t>
        </is>
      </c>
      <c r="D6150" s="12" t="inlineStr">
        <is>
          <t>Motor 1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C-C-0149</t>
        </is>
      </c>
      <c r="B6151" s="12" t="inlineStr">
        <is>
          <t>C</t>
        </is>
      </c>
      <c r="C6151" s="12" t="inlineStr">
        <is>
          <t>Grid interface</t>
        </is>
      </c>
      <c r="D6151" s="12" t="inlineStr">
        <is>
          <t>Motor 2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C-C-0150</t>
        </is>
      </c>
      <c r="B6152" s="12" t="inlineStr">
        <is>
          <t>C</t>
        </is>
      </c>
      <c r="C6152" s="12" t="inlineStr">
        <is>
          <t>Grid interface</t>
        </is>
      </c>
      <c r="D6152" s="12" t="inlineStr">
        <is>
          <t>Motor 3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C-C-0151</t>
        </is>
      </c>
      <c r="B6153" s="12" t="inlineStr">
        <is>
          <t>C</t>
        </is>
      </c>
      <c r="C6153" s="12" t="inlineStr">
        <is>
          <t>Grid interface</t>
        </is>
      </c>
      <c r="D6153" s="12" t="inlineStr">
        <is>
          <t>Motor 4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C-C-0152</t>
        </is>
      </c>
      <c r="B6154" s="12" t="inlineStr">
        <is>
          <t>C</t>
        </is>
      </c>
      <c r="C6154" s="12" t="inlineStr">
        <is>
          <t>Grid interface</t>
        </is>
      </c>
      <c r="D6154" s="12" t="inlineStr">
        <is>
          <t>Motor 5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C-C-0153</t>
        </is>
      </c>
      <c r="B6155" s="12" t="inlineStr">
        <is>
          <t>C</t>
        </is>
      </c>
      <c r="C6155" s="12" t="inlineStr">
        <is>
          <t>Grid interface</t>
        </is>
      </c>
      <c r="D6155" s="12" t="inlineStr">
        <is>
          <t>Motor 6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C-C-0154</t>
        </is>
      </c>
      <c r="B6156" s="12" t="inlineStr">
        <is>
          <t>C</t>
        </is>
      </c>
      <c r="C6156" s="12" t="inlineStr">
        <is>
          <t>Grid interface</t>
        </is>
      </c>
      <c r="D6156" s="12" t="inlineStr">
        <is>
          <t>Motor 7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C-C-0155</t>
        </is>
      </c>
      <c r="B6157" s="12" t="inlineStr">
        <is>
          <t>C</t>
        </is>
      </c>
      <c r="C6157" s="12" t="inlineStr">
        <is>
          <t>Grid interface</t>
        </is>
      </c>
      <c r="D6157" s="12" t="inlineStr">
        <is>
          <t>Motor 8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C-C-0156</t>
        </is>
      </c>
      <c r="B6158" s="12" t="inlineStr">
        <is>
          <t>C</t>
        </is>
      </c>
      <c r="C6158" s="12" t="inlineStr">
        <is>
          <t>Grid interface</t>
        </is>
      </c>
      <c r="D6158" s="12" t="inlineStr">
        <is>
          <t>Motor 9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C-C-0157</t>
        </is>
      </c>
      <c r="B6159" s="12" t="inlineStr">
        <is>
          <t>C</t>
        </is>
      </c>
      <c r="C6159" s="12" t="inlineStr">
        <is>
          <t>Grid interface</t>
        </is>
      </c>
      <c r="D6159" s="12" t="inlineStr">
        <is>
          <t>Motor 10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C-C-0158</t>
        </is>
      </c>
      <c r="B6160" s="12" t="inlineStr">
        <is>
          <t>C</t>
        </is>
      </c>
      <c r="C6160" s="12" t="inlineStr">
        <is>
          <t>Grid interface</t>
        </is>
      </c>
      <c r="D6160" s="12" t="inlineStr">
        <is>
          <t>Motor 11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C-C-0159</t>
        </is>
      </c>
      <c r="B6161" s="12" t="inlineStr">
        <is>
          <t>C</t>
        </is>
      </c>
      <c r="C6161" s="12" t="inlineStr">
        <is>
          <t>Grid interface</t>
        </is>
      </c>
      <c r="D6161" s="12" t="inlineStr">
        <is>
          <t>Motor 12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C-C-0160</t>
        </is>
      </c>
      <c r="B6162" s="12" t="inlineStr">
        <is>
          <t>C</t>
        </is>
      </c>
      <c r="C6162" s="12" t="inlineStr">
        <is>
          <t>Grid interface</t>
        </is>
      </c>
      <c r="D6162" s="12" t="inlineStr">
        <is>
          <t>Motor 13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C-C-0161</t>
        </is>
      </c>
      <c r="B6163" s="12" t="inlineStr">
        <is>
          <t>C</t>
        </is>
      </c>
      <c r="C6163" s="12" t="inlineStr">
        <is>
          <t>Grid interface</t>
        </is>
      </c>
      <c r="D6163" s="12" t="inlineStr">
        <is>
          <t>Motor 14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C-C-0162</t>
        </is>
      </c>
      <c r="B6164" s="12" t="inlineStr">
        <is>
          <t>C</t>
        </is>
      </c>
      <c r="C6164" s="12" t="inlineStr">
        <is>
          <t>Grid interface</t>
        </is>
      </c>
      <c r="D6164" s="12" t="inlineStr">
        <is>
          <t>Motor 15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C-C-0163</t>
        </is>
      </c>
      <c r="B6165" s="12" t="inlineStr">
        <is>
          <t>C</t>
        </is>
      </c>
      <c r="C6165" s="12" t="inlineStr">
        <is>
          <t>Grid interface</t>
        </is>
      </c>
      <c r="D6165" s="12" t="inlineStr">
        <is>
          <t>Motor 16 of 20: control / local station</t>
        </is>
      </c>
      <c r="E6165" s="12" t="inlineStr">
        <is>
          <t>MCC-C1</t>
        </is>
      </c>
      <c r="F6165" s="12" t="inlineStr">
        <is>
          <t>R1 MCC-C1</t>
        </is>
      </c>
      <c r="G6165" s="12" t="inlineStr"/>
      <c r="H6165" s="12" t="inlineStr">
        <is>
          <t>Water treatment building: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1629</v>
      </c>
      <c r="U6165" s="15" t="n">
        <v>161</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C-C-0164</t>
        </is>
      </c>
      <c r="B6166" s="12" t="inlineStr">
        <is>
          <t>C</t>
        </is>
      </c>
      <c r="C6166" s="12" t="inlineStr">
        <is>
          <t>Grid interface</t>
        </is>
      </c>
      <c r="D6166" s="12" t="inlineStr">
        <is>
          <t>Motor 17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C-C-0165</t>
        </is>
      </c>
      <c r="B6167" s="12" t="inlineStr">
        <is>
          <t>C</t>
        </is>
      </c>
      <c r="C6167" s="12" t="inlineStr">
        <is>
          <t>Grid interface</t>
        </is>
      </c>
      <c r="D6167" s="12" t="inlineStr">
        <is>
          <t>Motor 18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C-C-0166</t>
        </is>
      </c>
      <c r="B6168" s="12" t="inlineStr">
        <is>
          <t>C</t>
        </is>
      </c>
      <c r="C6168" s="12" t="inlineStr">
        <is>
          <t>Grid interface</t>
        </is>
      </c>
      <c r="D6168" s="12" t="inlineStr">
        <is>
          <t>Motor 19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C-C-0167</t>
        </is>
      </c>
      <c r="B6169" s="12" t="inlineStr">
        <is>
          <t>C</t>
        </is>
      </c>
      <c r="C6169" s="12" t="inlineStr">
        <is>
          <t>Grid interface</t>
        </is>
      </c>
      <c r="D6169" s="12" t="inlineStr">
        <is>
          <t>Motor 20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C-I-0081</t>
        </is>
      </c>
      <c r="B6170" s="12" t="inlineStr">
        <is>
          <t>C</t>
        </is>
      </c>
      <c r="C6170" s="12" t="inlineStr">
        <is>
          <t>Grid interface</t>
        </is>
      </c>
      <c r="D6170" s="12" t="inlineStr">
        <is>
          <t>Analog instrument to JB JB-CO2 compression 3 -AI01: 20 x 1 pr (field cables)</t>
        </is>
      </c>
      <c r="E6170" s="12" t="inlineStr"/>
      <c r="F6170" s="12" t="inlineStr">
        <is>
          <t xml:space="preserve">CO2 compression 3 x ~19 MW + dehydration: rooftop HVAC, exhaust fans, </t>
        </is>
      </c>
      <c r="G6170" s="12" t="inlineStr">
        <is>
          <t>JB-CO2 compression 3 -AI01</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PLTC|1 pr|16</t>
        </is>
      </c>
      <c r="L6170" s="12" t="inlineStr">
        <is>
          <t>1 pr</t>
        </is>
      </c>
      <c r="M6170" s="12" t="inlineStr">
        <is>
          <t>16</t>
        </is>
      </c>
      <c r="N6170" s="12" t="n">
        <v>20</v>
      </c>
      <c r="O6170" s="12" t="n">
        <v>1</v>
      </c>
      <c r="P6170" s="12" t="n"/>
      <c r="Q6170" s="12" t="n"/>
      <c r="R6170" s="12" t="n"/>
      <c r="S6170" s="12" t="inlineStr">
        <is>
          <t>Tray / conduit</t>
        </is>
      </c>
      <c r="T6170" s="15" t="n">
        <v>161</v>
      </c>
      <c r="U6170" s="15" t="n">
        <v>10</v>
      </c>
      <c r="V6170" s="15">
        <f>ROUNDUP((T6170+U6170+2*'Read Me'!$B$13)*(1+'Read Me'!$B$12),-1)</f>
        <v/>
      </c>
      <c r="W6170" s="15">
        <f>V6170*N6170*O6170</f>
        <v/>
      </c>
      <c r="X6170" s="12">
        <f>IF(LEFT(I6170,2)="MV",2*N6170*IF(L6170="1/C",O6170,1),0)</f>
        <v/>
      </c>
      <c r="Y6170" s="12">
        <f>IF(OR(LEFT(K6170,4)="LVAX",LEFT(K6170,6)="MV15AX",LEFT(K6170,4)="CTAX",LEFT(K6170,2)="W|"),2*N6170*O6170,0)</f>
        <v/>
      </c>
      <c r="Z6170" s="12" t="inlineStr">
        <is>
          <t>device-to-JB field wiring, one cable per device</t>
        </is>
      </c>
      <c r="AA6170" s="12">
        <f>N6170*O6170</f>
        <v/>
      </c>
    </row>
    <row r="6171">
      <c r="A6171" s="12" t="inlineStr">
        <is>
          <t>C-I-0082</t>
        </is>
      </c>
      <c r="B6171" s="12" t="inlineStr">
        <is>
          <t>C</t>
        </is>
      </c>
      <c r="C6171" s="12" t="inlineStr">
        <is>
          <t>Grid interface</t>
        </is>
      </c>
      <c r="D6171" s="12" t="inlineStr">
        <is>
          <t>Home run JB-CO2 compression 3 -AI01 to the control / marshalling room</t>
        </is>
      </c>
      <c r="E6171" s="12" t="inlineStr">
        <is>
          <t>R1</t>
        </is>
      </c>
      <c r="F6171" s="12" t="inlineStr">
        <is>
          <t>R1: main electrical building (64 x 180 ft)</t>
        </is>
      </c>
      <c r="G6171" s="12" t="inlineStr">
        <is>
          <t>JB-CO2 compression 3 -AI01</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PLTC|24 pr|18</t>
        </is>
      </c>
      <c r="L6171" s="12" t="inlineStr">
        <is>
          <t>24 pr</t>
        </is>
      </c>
      <c r="M6171" s="12" t="inlineStr">
        <is>
          <t>18</t>
        </is>
      </c>
      <c r="N6171" s="12" t="n">
        <v>1</v>
      </c>
      <c r="O6171" s="12" t="n">
        <v>1</v>
      </c>
      <c r="P6171" s="12" t="n"/>
      <c r="Q6171" s="12" t="n"/>
      <c r="R6171" s="12" t="n"/>
      <c r="S6171" s="12" t="inlineStr">
        <is>
          <t>Tray</t>
        </is>
      </c>
      <c r="T6171" s="15" t="n">
        <v>2186</v>
      </c>
      <c r="U6171" s="15" t="n">
        <v>268</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C-I-0083</t>
        </is>
      </c>
      <c r="B6172" s="12" t="inlineStr">
        <is>
          <t>C</t>
        </is>
      </c>
      <c r="C6172" s="12" t="inlineStr">
        <is>
          <t>Grid interface</t>
        </is>
      </c>
      <c r="D6172" s="12" t="inlineStr">
        <is>
          <t>Analog instrument to JB JB-CO2 compression 3 -AI02: 20 x 1 pr (field cables)</t>
        </is>
      </c>
      <c r="E6172" s="12" t="inlineStr"/>
      <c r="F6172" s="12" t="inlineStr">
        <is>
          <t xml:space="preserve">CO2 compression 3 x ~19 MW + dehydration: rooftop HVAC, exhaust fans, </t>
        </is>
      </c>
      <c r="G6172" s="12" t="inlineStr">
        <is>
          <t>JB-CO2 compression 3 -AI02</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PLTC|1 pr|16</t>
        </is>
      </c>
      <c r="L6172" s="12" t="inlineStr">
        <is>
          <t>1 pr</t>
        </is>
      </c>
      <c r="M6172" s="12" t="inlineStr">
        <is>
          <t>16</t>
        </is>
      </c>
      <c r="N6172" s="12" t="n">
        <v>20</v>
      </c>
      <c r="O6172" s="12" t="n">
        <v>1</v>
      </c>
      <c r="P6172" s="12" t="n"/>
      <c r="Q6172" s="12" t="n"/>
      <c r="R6172" s="12" t="n"/>
      <c r="S6172" s="12" t="inlineStr">
        <is>
          <t>Tray / conduit</t>
        </is>
      </c>
      <c r="T6172" s="15" t="n">
        <v>161</v>
      </c>
      <c r="U6172" s="15" t="n">
        <v>10</v>
      </c>
      <c r="V6172" s="15">
        <f>ROUNDUP((T6172+U6172+2*'Read Me'!$B$13)*(1+'Read Me'!$B$12),-1)</f>
        <v/>
      </c>
      <c r="W6172" s="15">
        <f>V6172*N6172*O6172</f>
        <v/>
      </c>
      <c r="X6172" s="12">
        <f>IF(LEFT(I6172,2)="MV",2*N6172*IF(L6172="1/C",O6172,1),0)</f>
        <v/>
      </c>
      <c r="Y6172" s="12">
        <f>IF(OR(LEFT(K6172,4)="LVAX",LEFT(K6172,6)="MV15AX",LEFT(K6172,4)="CTAX",LEFT(K6172,2)="W|"),2*N6172*O6172,0)</f>
        <v/>
      </c>
      <c r="Z6172" s="12" t="inlineStr">
        <is>
          <t>device-to-JB field wiring, one cable per device</t>
        </is>
      </c>
      <c r="AA6172" s="12">
        <f>N6172*O6172</f>
        <v/>
      </c>
    </row>
    <row r="6173">
      <c r="A6173" s="12" t="inlineStr">
        <is>
          <t>C-I-0084</t>
        </is>
      </c>
      <c r="B6173" s="12" t="inlineStr">
        <is>
          <t>C</t>
        </is>
      </c>
      <c r="C6173" s="12" t="inlineStr">
        <is>
          <t>Grid interface</t>
        </is>
      </c>
      <c r="D6173" s="12" t="inlineStr">
        <is>
          <t>Home run JB-CO2 compression 3 -AI02 to the control / marshalling room</t>
        </is>
      </c>
      <c r="E6173" s="12" t="inlineStr">
        <is>
          <t>R1</t>
        </is>
      </c>
      <c r="F6173" s="12" t="inlineStr">
        <is>
          <t>R1: main electrical building (64 x 180 ft)</t>
        </is>
      </c>
      <c r="G6173" s="12" t="inlineStr">
        <is>
          <t>JB-CO2 compression 3 -AI02</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PLTC|24 pr|18</t>
        </is>
      </c>
      <c r="L6173" s="12" t="inlineStr">
        <is>
          <t>24 pr</t>
        </is>
      </c>
      <c r="M6173" s="12" t="inlineStr">
        <is>
          <t>18</t>
        </is>
      </c>
      <c r="N6173" s="12" t="n">
        <v>1</v>
      </c>
      <c r="O6173" s="12" t="n">
        <v>1</v>
      </c>
      <c r="P6173" s="12" t="n"/>
      <c r="Q6173" s="12" t="n"/>
      <c r="R6173" s="12" t="n"/>
      <c r="S6173" s="12" t="inlineStr">
        <is>
          <t>Tray</t>
        </is>
      </c>
      <c r="T6173" s="15" t="n">
        <v>2186</v>
      </c>
      <c r="U6173" s="15" t="n">
        <v>268</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C-I-0085</t>
        </is>
      </c>
      <c r="B6174" s="12" t="inlineStr">
        <is>
          <t>C</t>
        </is>
      </c>
      <c r="C6174" s="12" t="inlineStr">
        <is>
          <t>Grid interface</t>
        </is>
      </c>
      <c r="D6174" s="12" t="inlineStr">
        <is>
          <t>Analog instrument to JB JB-CO2 compression 3 -AI03: 20 x 1 pr (field cables)</t>
        </is>
      </c>
      <c r="E6174" s="12" t="inlineStr"/>
      <c r="F6174" s="12" t="inlineStr">
        <is>
          <t xml:space="preserve">CO2 compression 3 x ~19 MW + dehydration: rooftop HVAC, exhaust fans, </t>
        </is>
      </c>
      <c r="G6174" s="12" t="inlineStr">
        <is>
          <t>JB-CO2 compression 3 -AI03</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161</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C-I-0086</t>
        </is>
      </c>
      <c r="B6175" s="12" t="inlineStr">
        <is>
          <t>C</t>
        </is>
      </c>
      <c r="C6175" s="12" t="inlineStr">
        <is>
          <t>Grid interface</t>
        </is>
      </c>
      <c r="D6175" s="12" t="inlineStr">
        <is>
          <t>Home run JB-CO2 compression 3 -AI03 to the control / marshalling room</t>
        </is>
      </c>
      <c r="E6175" s="12" t="inlineStr">
        <is>
          <t>R1</t>
        </is>
      </c>
      <c r="F6175" s="12" t="inlineStr">
        <is>
          <t>R1: main electrical building (64 x 180 ft)</t>
        </is>
      </c>
      <c r="G6175" s="12" t="inlineStr">
        <is>
          <t>JB-CO2 compression 3 -AI03</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Tray</t>
        </is>
      </c>
      <c r="T6175" s="15" t="n">
        <v>2186</v>
      </c>
      <c r="U6175" s="15" t="n">
        <v>268</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C-I-0087</t>
        </is>
      </c>
      <c r="B6176" s="12" t="inlineStr">
        <is>
          <t>C</t>
        </is>
      </c>
      <c r="C6176" s="12" t="inlineStr">
        <is>
          <t>Grid interface</t>
        </is>
      </c>
      <c r="D6176" s="12" t="inlineStr">
        <is>
          <t>Analog instrument to JB JB-CO2 compression 3 -AI04: 20 x 1 pr (field cables)</t>
        </is>
      </c>
      <c r="E6176" s="12" t="inlineStr"/>
      <c r="F6176" s="12" t="inlineStr">
        <is>
          <t xml:space="preserve">CO2 compression 3 x ~19 MW + dehydration: rooftop HVAC, exhaust fans, </t>
        </is>
      </c>
      <c r="G6176" s="12" t="inlineStr">
        <is>
          <t>JB-CO2 compression 3 -AI04</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161</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C-I-0088</t>
        </is>
      </c>
      <c r="B6177" s="12" t="inlineStr">
        <is>
          <t>C</t>
        </is>
      </c>
      <c r="C6177" s="12" t="inlineStr">
        <is>
          <t>Grid interface</t>
        </is>
      </c>
      <c r="D6177" s="12" t="inlineStr">
        <is>
          <t>Home run JB-CO2 compression 3 -AI04 to the control / marshalling room</t>
        </is>
      </c>
      <c r="E6177" s="12" t="inlineStr">
        <is>
          <t>R1</t>
        </is>
      </c>
      <c r="F6177" s="12" t="inlineStr">
        <is>
          <t>R1: main electrical building (64 x 180 ft)</t>
        </is>
      </c>
      <c r="G6177" s="12" t="inlineStr">
        <is>
          <t>JB-CO2 compression 3 -AI04</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Tray</t>
        </is>
      </c>
      <c r="T6177" s="15" t="n">
        <v>2186</v>
      </c>
      <c r="U6177" s="15" t="n">
        <v>268</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C-I-0089</t>
        </is>
      </c>
      <c r="B6178" s="12" t="inlineStr">
        <is>
          <t>C</t>
        </is>
      </c>
      <c r="C6178" s="12" t="inlineStr">
        <is>
          <t>Grid interface</t>
        </is>
      </c>
      <c r="D6178" s="12" t="inlineStr">
        <is>
          <t>Analog instrument to JB JB-CO2 compression 3 -AI05: 20 x 1 pr (field cables)</t>
        </is>
      </c>
      <c r="E6178" s="12" t="inlineStr"/>
      <c r="F6178" s="12" t="inlineStr">
        <is>
          <t xml:space="preserve">CO2 compression 3 x ~19 MW + dehydration: rooftop HVAC, exhaust fans, </t>
        </is>
      </c>
      <c r="G6178" s="12" t="inlineStr">
        <is>
          <t>JB-CO2 compression 3 -AI05</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161</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C-I-0090</t>
        </is>
      </c>
      <c r="B6179" s="12" t="inlineStr">
        <is>
          <t>C</t>
        </is>
      </c>
      <c r="C6179" s="12" t="inlineStr">
        <is>
          <t>Grid interface</t>
        </is>
      </c>
      <c r="D6179" s="12" t="inlineStr">
        <is>
          <t>Home run JB-CO2 compression 3 -AI05 to the control / marshalling room</t>
        </is>
      </c>
      <c r="E6179" s="12" t="inlineStr">
        <is>
          <t>R1</t>
        </is>
      </c>
      <c r="F6179" s="12" t="inlineStr">
        <is>
          <t>R1: main electrical building (64 x 180 ft)</t>
        </is>
      </c>
      <c r="G6179" s="12" t="inlineStr">
        <is>
          <t>JB-CO2 compression 3 -AI05</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Tray</t>
        </is>
      </c>
      <c r="T6179" s="15" t="n">
        <v>2186</v>
      </c>
      <c r="U6179" s="15" t="n">
        <v>268</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C-I-0091</t>
        </is>
      </c>
      <c r="B6180" s="12" t="inlineStr">
        <is>
          <t>C</t>
        </is>
      </c>
      <c r="C6180" s="12" t="inlineStr">
        <is>
          <t>Grid interface</t>
        </is>
      </c>
      <c r="D6180" s="12" t="inlineStr">
        <is>
          <t>Analog instrument to JB JB-CO2 compression 3 -AI06: 20 x 1 pr (field cables)</t>
        </is>
      </c>
      <c r="E6180" s="12" t="inlineStr"/>
      <c r="F6180" s="12" t="inlineStr">
        <is>
          <t xml:space="preserve">CO2 compression 3 x ~19 MW + dehydration: rooftop HVAC, exhaust fans, </t>
        </is>
      </c>
      <c r="G6180" s="12" t="inlineStr">
        <is>
          <t>JB-CO2 compression 3 -AI06</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161</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C-I-0092</t>
        </is>
      </c>
      <c r="B6181" s="12" t="inlineStr">
        <is>
          <t>C</t>
        </is>
      </c>
      <c r="C6181" s="12" t="inlineStr">
        <is>
          <t>Grid interface</t>
        </is>
      </c>
      <c r="D6181" s="12" t="inlineStr">
        <is>
          <t>Home run JB-CO2 compression 3 -AI06 to the control / marshalling room</t>
        </is>
      </c>
      <c r="E6181" s="12" t="inlineStr">
        <is>
          <t>R1</t>
        </is>
      </c>
      <c r="F6181" s="12" t="inlineStr">
        <is>
          <t>R1: main electrical building (64 x 180 ft)</t>
        </is>
      </c>
      <c r="G6181" s="12" t="inlineStr">
        <is>
          <t>JB-CO2 compression 3 -AI06</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Tray</t>
        </is>
      </c>
      <c r="T6181" s="15" t="n">
        <v>2186</v>
      </c>
      <c r="U6181" s="15" t="n">
        <v>268</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C-I-0093</t>
        </is>
      </c>
      <c r="B6182" s="12" t="inlineStr">
        <is>
          <t>C</t>
        </is>
      </c>
      <c r="C6182" s="12" t="inlineStr">
        <is>
          <t>Grid interface</t>
        </is>
      </c>
      <c r="D6182" s="12" t="inlineStr">
        <is>
          <t>Analog instrument to JB JB-CO2 compression 3 -AI07: 20 x 1 pr (field cables)</t>
        </is>
      </c>
      <c r="E6182" s="12" t="inlineStr"/>
      <c r="F6182" s="12" t="inlineStr">
        <is>
          <t xml:space="preserve">CO2 compression 3 x ~19 MW + dehydration: rooftop HVAC, exhaust fans, </t>
        </is>
      </c>
      <c r="G6182" s="12" t="inlineStr">
        <is>
          <t>JB-CO2 compression 3 -AI07</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PLTC|1 pr|16</t>
        </is>
      </c>
      <c r="L6182" s="12" t="inlineStr">
        <is>
          <t>1 pr</t>
        </is>
      </c>
      <c r="M6182" s="12" t="inlineStr">
        <is>
          <t>16</t>
        </is>
      </c>
      <c r="N6182" s="12" t="n">
        <v>20</v>
      </c>
      <c r="O6182" s="12" t="n">
        <v>1</v>
      </c>
      <c r="P6182" s="12" t="n"/>
      <c r="Q6182" s="12" t="n"/>
      <c r="R6182" s="12" t="n"/>
      <c r="S6182" s="12" t="inlineStr">
        <is>
          <t>Tray / conduit</t>
        </is>
      </c>
      <c r="T6182" s="15" t="n">
        <v>161</v>
      </c>
      <c r="U6182" s="15" t="n">
        <v>10</v>
      </c>
      <c r="V6182" s="15">
        <f>ROUNDUP((T6182+U6182+2*'Read Me'!$B$13)*(1+'Read Me'!$B$12),-1)</f>
        <v/>
      </c>
      <c r="W6182" s="15">
        <f>V6182*N6182*O6182</f>
        <v/>
      </c>
      <c r="X6182" s="12">
        <f>IF(LEFT(I6182,2)="MV",2*N6182*IF(L6182="1/C",O6182,1),0)</f>
        <v/>
      </c>
      <c r="Y6182" s="12">
        <f>IF(OR(LEFT(K6182,4)="LVAX",LEFT(K6182,6)="MV15AX",LEFT(K6182,4)="CTAX",LEFT(K6182,2)="W|"),2*N6182*O6182,0)</f>
        <v/>
      </c>
      <c r="Z6182" s="12" t="inlineStr">
        <is>
          <t>device-to-JB field wiring, one cable per device</t>
        </is>
      </c>
      <c r="AA6182" s="12">
        <f>N6182*O6182</f>
        <v/>
      </c>
    </row>
    <row r="6183">
      <c r="A6183" s="12" t="inlineStr">
        <is>
          <t>C-I-0094</t>
        </is>
      </c>
      <c r="B6183" s="12" t="inlineStr">
        <is>
          <t>C</t>
        </is>
      </c>
      <c r="C6183" s="12" t="inlineStr">
        <is>
          <t>Grid interface</t>
        </is>
      </c>
      <c r="D6183" s="12" t="inlineStr">
        <is>
          <t>Home run JB-CO2 compression 3 -AI07 to the control / marshalling room</t>
        </is>
      </c>
      <c r="E6183" s="12" t="inlineStr">
        <is>
          <t>R1</t>
        </is>
      </c>
      <c r="F6183" s="12" t="inlineStr">
        <is>
          <t>R1: main electrical building (64 x 180 ft)</t>
        </is>
      </c>
      <c r="G6183" s="12" t="inlineStr">
        <is>
          <t>JB-CO2 compression 3 -AI07</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PLTC|24 pr|18</t>
        </is>
      </c>
      <c r="L6183" s="12" t="inlineStr">
        <is>
          <t>24 pr</t>
        </is>
      </c>
      <c r="M6183" s="12" t="inlineStr">
        <is>
          <t>18</t>
        </is>
      </c>
      <c r="N6183" s="12" t="n">
        <v>1</v>
      </c>
      <c r="O6183" s="12" t="n">
        <v>1</v>
      </c>
      <c r="P6183" s="12" t="n"/>
      <c r="Q6183" s="12" t="n"/>
      <c r="R6183" s="12" t="n"/>
      <c r="S6183" s="12" t="inlineStr">
        <is>
          <t>Tray</t>
        </is>
      </c>
      <c r="T6183" s="15" t="n">
        <v>2186</v>
      </c>
      <c r="U6183" s="15" t="n">
        <v>268</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C-I-0095</t>
        </is>
      </c>
      <c r="B6184" s="12" t="inlineStr">
        <is>
          <t>C</t>
        </is>
      </c>
      <c r="C6184" s="12" t="inlineStr">
        <is>
          <t>Grid interface</t>
        </is>
      </c>
      <c r="D6184" s="12" t="inlineStr">
        <is>
          <t>Analog instrument to JB JB-CO2 compression 3 -AI08: 10 x 1 pr (field cables)</t>
        </is>
      </c>
      <c r="E6184" s="12" t="inlineStr"/>
      <c r="F6184" s="12" t="inlineStr">
        <is>
          <t xml:space="preserve">CO2 compression 3 x ~19 MW + dehydration: rooftop HVAC, exhaust fans, </t>
        </is>
      </c>
      <c r="G6184" s="12" t="inlineStr">
        <is>
          <t>JB-CO2 compression 3 -AI08</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PLTC|1 pr|16</t>
        </is>
      </c>
      <c r="L6184" s="12" t="inlineStr">
        <is>
          <t>1 pr</t>
        </is>
      </c>
      <c r="M6184" s="12" t="inlineStr">
        <is>
          <t>16</t>
        </is>
      </c>
      <c r="N6184" s="12" t="n">
        <v>10</v>
      </c>
      <c r="O6184" s="12" t="n">
        <v>1</v>
      </c>
      <c r="P6184" s="12" t="n"/>
      <c r="Q6184" s="12" t="n"/>
      <c r="R6184" s="12" t="n"/>
      <c r="S6184" s="12" t="inlineStr">
        <is>
          <t>Tray / conduit</t>
        </is>
      </c>
      <c r="T6184" s="15" t="n">
        <v>161</v>
      </c>
      <c r="U6184" s="15" t="n">
        <v>10</v>
      </c>
      <c r="V6184" s="15">
        <f>ROUNDUP((T6184+U6184+2*'Read Me'!$B$13)*(1+'Read Me'!$B$12),-1)</f>
        <v/>
      </c>
      <c r="W6184" s="15">
        <f>V6184*N6184*O6184</f>
        <v/>
      </c>
      <c r="X6184" s="12">
        <f>IF(LEFT(I6184,2)="MV",2*N6184*IF(L6184="1/C",O6184,1),0)</f>
        <v/>
      </c>
      <c r="Y6184" s="12">
        <f>IF(OR(LEFT(K6184,4)="LVAX",LEFT(K6184,6)="MV15AX",LEFT(K6184,4)="CTAX",LEFT(K6184,2)="W|"),2*N6184*O6184,0)</f>
        <v/>
      </c>
      <c r="Z6184" s="12" t="inlineStr">
        <is>
          <t>device-to-JB field wiring, one cable per device</t>
        </is>
      </c>
      <c r="AA6184" s="12">
        <f>N6184*O6184</f>
        <v/>
      </c>
    </row>
    <row r="6185">
      <c r="A6185" s="12" t="inlineStr">
        <is>
          <t>C-I-0096</t>
        </is>
      </c>
      <c r="B6185" s="12" t="inlineStr">
        <is>
          <t>C</t>
        </is>
      </c>
      <c r="C6185" s="12" t="inlineStr">
        <is>
          <t>Grid interface</t>
        </is>
      </c>
      <c r="D6185" s="12" t="inlineStr">
        <is>
          <t>Home run JB-CO2 compression 3 -AI08 to the control / marshalling room</t>
        </is>
      </c>
      <c r="E6185" s="12" t="inlineStr">
        <is>
          <t>R1</t>
        </is>
      </c>
      <c r="F6185" s="12" t="inlineStr">
        <is>
          <t>R1: main electrical building (64 x 180 ft)</t>
        </is>
      </c>
      <c r="G6185" s="12" t="inlineStr">
        <is>
          <t>JB-CO2 compression 3 -AI08</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PLTC|24 pr|18</t>
        </is>
      </c>
      <c r="L6185" s="12" t="inlineStr">
        <is>
          <t>24 pr</t>
        </is>
      </c>
      <c r="M6185" s="12" t="inlineStr">
        <is>
          <t>18</t>
        </is>
      </c>
      <c r="N6185" s="12" t="n">
        <v>1</v>
      </c>
      <c r="O6185" s="12" t="n">
        <v>1</v>
      </c>
      <c r="P6185" s="12" t="n"/>
      <c r="Q6185" s="12" t="n"/>
      <c r="R6185" s="12" t="n"/>
      <c r="S6185" s="12" t="inlineStr">
        <is>
          <t>Tray</t>
        </is>
      </c>
      <c r="T6185" s="15" t="n">
        <v>2186</v>
      </c>
      <c r="U6185" s="15" t="n">
        <v>268</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C-I-0097</t>
        </is>
      </c>
      <c r="B6186" s="12" t="inlineStr">
        <is>
          <t>C</t>
        </is>
      </c>
      <c r="C6186" s="12" t="inlineStr">
        <is>
          <t>Grid interface</t>
        </is>
      </c>
      <c r="D6186" s="12" t="inlineStr">
        <is>
          <t>Discrete device to JB JB-CO2 compression 3 -DI01: 20 x 1 pr (field cables)</t>
        </is>
      </c>
      <c r="E6186" s="12" t="inlineStr"/>
      <c r="F6186" s="12" t="inlineStr">
        <is>
          <t xml:space="preserve">CO2 compression 3 x ~19 MW + dehydration: rooftop HVAC, exhaust fans, </t>
        </is>
      </c>
      <c r="G6186" s="12" t="inlineStr">
        <is>
          <t>JB-CO2 compression 3 -DI01</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C-I-0098</t>
        </is>
      </c>
      <c r="B6187" s="12" t="inlineStr">
        <is>
          <t>C</t>
        </is>
      </c>
      <c r="C6187" s="12" t="inlineStr">
        <is>
          <t>Grid interface</t>
        </is>
      </c>
      <c r="D6187" s="12" t="inlineStr">
        <is>
          <t>Home run JB-CO2 compression 3 -DI01 to the control / marshalling room</t>
        </is>
      </c>
      <c r="E6187" s="12" t="inlineStr">
        <is>
          <t>R1</t>
        </is>
      </c>
      <c r="F6187" s="12" t="inlineStr">
        <is>
          <t>R1: main electrical building (64 x 180 ft)</t>
        </is>
      </c>
      <c r="G6187" s="12" t="inlineStr">
        <is>
          <t>JB-CO2 compression 3 -DI01</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C-I-0099</t>
        </is>
      </c>
      <c r="B6188" s="12" t="inlineStr">
        <is>
          <t>C</t>
        </is>
      </c>
      <c r="C6188" s="12" t="inlineStr">
        <is>
          <t>Grid interface</t>
        </is>
      </c>
      <c r="D6188" s="12" t="inlineStr">
        <is>
          <t>Discrete device to JB JB-CO2 compression 3 -DI02: 20 x 1 pr (field cables)</t>
        </is>
      </c>
      <c r="E6188" s="12" t="inlineStr"/>
      <c r="F6188" s="12" t="inlineStr">
        <is>
          <t xml:space="preserve">CO2 compression 3 x ~19 MW + dehydration: rooftop HVAC, exhaust fans, </t>
        </is>
      </c>
      <c r="G6188" s="12" t="inlineStr">
        <is>
          <t>JB-CO2 compression 3 -DI02</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20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C-I-0100</t>
        </is>
      </c>
      <c r="B6189" s="12" t="inlineStr">
        <is>
          <t>C</t>
        </is>
      </c>
      <c r="C6189" s="12" t="inlineStr">
        <is>
          <t>Grid interface</t>
        </is>
      </c>
      <c r="D6189" s="12" t="inlineStr">
        <is>
          <t>Home run JB-CO2 compression 3 -DI02 to the control / marshalling room</t>
        </is>
      </c>
      <c r="E6189" s="12" t="inlineStr">
        <is>
          <t>R1</t>
        </is>
      </c>
      <c r="F6189" s="12" t="inlineStr">
        <is>
          <t>R1: main electrical building (64 x 180 ft)</t>
        </is>
      </c>
      <c r="G6189" s="12" t="inlineStr">
        <is>
          <t>JB-CO2 compression 3 -DI02</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C-I-0101</t>
        </is>
      </c>
      <c r="B6190" s="12" t="inlineStr">
        <is>
          <t>C</t>
        </is>
      </c>
      <c r="C6190" s="12" t="inlineStr">
        <is>
          <t>Grid interface</t>
        </is>
      </c>
      <c r="D6190" s="12" t="inlineStr">
        <is>
          <t>Discrete device to JB JB-CO2 compression 3 -DI03: 20 x 1 pr (field cables)</t>
        </is>
      </c>
      <c r="E6190" s="12" t="inlineStr"/>
      <c r="F6190" s="12" t="inlineStr">
        <is>
          <t xml:space="preserve">CO2 compression 3 x ~19 MW + dehydration: rooftop HVAC, exhaust fans, </t>
        </is>
      </c>
      <c r="G6190" s="12" t="inlineStr">
        <is>
          <t>JB-CO2 compression 3 -DI03</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C-I-0102</t>
        </is>
      </c>
      <c r="B6191" s="12" t="inlineStr">
        <is>
          <t>C</t>
        </is>
      </c>
      <c r="C6191" s="12" t="inlineStr">
        <is>
          <t>Grid interface</t>
        </is>
      </c>
      <c r="D6191" s="12" t="inlineStr">
        <is>
          <t>Home run JB-CO2 compression 3 -DI03 to the control / marshalling room</t>
        </is>
      </c>
      <c r="E6191" s="12" t="inlineStr">
        <is>
          <t>R1</t>
        </is>
      </c>
      <c r="F6191" s="12" t="inlineStr">
        <is>
          <t>R1: main electrical building (64 x 180 ft)</t>
        </is>
      </c>
      <c r="G6191" s="12" t="inlineStr">
        <is>
          <t>JB-CO2 compression 3 -DI03</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C-I-0103</t>
        </is>
      </c>
      <c r="B6192" s="12" t="inlineStr">
        <is>
          <t>C</t>
        </is>
      </c>
      <c r="C6192" s="12" t="inlineStr">
        <is>
          <t>Grid interface</t>
        </is>
      </c>
      <c r="D6192" s="12" t="inlineStr">
        <is>
          <t>Discrete device to JB JB-CO2 compression 3 -DI04: 20 x 1 pr (field cables)</t>
        </is>
      </c>
      <c r="E6192" s="12" t="inlineStr"/>
      <c r="F6192" s="12" t="inlineStr">
        <is>
          <t xml:space="preserve">CO2 compression 3 x ~19 MW + dehydration: rooftop HVAC, exhaust fans, </t>
        </is>
      </c>
      <c r="G6192" s="12" t="inlineStr">
        <is>
          <t>JB-CO2 compression 3 -DI04</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C-I-0104</t>
        </is>
      </c>
      <c r="B6193" s="12" t="inlineStr">
        <is>
          <t>C</t>
        </is>
      </c>
      <c r="C6193" s="12" t="inlineStr">
        <is>
          <t>Grid interface</t>
        </is>
      </c>
      <c r="D6193" s="12" t="inlineStr">
        <is>
          <t>Home run JB-CO2 compression 3 -DI04 to the control / marshalling room</t>
        </is>
      </c>
      <c r="E6193" s="12" t="inlineStr">
        <is>
          <t>R1</t>
        </is>
      </c>
      <c r="F6193" s="12" t="inlineStr">
        <is>
          <t>R1: main electrical building (64 x 180 ft)</t>
        </is>
      </c>
      <c r="G6193" s="12" t="inlineStr">
        <is>
          <t>JB-CO2 compression 3 -DI04</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C-I-0105</t>
        </is>
      </c>
      <c r="B6194" s="12" t="inlineStr">
        <is>
          <t>C</t>
        </is>
      </c>
      <c r="C6194" s="12" t="inlineStr">
        <is>
          <t>Grid interface</t>
        </is>
      </c>
      <c r="D6194" s="12" t="inlineStr">
        <is>
          <t>Discrete device to JB JB-CO2 compression 3 -DI05: 20 x 1 pr (field cables)</t>
        </is>
      </c>
      <c r="E6194" s="12" t="inlineStr"/>
      <c r="F6194" s="12" t="inlineStr">
        <is>
          <t xml:space="preserve">CO2 compression 3 x ~19 MW + dehydration: rooftop HVAC, exhaust fans, </t>
        </is>
      </c>
      <c r="G6194" s="12" t="inlineStr">
        <is>
          <t>JB-CO2 compression 3 -DI05</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C-I-0106</t>
        </is>
      </c>
      <c r="B6195" s="12" t="inlineStr">
        <is>
          <t>C</t>
        </is>
      </c>
      <c r="C6195" s="12" t="inlineStr">
        <is>
          <t>Grid interface</t>
        </is>
      </c>
      <c r="D6195" s="12" t="inlineStr">
        <is>
          <t>Home run JB-CO2 compression 3 -DI05 to the control / marshalling room</t>
        </is>
      </c>
      <c r="E6195" s="12" t="inlineStr">
        <is>
          <t>R1</t>
        </is>
      </c>
      <c r="F6195" s="12" t="inlineStr">
        <is>
          <t>R1: main electrical building (64 x 180 ft)</t>
        </is>
      </c>
      <c r="G6195" s="12" t="inlineStr">
        <is>
          <t>JB-CO2 compression 3 -DI05</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C-I-0107</t>
        </is>
      </c>
      <c r="B6196" s="12" t="inlineStr">
        <is>
          <t>C</t>
        </is>
      </c>
      <c r="C6196" s="12" t="inlineStr">
        <is>
          <t>Grid interface</t>
        </is>
      </c>
      <c r="D6196" s="12" t="inlineStr">
        <is>
          <t>RTD to JB JB-CO2 compression 3 -RTD01: 10 x 1 tri (field cables)</t>
        </is>
      </c>
      <c r="E6196" s="12" t="inlineStr"/>
      <c r="F6196" s="12" t="inlineStr">
        <is>
          <t xml:space="preserve">CO2 compression 3 x ~19 MW + dehydration: rooftop HVAC, exhaust fans, </t>
        </is>
      </c>
      <c r="G6196" s="12" t="inlineStr">
        <is>
          <t>JB-CO2 compression 3 -RTD01</t>
        </is>
      </c>
      <c r="H6196" s="12" t="inlineStr">
        <is>
          <t xml:space="preserve">CO2 compression 3 x ~19 MW + dehydration: rooftop HVAC, exhaust fans, </t>
        </is>
      </c>
      <c r="I6196" s="12" t="inlineStr">
        <is>
          <t>Instrumentation</t>
        </is>
      </c>
      <c r="J6196" s="12" t="inlineStr">
        <is>
          <t>RTD cable, #18 shielded triads, PLTC</t>
        </is>
      </c>
      <c r="K6196" s="12" t="inlineStr">
        <is>
          <t>RTD|1 tri|18</t>
        </is>
      </c>
      <c r="L6196" s="12" t="inlineStr">
        <is>
          <t>1 tri</t>
        </is>
      </c>
      <c r="M6196" s="12" t="inlineStr">
        <is>
          <t>18</t>
        </is>
      </c>
      <c r="N6196" s="12" t="n">
        <v>10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C-I-0108</t>
        </is>
      </c>
      <c r="B6197" s="12" t="inlineStr">
        <is>
          <t>C</t>
        </is>
      </c>
      <c r="C6197" s="12" t="inlineStr">
        <is>
          <t>Grid interface</t>
        </is>
      </c>
      <c r="D6197" s="12" t="inlineStr">
        <is>
          <t>Home run JB-CO2 compression 3 -RTD01 to the control / marshalling room</t>
        </is>
      </c>
      <c r="E6197" s="12" t="inlineStr">
        <is>
          <t>R1</t>
        </is>
      </c>
      <c r="F6197" s="12" t="inlineStr">
        <is>
          <t>R1: main electrical building (64 x 180 ft)</t>
        </is>
      </c>
      <c r="G6197" s="12" t="inlineStr">
        <is>
          <t>JB-CO2 compression 3 -RTD01</t>
        </is>
      </c>
      <c r="H6197" s="12" t="inlineStr">
        <is>
          <t xml:space="preserve">CO2 compression 3 x ~19 MW + dehydration: rooftop HVAC, exhaust fans, </t>
        </is>
      </c>
      <c r="I6197" s="12" t="inlineStr">
        <is>
          <t>Instrumentation</t>
        </is>
      </c>
      <c r="J6197" s="12" t="inlineStr">
        <is>
          <t>RTD cable, #18 shielded triads, PLTC</t>
        </is>
      </c>
      <c r="K6197" s="12" t="inlineStr">
        <is>
          <t>RTD|12 tri|18</t>
        </is>
      </c>
      <c r="L6197" s="12" t="inlineStr">
        <is>
          <t>12 tri</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C-I-0109</t>
        </is>
      </c>
      <c r="B6198" s="12" t="inlineStr">
        <is>
          <t>C</t>
        </is>
      </c>
      <c r="C6198" s="12" t="inlineStr">
        <is>
          <t>Grid interface</t>
        </is>
      </c>
      <c r="D6198" s="12" t="inlineStr">
        <is>
          <t>RTD to JB JB-CO2 compression 3 -RTD02: 10 x 1 tri (field cables)</t>
        </is>
      </c>
      <c r="E6198" s="12" t="inlineStr"/>
      <c r="F6198" s="12" t="inlineStr">
        <is>
          <t xml:space="preserve">CO2 compression 3 x ~19 MW + dehydration: rooftop HVAC, exhaust fans, </t>
        </is>
      </c>
      <c r="G6198" s="12" t="inlineStr">
        <is>
          <t>JB-CO2 compression 3 -RTD02</t>
        </is>
      </c>
      <c r="H6198" s="12" t="inlineStr">
        <is>
          <t xml:space="preserve">CO2 compression 3 x ~19 MW + dehydration: rooftop HVAC, exhaust fans, </t>
        </is>
      </c>
      <c r="I6198" s="12" t="inlineStr">
        <is>
          <t>Instrumentation</t>
        </is>
      </c>
      <c r="J6198" s="12" t="inlineStr">
        <is>
          <t>RTD cable, #18 shielded triads, PLTC</t>
        </is>
      </c>
      <c r="K6198" s="12" t="inlineStr">
        <is>
          <t>RTD|1 tri|18</t>
        </is>
      </c>
      <c r="L6198" s="12" t="inlineStr">
        <is>
          <t>1 tri</t>
        </is>
      </c>
      <c r="M6198" s="12" t="inlineStr">
        <is>
          <t>18</t>
        </is>
      </c>
      <c r="N6198" s="12" t="n">
        <v>10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C-I-0110</t>
        </is>
      </c>
      <c r="B6199" s="12" t="inlineStr">
        <is>
          <t>C</t>
        </is>
      </c>
      <c r="C6199" s="12" t="inlineStr">
        <is>
          <t>Grid interface</t>
        </is>
      </c>
      <c r="D6199" s="12" t="inlineStr">
        <is>
          <t>Home run JB-CO2 compression 3 -RTD02 to the control / marshalling room</t>
        </is>
      </c>
      <c r="E6199" s="12" t="inlineStr">
        <is>
          <t>R1</t>
        </is>
      </c>
      <c r="F6199" s="12" t="inlineStr">
        <is>
          <t>R1: main electrical building (64 x 180 ft)</t>
        </is>
      </c>
      <c r="G6199" s="12" t="inlineStr">
        <is>
          <t>JB-CO2 compression 3 -RTD02</t>
        </is>
      </c>
      <c r="H6199" s="12" t="inlineStr">
        <is>
          <t xml:space="preserve">CO2 compression 3 x ~19 MW + dehydration: rooftop HVAC, exhaust fans, </t>
        </is>
      </c>
      <c r="I6199" s="12" t="inlineStr">
        <is>
          <t>Instrumentation</t>
        </is>
      </c>
      <c r="J6199" s="12" t="inlineStr">
        <is>
          <t>RTD cable, #18 shielded triads, PLTC</t>
        </is>
      </c>
      <c r="K6199" s="12" t="inlineStr">
        <is>
          <t>RTD|12 tri|18</t>
        </is>
      </c>
      <c r="L6199" s="12" t="inlineStr">
        <is>
          <t>12 tri</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C-I-0111</t>
        </is>
      </c>
      <c r="B6200" s="12" t="inlineStr">
        <is>
          <t>C</t>
        </is>
      </c>
      <c r="C6200" s="12" t="inlineStr">
        <is>
          <t>Grid interface</t>
        </is>
      </c>
      <c r="D6200" s="12" t="inlineStr">
        <is>
          <t>RTD to JB JB-CO2 compression 3 -RTD03: 10 x 1 tri (field cables)</t>
        </is>
      </c>
      <c r="E6200" s="12" t="inlineStr"/>
      <c r="F6200" s="12" t="inlineStr">
        <is>
          <t xml:space="preserve">CO2 compression 3 x ~19 MW + dehydration: rooftop HVAC, exhaust fans, </t>
        </is>
      </c>
      <c r="G6200" s="12" t="inlineStr">
        <is>
          <t>JB-CO2 compression 3 -RTD03</t>
        </is>
      </c>
      <c r="H6200" s="12" t="inlineStr">
        <is>
          <t xml:space="preserve">CO2 compression 3 x ~19 MW + dehydration: rooftop HVAC, exhaust fans, </t>
        </is>
      </c>
      <c r="I6200" s="12" t="inlineStr">
        <is>
          <t>Instrumentation</t>
        </is>
      </c>
      <c r="J6200" s="12" t="inlineStr">
        <is>
          <t>RTD cable, #18 shielded triads, PLTC</t>
        </is>
      </c>
      <c r="K6200" s="12" t="inlineStr">
        <is>
          <t>RTD|1 tri|18</t>
        </is>
      </c>
      <c r="L6200" s="12" t="inlineStr">
        <is>
          <t>1 tri</t>
        </is>
      </c>
      <c r="M6200" s="12" t="inlineStr">
        <is>
          <t>18</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C-I-0112</t>
        </is>
      </c>
      <c r="B6201" s="12" t="inlineStr">
        <is>
          <t>C</t>
        </is>
      </c>
      <c r="C6201" s="12" t="inlineStr">
        <is>
          <t>Grid interface</t>
        </is>
      </c>
      <c r="D6201" s="12" t="inlineStr">
        <is>
          <t>Home run JB-CO2 compression 3 -RTD03 to the control / marshalling room</t>
        </is>
      </c>
      <c r="E6201" s="12" t="inlineStr">
        <is>
          <t>R1</t>
        </is>
      </c>
      <c r="F6201" s="12" t="inlineStr">
        <is>
          <t>R1: main electrical building (64 x 180 ft)</t>
        </is>
      </c>
      <c r="G6201" s="12" t="inlineStr">
        <is>
          <t>JB-CO2 compression 3 -RTD03</t>
        </is>
      </c>
      <c r="H6201" s="12" t="inlineStr">
        <is>
          <t xml:space="preserve">CO2 compression 3 x ~19 MW + dehydration: rooftop HVAC, exhaust fans, </t>
        </is>
      </c>
      <c r="I6201" s="12" t="inlineStr">
        <is>
          <t>Instrumentation</t>
        </is>
      </c>
      <c r="J6201" s="12" t="inlineStr">
        <is>
          <t>RTD cable, #18 shielded triads, PLTC</t>
        </is>
      </c>
      <c r="K6201" s="12" t="inlineStr">
        <is>
          <t>RTD|12 tri|18</t>
        </is>
      </c>
      <c r="L6201" s="12" t="inlineStr">
        <is>
          <t>12 tri</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C-I-0113</t>
        </is>
      </c>
      <c r="B6202" s="12" t="inlineStr">
        <is>
          <t>C</t>
        </is>
      </c>
      <c r="C6202" s="12" t="inlineStr">
        <is>
          <t>Grid interface</t>
        </is>
      </c>
      <c r="D6202" s="12" t="inlineStr">
        <is>
          <t>RTD to JB JB-CO2 compression 3 -RTD04: 6 x 1 tri (field cables)</t>
        </is>
      </c>
      <c r="E6202" s="12" t="inlineStr"/>
      <c r="F6202" s="12" t="inlineStr">
        <is>
          <t xml:space="preserve">CO2 compression 3 x ~19 MW + dehydration: rooftop HVAC, exhaust fans, </t>
        </is>
      </c>
      <c r="G6202" s="12" t="inlineStr">
        <is>
          <t>JB-CO2 compression 3 -RTD04</t>
        </is>
      </c>
      <c r="H6202" s="12" t="inlineStr">
        <is>
          <t xml:space="preserve">CO2 compression 3 x ~19 MW + dehydration: rooftop HVAC, exhaust fans, </t>
        </is>
      </c>
      <c r="I6202" s="12" t="inlineStr">
        <is>
          <t>Instrumentation</t>
        </is>
      </c>
      <c r="J6202" s="12" t="inlineStr">
        <is>
          <t>RTD cable, #18 shielded triads, PLTC</t>
        </is>
      </c>
      <c r="K6202" s="12" t="inlineStr">
        <is>
          <t>RTD|1 tri|18</t>
        </is>
      </c>
      <c r="L6202" s="12" t="inlineStr">
        <is>
          <t>1 tri</t>
        </is>
      </c>
      <c r="M6202" s="12" t="inlineStr">
        <is>
          <t>18</t>
        </is>
      </c>
      <c r="N6202" s="12" t="n">
        <v>6</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C-I-0114</t>
        </is>
      </c>
      <c r="B6203" s="12" t="inlineStr">
        <is>
          <t>C</t>
        </is>
      </c>
      <c r="C6203" s="12" t="inlineStr">
        <is>
          <t>Grid interface</t>
        </is>
      </c>
      <c r="D6203" s="12" t="inlineStr">
        <is>
          <t>Home run JB-CO2 compression 3 -RTD04 to the control / marshalling room</t>
        </is>
      </c>
      <c r="E6203" s="12" t="inlineStr">
        <is>
          <t>R1</t>
        </is>
      </c>
      <c r="F6203" s="12" t="inlineStr">
        <is>
          <t>R1: main electrical building (64 x 180 ft)</t>
        </is>
      </c>
      <c r="G6203" s="12" t="inlineStr">
        <is>
          <t>JB-CO2 compression 3 -RTD04</t>
        </is>
      </c>
      <c r="H6203" s="12" t="inlineStr">
        <is>
          <t xml:space="preserve">CO2 compression 3 x ~19 MW + dehydration: rooftop HVAC, exhaust fans, </t>
        </is>
      </c>
      <c r="I6203" s="12" t="inlineStr">
        <is>
          <t>Instrumentation</t>
        </is>
      </c>
      <c r="J6203" s="12" t="inlineStr">
        <is>
          <t>RTD cable, #18 shielded triads, PLTC</t>
        </is>
      </c>
      <c r="K6203" s="12" t="inlineStr">
        <is>
          <t>RTD|12 tri|18</t>
        </is>
      </c>
      <c r="L6203" s="12" t="inlineStr">
        <is>
          <t>12 tri</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C-I-0115</t>
        </is>
      </c>
      <c r="B6204" s="12" t="inlineStr">
        <is>
          <t>C</t>
        </is>
      </c>
      <c r="C6204" s="12" t="inlineStr">
        <is>
          <t>Grid interface</t>
        </is>
      </c>
      <c r="D6204" s="12" t="inlineStr">
        <is>
          <t>Analog instrument to JB JB-Small-bore piping:-AI01: 10 x 1 pr (field cables)</t>
        </is>
      </c>
      <c r="E6204" s="12" t="inlineStr"/>
      <c r="F6204" s="12" t="inlineStr">
        <is>
          <t>Small-bore piping: instrument air, service water, nitrogen, HRSG drain</t>
        </is>
      </c>
      <c r="G6204" s="12" t="inlineStr">
        <is>
          <t>JB-Small-bore piping:-AI01</t>
        </is>
      </c>
      <c r="H6204" s="12" t="inlineStr">
        <is>
          <t>Small-bore piping: instrument air, service water, nitrogen, HRSG drain</t>
        </is>
      </c>
      <c r="I6204" s="12" t="inlineStr">
        <is>
          <t>Instrumentation</t>
        </is>
      </c>
      <c r="J6204" s="12" t="inlineStr">
        <is>
          <t>Instrumentation PLTC / TC-ER 300 V, #18 twisted shielded pairs, overall shield</t>
        </is>
      </c>
      <c r="K6204" s="12" t="inlineStr">
        <is>
          <t>PLTC|1 pr|16</t>
        </is>
      </c>
      <c r="L6204" s="12" t="inlineStr">
        <is>
          <t>1 pr</t>
        </is>
      </c>
      <c r="M6204" s="12" t="inlineStr">
        <is>
          <t>16</t>
        </is>
      </c>
      <c r="N6204" s="12" t="n">
        <v>10</v>
      </c>
      <c r="O6204" s="12" t="n">
        <v>1</v>
      </c>
      <c r="P6204" s="12" t="n"/>
      <c r="Q6204" s="12" t="n"/>
      <c r="R6204" s="12" t="n"/>
      <c r="S6204" s="12" t="inlineStr">
        <is>
          <t>Tray / conduit</t>
        </is>
      </c>
      <c r="T6204" s="15" t="n">
        <v>250</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C-I-0116</t>
        </is>
      </c>
      <c r="B6205" s="12" t="inlineStr">
        <is>
          <t>C</t>
        </is>
      </c>
      <c r="C6205" s="12" t="inlineStr">
        <is>
          <t>Grid interface</t>
        </is>
      </c>
      <c r="D6205" s="12" t="inlineStr">
        <is>
          <t>Home run JB-Small-bore piping:-AI01 to the control / marshalling room</t>
        </is>
      </c>
      <c r="E6205" s="12" t="inlineStr">
        <is>
          <t>R1</t>
        </is>
      </c>
      <c r="F6205" s="12" t="inlineStr">
        <is>
          <t>R1: main electrical building (64 x 180 ft)</t>
        </is>
      </c>
      <c r="G6205" s="12" t="inlineStr">
        <is>
          <t>JB-Small-bore piping:-AI01</t>
        </is>
      </c>
      <c r="H6205" s="12" t="inlineStr">
        <is>
          <t>Small-bore piping: instrument air, service water, nitrogen, HRSG drain</t>
        </is>
      </c>
      <c r="I6205" s="12" t="inlineStr">
        <is>
          <t>Instrumentation</t>
        </is>
      </c>
      <c r="J6205" s="12" t="inlineStr">
        <is>
          <t>Instrumentation PLTC / TC-ER 300 V, #18 twisted shielded pairs, overall shield</t>
        </is>
      </c>
      <c r="K6205" s="12" t="inlineStr">
        <is>
          <t>PLTC|24 pr|18</t>
        </is>
      </c>
      <c r="L6205" s="12" t="inlineStr">
        <is>
          <t>24 pr</t>
        </is>
      </c>
      <c r="M6205" s="12" t="inlineStr">
        <is>
          <t>18</t>
        </is>
      </c>
      <c r="N6205" s="12" t="n">
        <v>1</v>
      </c>
      <c r="O6205" s="12" t="n">
        <v>1</v>
      </c>
      <c r="P6205" s="12" t="n"/>
      <c r="Q6205" s="12" t="n"/>
      <c r="R6205" s="12" t="n"/>
      <c r="S6205" s="12" t="inlineStr">
        <is>
          <t>Tray</t>
        </is>
      </c>
      <c r="T6205" s="15" t="n">
        <v>1218</v>
      </c>
      <c r="U6205" s="15" t="n">
        <v>200</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C-I-0117</t>
        </is>
      </c>
      <c r="B6206" s="12" t="inlineStr">
        <is>
          <t>C</t>
        </is>
      </c>
      <c r="C6206" s="12" t="inlineStr">
        <is>
          <t>Grid interface</t>
        </is>
      </c>
      <c r="D6206" s="12" t="inlineStr">
        <is>
          <t>Discrete device to JB JB-Small-bore piping:-DI01: 10 x 1 pr (field cables)</t>
        </is>
      </c>
      <c r="E6206" s="12" t="inlineStr"/>
      <c r="F6206" s="12" t="inlineStr">
        <is>
          <t>Small-bore piping: instrument air, service water, nitrogen, HRSG drain</t>
        </is>
      </c>
      <c r="G6206" s="12" t="inlineStr">
        <is>
          <t>JB-Small-bore piping:-DI01</t>
        </is>
      </c>
      <c r="H6206" s="12" t="inlineStr">
        <is>
          <t>Small-bore piping: instrument air, service water, nitrogen, HRSG drain</t>
        </is>
      </c>
      <c r="I6206" s="12" t="inlineStr">
        <is>
          <t>Instrumentation</t>
        </is>
      </c>
      <c r="J6206" s="12" t="inlineStr">
        <is>
          <t>Instrumentation PLTC / TC-ER 300 V, #18 twisted shielded pairs, overall shield</t>
        </is>
      </c>
      <c r="K6206" s="12" t="inlineStr">
        <is>
          <t>PLTC|1 pr|16</t>
        </is>
      </c>
      <c r="L6206" s="12" t="inlineStr">
        <is>
          <t>1 pr</t>
        </is>
      </c>
      <c r="M6206" s="12" t="inlineStr">
        <is>
          <t>16</t>
        </is>
      </c>
      <c r="N6206" s="12" t="n">
        <v>10</v>
      </c>
      <c r="O6206" s="12" t="n">
        <v>1</v>
      </c>
      <c r="P6206" s="12" t="n"/>
      <c r="Q6206" s="12" t="n"/>
      <c r="R6206" s="12" t="n"/>
      <c r="S6206" s="12" t="inlineStr">
        <is>
          <t>Tray / conduit</t>
        </is>
      </c>
      <c r="T6206" s="15" t="n">
        <v>250</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C-I-0118</t>
        </is>
      </c>
      <c r="B6207" s="12" t="inlineStr">
        <is>
          <t>C</t>
        </is>
      </c>
      <c r="C6207" s="12" t="inlineStr">
        <is>
          <t>Grid interface</t>
        </is>
      </c>
      <c r="D6207" s="12" t="inlineStr">
        <is>
          <t>Home run JB-Small-bore piping:-DI01 to the control / marshalling room</t>
        </is>
      </c>
      <c r="E6207" s="12" t="inlineStr">
        <is>
          <t>R1</t>
        </is>
      </c>
      <c r="F6207" s="12" t="inlineStr">
        <is>
          <t>R1: main electrical building (64 x 180 ft)</t>
        </is>
      </c>
      <c r="G6207" s="12" t="inlineStr">
        <is>
          <t>JB-Small-bore piping:-DI01</t>
        </is>
      </c>
      <c r="H6207" s="12" t="inlineStr">
        <is>
          <t>Small-bore piping: instrument air, service water, nitrogen, HRSG drain</t>
        </is>
      </c>
      <c r="I6207" s="12" t="inlineStr">
        <is>
          <t>Instrumentation</t>
        </is>
      </c>
      <c r="J6207" s="12" t="inlineStr">
        <is>
          <t>Instrumentation PLTC / TC-ER 300 V, #18 twisted shielded pairs, overall shield</t>
        </is>
      </c>
      <c r="K6207" s="12" t="inlineStr">
        <is>
          <t>PLTC|24 pr|18</t>
        </is>
      </c>
      <c r="L6207" s="12" t="inlineStr">
        <is>
          <t>24 pr</t>
        </is>
      </c>
      <c r="M6207" s="12" t="inlineStr">
        <is>
          <t>18</t>
        </is>
      </c>
      <c r="N6207" s="12" t="n">
        <v>1</v>
      </c>
      <c r="O6207" s="12" t="n">
        <v>1</v>
      </c>
      <c r="P6207" s="12" t="n"/>
      <c r="Q6207" s="12" t="n"/>
      <c r="R6207" s="12" t="n"/>
      <c r="S6207" s="12" t="inlineStr">
        <is>
          <t>Tray</t>
        </is>
      </c>
      <c r="T6207" s="15" t="n">
        <v>1218</v>
      </c>
      <c r="U6207" s="15" t="n">
        <v>200</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C-I-0119</t>
        </is>
      </c>
      <c r="B6208" s="12" t="inlineStr">
        <is>
          <t>C</t>
        </is>
      </c>
      <c r="C6208" s="12" t="inlineStr">
        <is>
          <t>Grid interface</t>
        </is>
      </c>
      <c r="D6208" s="12" t="inlineStr">
        <is>
          <t>Analog instrument to JB JB-Wastewater treatme-AI01: 20 x 1 pr (field cables)</t>
        </is>
      </c>
      <c r="E6208" s="12" t="inlineStr"/>
      <c r="F6208" s="12" t="inlineStr">
        <is>
          <t>Wastewater treatment: rooftop HVAC, exhaust fans, vents</t>
        </is>
      </c>
      <c r="G6208" s="12" t="inlineStr">
        <is>
          <t>JB-Wastewater treatme-AI01</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20</v>
      </c>
      <c r="O6208" s="12" t="n">
        <v>1</v>
      </c>
      <c r="P6208" s="12" t="n"/>
      <c r="Q6208" s="12" t="n"/>
      <c r="R6208" s="12" t="n"/>
      <c r="S6208" s="12" t="inlineStr">
        <is>
          <t>Tray / conduit</t>
        </is>
      </c>
      <c r="T6208" s="15" t="n">
        <v>89</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C-I-0120</t>
        </is>
      </c>
      <c r="B6209" s="12" t="inlineStr">
        <is>
          <t>C</t>
        </is>
      </c>
      <c r="C6209" s="12" t="inlineStr">
        <is>
          <t>Grid interface</t>
        </is>
      </c>
      <c r="D6209" s="12" t="inlineStr">
        <is>
          <t>Home run JB-Wastewater treatme-AI01 to the control / marshalling room</t>
        </is>
      </c>
      <c r="E6209" s="12" t="inlineStr">
        <is>
          <t>R1</t>
        </is>
      </c>
      <c r="F6209" s="12" t="inlineStr">
        <is>
          <t>R1: main electrical building (64 x 180 ft)</t>
        </is>
      </c>
      <c r="G6209" s="12" t="inlineStr">
        <is>
          <t>JB-Wastewater treatme-AI01</t>
        </is>
      </c>
      <c r="H6209" s="12" t="inlineStr">
        <is>
          <t>Wastewater treatment: rooftop HVAC, exhaust fans, vents</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Duct bank</t>
        </is>
      </c>
      <c r="T6209" s="15" t="n">
        <v>1215</v>
      </c>
      <c r="U6209" s="15" t="n">
        <v>99</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C-I-0121</t>
        </is>
      </c>
      <c r="B6210" s="12" t="inlineStr">
        <is>
          <t>C</t>
        </is>
      </c>
      <c r="C6210" s="12" t="inlineStr">
        <is>
          <t>Grid interface</t>
        </is>
      </c>
      <c r="D6210" s="12" t="inlineStr">
        <is>
          <t>Discrete device to JB JB-Wastewater treatme-DI01: 20 x 1 pr (field cables)</t>
        </is>
      </c>
      <c r="E6210" s="12" t="inlineStr"/>
      <c r="F6210" s="12" t="inlineStr">
        <is>
          <t>Wastewater treatment: rooftop HVAC, exhaust fans, vents</t>
        </is>
      </c>
      <c r="G6210" s="12" t="inlineStr">
        <is>
          <t>JB-Wastewater treatme-DI01</t>
        </is>
      </c>
      <c r="H6210" s="12" t="inlineStr">
        <is>
          <t>Wastewater treatment: rooftop HVAC, exhaust fans, vents</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20</v>
      </c>
      <c r="O6210" s="12" t="n">
        <v>1</v>
      </c>
      <c r="P6210" s="12" t="n"/>
      <c r="Q6210" s="12" t="n"/>
      <c r="R6210" s="12" t="n"/>
      <c r="S6210" s="12" t="inlineStr">
        <is>
          <t>Tray / conduit</t>
        </is>
      </c>
      <c r="T6210" s="15" t="n">
        <v>89</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C-I-0122</t>
        </is>
      </c>
      <c r="B6211" s="12" t="inlineStr">
        <is>
          <t>C</t>
        </is>
      </c>
      <c r="C6211" s="12" t="inlineStr">
        <is>
          <t>Grid interface</t>
        </is>
      </c>
      <c r="D6211" s="12" t="inlineStr">
        <is>
          <t>Home run JB-Wastewater treatme-DI01 to the control / marshalling room</t>
        </is>
      </c>
      <c r="E6211" s="12" t="inlineStr">
        <is>
          <t>R1</t>
        </is>
      </c>
      <c r="F6211" s="12" t="inlineStr">
        <is>
          <t>R1: main electrical building (64 x 180 ft)</t>
        </is>
      </c>
      <c r="G6211" s="12" t="inlineStr">
        <is>
          <t>JB-Wastewater treatme-DI01</t>
        </is>
      </c>
      <c r="H6211" s="12" t="inlineStr">
        <is>
          <t>Wastewater treatment: rooftop HVAC, exhaust fans, vents</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Duct bank</t>
        </is>
      </c>
      <c r="T6211" s="15" t="n">
        <v>1215</v>
      </c>
      <c r="U6211" s="15" t="n">
        <v>99</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C-I-0123</t>
        </is>
      </c>
      <c r="B6212" s="12" t="inlineStr">
        <is>
          <t>C</t>
        </is>
      </c>
      <c r="C6212" s="12" t="inlineStr">
        <is>
          <t>Grid interface</t>
        </is>
      </c>
      <c r="D6212" s="12" t="inlineStr">
        <is>
          <t>Discrete device to JB JB-Wastewater treatme-DI02: 10 x 1 pr (field cables)</t>
        </is>
      </c>
      <c r="E6212" s="12" t="inlineStr"/>
      <c r="F6212" s="12" t="inlineStr">
        <is>
          <t>Wastewater treatment: rooftop HVAC, exhaust fans, vents</t>
        </is>
      </c>
      <c r="G6212" s="12" t="inlineStr">
        <is>
          <t>JB-Wastewater treatme-DI02</t>
        </is>
      </c>
      <c r="H6212" s="12" t="inlineStr">
        <is>
          <t>Wastewater treatment: rooftop HVAC, exhaust fans, vents</t>
        </is>
      </c>
      <c r="I6212" s="12" t="inlineStr">
        <is>
          <t>Instrumentation</t>
        </is>
      </c>
      <c r="J6212" s="12" t="inlineStr">
        <is>
          <t>Instrumentation PLTC / TC-ER 300 V, #18 twisted shielded pairs, overall shield</t>
        </is>
      </c>
      <c r="K6212" s="12" t="inlineStr">
        <is>
          <t>PLTC|1 pr|16</t>
        </is>
      </c>
      <c r="L6212" s="12" t="inlineStr">
        <is>
          <t>1 pr</t>
        </is>
      </c>
      <c r="M6212" s="12" t="inlineStr">
        <is>
          <t>16</t>
        </is>
      </c>
      <c r="N6212" s="12" t="n">
        <v>10</v>
      </c>
      <c r="O6212" s="12" t="n">
        <v>1</v>
      </c>
      <c r="P6212" s="12" t="n"/>
      <c r="Q6212" s="12" t="n"/>
      <c r="R6212" s="12" t="n"/>
      <c r="S6212" s="12" t="inlineStr">
        <is>
          <t>Tray / conduit</t>
        </is>
      </c>
      <c r="T6212" s="15" t="n">
        <v>89</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C-I-0124</t>
        </is>
      </c>
      <c r="B6213" s="12" t="inlineStr">
        <is>
          <t>C</t>
        </is>
      </c>
      <c r="C6213" s="12" t="inlineStr">
        <is>
          <t>Grid interface</t>
        </is>
      </c>
      <c r="D6213" s="12" t="inlineStr">
        <is>
          <t>Home run JB-Wastewater treatme-DI02 to the control / marshalling room</t>
        </is>
      </c>
      <c r="E6213" s="12" t="inlineStr">
        <is>
          <t>R1</t>
        </is>
      </c>
      <c r="F6213" s="12" t="inlineStr">
        <is>
          <t>R1: main electrical building (64 x 180 ft)</t>
        </is>
      </c>
      <c r="G6213" s="12" t="inlineStr">
        <is>
          <t>JB-Wastewater treatme-DI02</t>
        </is>
      </c>
      <c r="H6213" s="12" t="inlineStr">
        <is>
          <t>Wastewater treatment: rooftop HVAC, exhaust fans, vents</t>
        </is>
      </c>
      <c r="I6213" s="12" t="inlineStr">
        <is>
          <t>Instrumentation</t>
        </is>
      </c>
      <c r="J6213" s="12" t="inlineStr">
        <is>
          <t>Instrumentation PLTC / TC-ER 300 V, #18 twisted shielded pairs, overall shield</t>
        </is>
      </c>
      <c r="K6213" s="12" t="inlineStr">
        <is>
          <t>PLTC|24 pr|18</t>
        </is>
      </c>
      <c r="L6213" s="12" t="inlineStr">
        <is>
          <t>24 pr</t>
        </is>
      </c>
      <c r="M6213" s="12" t="inlineStr">
        <is>
          <t>18</t>
        </is>
      </c>
      <c r="N6213" s="12" t="n">
        <v>1</v>
      </c>
      <c r="O6213" s="12" t="n">
        <v>1</v>
      </c>
      <c r="P6213" s="12" t="n"/>
      <c r="Q6213" s="12" t="n"/>
      <c r="R6213" s="12" t="n"/>
      <c r="S6213" s="12" t="inlineStr">
        <is>
          <t>Duct bank</t>
        </is>
      </c>
      <c r="T6213" s="15" t="n">
        <v>1215</v>
      </c>
      <c r="U6213" s="15" t="n">
        <v>99</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C-I-0125</t>
        </is>
      </c>
      <c r="B6214" s="12" t="inlineStr">
        <is>
          <t>C</t>
        </is>
      </c>
      <c r="C6214" s="12" t="inlineStr">
        <is>
          <t>Grid interface</t>
        </is>
      </c>
      <c r="D6214" s="12" t="inlineStr">
        <is>
          <t>Analog instrument to JB JB-Water treatment bu-AI01: 20 x 1 pr (field cables)</t>
        </is>
      </c>
      <c r="E6214" s="12" t="inlineStr"/>
      <c r="F6214" s="12" t="inlineStr">
        <is>
          <t>Water treatment building: rooftop HVAC, exhaust fans, vents</t>
        </is>
      </c>
      <c r="G6214" s="12" t="inlineStr">
        <is>
          <t>JB-Water treatment bu-AI01</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PLTC|1 pr|16</t>
        </is>
      </c>
      <c r="L6214" s="12" t="inlineStr">
        <is>
          <t>1 pr</t>
        </is>
      </c>
      <c r="M6214" s="12" t="inlineStr">
        <is>
          <t>16</t>
        </is>
      </c>
      <c r="N6214" s="12" t="n">
        <v>20</v>
      </c>
      <c r="O6214" s="12" t="n">
        <v>1</v>
      </c>
      <c r="P6214" s="12" t="n"/>
      <c r="Q6214" s="12" t="n"/>
      <c r="R6214" s="12" t="n"/>
      <c r="S6214" s="12" t="inlineStr">
        <is>
          <t>Tray / conduit</t>
        </is>
      </c>
      <c r="T6214" s="15" t="n">
        <v>162</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C-I-0126</t>
        </is>
      </c>
      <c r="B6215" s="12" t="inlineStr">
        <is>
          <t>C</t>
        </is>
      </c>
      <c r="C6215" s="12" t="inlineStr">
        <is>
          <t>Grid interface</t>
        </is>
      </c>
      <c r="D6215" s="12" t="inlineStr">
        <is>
          <t>Home run JB-Water treatment bu-AI01 to the control / marshalling room</t>
        </is>
      </c>
      <c r="E6215" s="12" t="inlineStr">
        <is>
          <t>R1</t>
        </is>
      </c>
      <c r="F6215" s="12" t="inlineStr">
        <is>
          <t>R1: main electrical building (64 x 180 ft)</t>
        </is>
      </c>
      <c r="G6215" s="12" t="inlineStr">
        <is>
          <t>JB-Water treatment bu-AI01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PLTC|24 pr|18</t>
        </is>
      </c>
      <c r="L6215" s="12" t="inlineStr">
        <is>
          <t>24 pr</t>
        </is>
      </c>
      <c r="M6215" s="12" t="inlineStr">
        <is>
          <t>18</t>
        </is>
      </c>
      <c r="N6215" s="12" t="n">
        <v>1</v>
      </c>
      <c r="O6215" s="12" t="n">
        <v>1</v>
      </c>
      <c r="P6215" s="12" t="n"/>
      <c r="Q6215" s="12" t="n"/>
      <c r="R6215" s="12" t="n"/>
      <c r="S6215" s="12" t="inlineStr">
        <is>
          <t>Duct bank</t>
        </is>
      </c>
      <c r="T6215" s="15" t="n">
        <v>985</v>
      </c>
      <c r="U6215" s="15" t="n">
        <v>32</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C-I-0127</t>
        </is>
      </c>
      <c r="B6216" s="12" t="inlineStr">
        <is>
          <t>C</t>
        </is>
      </c>
      <c r="C6216" s="12" t="inlineStr">
        <is>
          <t>Grid interface</t>
        </is>
      </c>
      <c r="D6216" s="12" t="inlineStr">
        <is>
          <t>Analog instrument to JB JB-Water treatment bu-AI02: 20 x 1 pr (field cables)</t>
        </is>
      </c>
      <c r="E6216" s="12" t="inlineStr"/>
      <c r="F6216" s="12" t="inlineStr">
        <is>
          <t>Water treatment building: rooftop HVAC, exhaust fans, vents</t>
        </is>
      </c>
      <c r="G6216" s="12" t="inlineStr">
        <is>
          <t>JB-Water treatment bu-AI02</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PLTC|1 pr|16</t>
        </is>
      </c>
      <c r="L6216" s="12" t="inlineStr">
        <is>
          <t>1 pr</t>
        </is>
      </c>
      <c r="M6216" s="12" t="inlineStr">
        <is>
          <t>16</t>
        </is>
      </c>
      <c r="N6216" s="12" t="n">
        <v>20</v>
      </c>
      <c r="O6216" s="12" t="n">
        <v>1</v>
      </c>
      <c r="P6216" s="12" t="n"/>
      <c r="Q6216" s="12" t="n"/>
      <c r="R6216" s="12" t="n"/>
      <c r="S6216" s="12" t="inlineStr">
        <is>
          <t>Tray / conduit</t>
        </is>
      </c>
      <c r="T6216" s="15" t="n">
        <v>162</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C-I-0128</t>
        </is>
      </c>
      <c r="B6217" s="12" t="inlineStr">
        <is>
          <t>C</t>
        </is>
      </c>
      <c r="C6217" s="12" t="inlineStr">
        <is>
          <t>Grid interface</t>
        </is>
      </c>
      <c r="D6217" s="12" t="inlineStr">
        <is>
          <t>Home run JB-Water treatment bu-AI02 to the control / marshalling room</t>
        </is>
      </c>
      <c r="E6217" s="12" t="inlineStr">
        <is>
          <t>R1</t>
        </is>
      </c>
      <c r="F6217" s="12" t="inlineStr">
        <is>
          <t>R1: main electrical building (64 x 180 ft)</t>
        </is>
      </c>
      <c r="G6217" s="12" t="inlineStr">
        <is>
          <t>JB-Water treatment bu-AI02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PLTC|24 pr|18</t>
        </is>
      </c>
      <c r="L6217" s="12" t="inlineStr">
        <is>
          <t>24 pr</t>
        </is>
      </c>
      <c r="M6217" s="12" t="inlineStr">
        <is>
          <t>18</t>
        </is>
      </c>
      <c r="N6217" s="12" t="n">
        <v>1</v>
      </c>
      <c r="O6217" s="12" t="n">
        <v>1</v>
      </c>
      <c r="P6217" s="12" t="n"/>
      <c r="Q6217" s="12" t="n"/>
      <c r="R6217" s="12" t="n"/>
      <c r="S6217" s="12" t="inlineStr">
        <is>
          <t>Duct bank</t>
        </is>
      </c>
      <c r="T6217" s="15" t="n">
        <v>985</v>
      </c>
      <c r="U6217" s="15" t="n">
        <v>32</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C-I-0129</t>
        </is>
      </c>
      <c r="B6218" s="12" t="inlineStr">
        <is>
          <t>C</t>
        </is>
      </c>
      <c r="C6218" s="12" t="inlineStr">
        <is>
          <t>Grid interface</t>
        </is>
      </c>
      <c r="D6218" s="12" t="inlineStr">
        <is>
          <t>Analog instrument to JB JB-Water treatment bu-AI03: 20 x 1 pr (field cables)</t>
        </is>
      </c>
      <c r="E6218" s="12" t="inlineStr"/>
      <c r="F6218" s="12" t="inlineStr">
        <is>
          <t>Water treatment building: rooftop HVAC, exhaust fans, vents</t>
        </is>
      </c>
      <c r="G6218" s="12" t="inlineStr">
        <is>
          <t>JB-Water treatment bu-AI03</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PLTC|1 pr|16</t>
        </is>
      </c>
      <c r="L6218" s="12" t="inlineStr">
        <is>
          <t>1 pr</t>
        </is>
      </c>
      <c r="M6218" s="12" t="inlineStr">
        <is>
          <t>16</t>
        </is>
      </c>
      <c r="N6218" s="12" t="n">
        <v>20</v>
      </c>
      <c r="O6218" s="12" t="n">
        <v>1</v>
      </c>
      <c r="P6218" s="12" t="n"/>
      <c r="Q6218" s="12" t="n"/>
      <c r="R6218" s="12" t="n"/>
      <c r="S6218" s="12" t="inlineStr">
        <is>
          <t>Tray / conduit</t>
        </is>
      </c>
      <c r="T6218" s="15" t="n">
        <v>162</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C-I-0130</t>
        </is>
      </c>
      <c r="B6219" s="12" t="inlineStr">
        <is>
          <t>C</t>
        </is>
      </c>
      <c r="C6219" s="12" t="inlineStr">
        <is>
          <t>Grid interface</t>
        </is>
      </c>
      <c r="D6219" s="12" t="inlineStr">
        <is>
          <t>Home run JB-Water treatment bu-AI03 to the control / marshalling room</t>
        </is>
      </c>
      <c r="E6219" s="12" t="inlineStr">
        <is>
          <t>R1</t>
        </is>
      </c>
      <c r="F6219" s="12" t="inlineStr">
        <is>
          <t>R1: main electrical building (64 x 180 ft)</t>
        </is>
      </c>
      <c r="G6219" s="12" t="inlineStr">
        <is>
          <t>JB-Water treatment bu-AI03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PLTC|24 pr|18</t>
        </is>
      </c>
      <c r="L6219" s="12" t="inlineStr">
        <is>
          <t>24 pr</t>
        </is>
      </c>
      <c r="M6219" s="12" t="inlineStr">
        <is>
          <t>18</t>
        </is>
      </c>
      <c r="N6219" s="12" t="n">
        <v>1</v>
      </c>
      <c r="O6219" s="12" t="n">
        <v>1</v>
      </c>
      <c r="P6219" s="12" t="n"/>
      <c r="Q6219" s="12" t="n"/>
      <c r="R6219" s="12" t="n"/>
      <c r="S6219" s="12" t="inlineStr">
        <is>
          <t>Duct bank</t>
        </is>
      </c>
      <c r="T6219" s="15" t="n">
        <v>985</v>
      </c>
      <c r="U6219" s="15" t="n">
        <v>32</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C-I-0131</t>
        </is>
      </c>
      <c r="B6220" s="12" t="inlineStr">
        <is>
          <t>C</t>
        </is>
      </c>
      <c r="C6220" s="12" t="inlineStr">
        <is>
          <t>Grid interface</t>
        </is>
      </c>
      <c r="D6220" s="12" t="inlineStr">
        <is>
          <t>Discrete device to JB JB-Water treatment bu-DI01: 20 x 1 pr (field cables)</t>
        </is>
      </c>
      <c r="E6220" s="12" t="inlineStr"/>
      <c r="F6220" s="12" t="inlineStr">
        <is>
          <t>Water treatment building: rooftop HVAC, exhaust fans, vents</t>
        </is>
      </c>
      <c r="G6220" s="12" t="inlineStr">
        <is>
          <t>JB-Water treatment bu-DI01</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20</v>
      </c>
      <c r="O6220" s="12" t="n">
        <v>1</v>
      </c>
      <c r="P6220" s="12" t="n"/>
      <c r="Q6220" s="12" t="n"/>
      <c r="R6220" s="12" t="n"/>
      <c r="S6220" s="12" t="inlineStr">
        <is>
          <t>Tray / conduit</t>
        </is>
      </c>
      <c r="T6220" s="15" t="n">
        <v>162</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C-I-0132</t>
        </is>
      </c>
      <c r="B6221" s="12" t="inlineStr">
        <is>
          <t>C</t>
        </is>
      </c>
      <c r="C6221" s="12" t="inlineStr">
        <is>
          <t>Grid interface</t>
        </is>
      </c>
      <c r="D6221" s="12" t="inlineStr">
        <is>
          <t>Home run JB-Water treatment bu-DI01 to the control / marshalling room</t>
        </is>
      </c>
      <c r="E6221" s="12" t="inlineStr">
        <is>
          <t>R1</t>
        </is>
      </c>
      <c r="F6221" s="12" t="inlineStr">
        <is>
          <t>R1: main electrical building (64 x 180 ft)</t>
        </is>
      </c>
      <c r="G6221" s="12" t="inlineStr">
        <is>
          <t>JB-Water treatment bu-DI01</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Duct bank</t>
        </is>
      </c>
      <c r="T6221" s="15" t="n">
        <v>985</v>
      </c>
      <c r="U6221" s="15" t="n">
        <v>32</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C-I-0133</t>
        </is>
      </c>
      <c r="B6222" s="12" t="inlineStr">
        <is>
          <t>C</t>
        </is>
      </c>
      <c r="C6222" s="12" t="inlineStr">
        <is>
          <t>Grid interface</t>
        </is>
      </c>
      <c r="D6222" s="12" t="inlineStr">
        <is>
          <t>Discrete device to JB JB-Water treatment bu-DI02: 20 x 1 pr (field cables)</t>
        </is>
      </c>
      <c r="E6222" s="12" t="inlineStr"/>
      <c r="F6222" s="12" t="inlineStr">
        <is>
          <t>Water treatment building: rooftop HVAC, exhaust fans, vents</t>
        </is>
      </c>
      <c r="G6222" s="12" t="inlineStr">
        <is>
          <t>JB-Water treatment bu-DI02</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20</v>
      </c>
      <c r="O6222" s="12" t="n">
        <v>1</v>
      </c>
      <c r="P6222" s="12" t="n"/>
      <c r="Q6222" s="12" t="n"/>
      <c r="R6222" s="12" t="n"/>
      <c r="S6222" s="12" t="inlineStr">
        <is>
          <t>Tray / conduit</t>
        </is>
      </c>
      <c r="T6222" s="15" t="n">
        <v>162</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C-I-0134</t>
        </is>
      </c>
      <c r="B6223" s="12" t="inlineStr">
        <is>
          <t>C</t>
        </is>
      </c>
      <c r="C6223" s="12" t="inlineStr">
        <is>
          <t>Grid interface</t>
        </is>
      </c>
      <c r="D6223" s="12" t="inlineStr">
        <is>
          <t>Home run JB-Water treatment bu-DI02 to the control / marshalling room</t>
        </is>
      </c>
      <c r="E6223" s="12" t="inlineStr">
        <is>
          <t>R1</t>
        </is>
      </c>
      <c r="F6223" s="12" t="inlineStr">
        <is>
          <t>R1: main electrical building (64 x 180 ft)</t>
        </is>
      </c>
      <c r="G6223" s="12" t="inlineStr">
        <is>
          <t>JB-Water treatment bu-DI02</t>
        </is>
      </c>
      <c r="H6223" s="12" t="inlineStr">
        <is>
          <t>Water treatment building: rooftop HVAC, exhaust fans, vents</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Duct bank</t>
        </is>
      </c>
      <c r="T6223" s="15" t="n">
        <v>985</v>
      </c>
      <c r="U6223" s="15" t="n">
        <v>32</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C-I-0135</t>
        </is>
      </c>
      <c r="B6224" s="12" t="inlineStr">
        <is>
          <t>C</t>
        </is>
      </c>
      <c r="C6224" s="12" t="inlineStr">
        <is>
          <t>Grid interface</t>
        </is>
      </c>
      <c r="D6224" s="12" t="inlineStr">
        <is>
          <t>Discrete device to JB JB-Water treatment bu-DI03: 20 x 1 pr (field cables)</t>
        </is>
      </c>
      <c r="E6224" s="12" t="inlineStr"/>
      <c r="F6224" s="12" t="inlineStr">
        <is>
          <t>Water treatment building: rooftop HVAC, exhaust fans, vents</t>
        </is>
      </c>
      <c r="G6224" s="12" t="inlineStr">
        <is>
          <t>JB-Water treatment bu-DI03</t>
        </is>
      </c>
      <c r="H6224" s="12" t="inlineStr">
        <is>
          <t>Water treatment building: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162</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C-I-0136</t>
        </is>
      </c>
      <c r="B6225" s="12" t="inlineStr">
        <is>
          <t>C</t>
        </is>
      </c>
      <c r="C6225" s="12" t="inlineStr">
        <is>
          <t>Grid interface</t>
        </is>
      </c>
      <c r="D6225" s="12" t="inlineStr">
        <is>
          <t>Home run JB-Water treatment bu-DI03 to the control / marshalling room</t>
        </is>
      </c>
      <c r="E6225" s="12" t="inlineStr">
        <is>
          <t>R1</t>
        </is>
      </c>
      <c r="F6225" s="12" t="inlineStr">
        <is>
          <t>R1: main electrical building (64 x 180 ft)</t>
        </is>
      </c>
      <c r="G6225" s="12" t="inlineStr">
        <is>
          <t>JB-Water treatment bu-DI03</t>
        </is>
      </c>
      <c r="H6225" s="12" t="inlineStr">
        <is>
          <t>Water treatment building: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985</v>
      </c>
      <c r="U6225" s="15" t="n">
        <v>32</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C-I-0137</t>
        </is>
      </c>
      <c r="B6226" s="12" t="inlineStr">
        <is>
          <t>C</t>
        </is>
      </c>
      <c r="C6226" s="12" t="inlineStr">
        <is>
          <t>Grid interface</t>
        </is>
      </c>
      <c r="D6226" s="12" t="inlineStr">
        <is>
          <t>Discrete device to JB JB-Water treatment bu-DI04: 20 x 1 pr (field cables)</t>
        </is>
      </c>
      <c r="E6226" s="12" t="inlineStr"/>
      <c r="F6226" s="12" t="inlineStr">
        <is>
          <t>Water treatment building: rooftop HVAC, exhaust fans, vents</t>
        </is>
      </c>
      <c r="G6226" s="12" t="inlineStr">
        <is>
          <t>JB-Water treatment bu-DI04</t>
        </is>
      </c>
      <c r="H6226" s="12" t="inlineStr">
        <is>
          <t>Water treatment building: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162</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C-I-0138</t>
        </is>
      </c>
      <c r="B6227" s="12" t="inlineStr">
        <is>
          <t>C</t>
        </is>
      </c>
      <c r="C6227" s="12" t="inlineStr">
        <is>
          <t>Grid interface</t>
        </is>
      </c>
      <c r="D6227" s="12" t="inlineStr">
        <is>
          <t>Home run JB-Water treatment bu-DI04 to the control / marshalling room</t>
        </is>
      </c>
      <c r="E6227" s="12" t="inlineStr">
        <is>
          <t>R1</t>
        </is>
      </c>
      <c r="F6227" s="12" t="inlineStr">
        <is>
          <t>R1: main electrical building (64 x 180 ft)</t>
        </is>
      </c>
      <c r="G6227" s="12" t="inlineStr">
        <is>
          <t>JB-Water treatment bu-DI04</t>
        </is>
      </c>
      <c r="H6227" s="12" t="inlineStr">
        <is>
          <t>Water treatment building: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985</v>
      </c>
      <c r="U6227" s="15" t="n">
        <v>32</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C-P-0006</t>
        </is>
      </c>
      <c r="B6228" s="12" t="inlineStr">
        <is>
          <t>C</t>
        </is>
      </c>
      <c r="C6228" s="12" t="inlineStr">
        <is>
          <t>Grid interface</t>
        </is>
      </c>
      <c r="D6228" s="12" t="inlineStr">
        <is>
          <t>Motor 1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C-P-0007</t>
        </is>
      </c>
      <c r="B6229" s="12" t="inlineStr">
        <is>
          <t>C</t>
        </is>
      </c>
      <c r="C6229" s="12" t="inlineStr">
        <is>
          <t>Grid interface</t>
        </is>
      </c>
      <c r="D6229" s="12" t="inlineStr">
        <is>
          <t>Motor 2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C-P-0008</t>
        </is>
      </c>
      <c r="B6230" s="12" t="inlineStr">
        <is>
          <t>C</t>
        </is>
      </c>
      <c r="C6230" s="12" t="inlineStr">
        <is>
          <t>Grid interface</t>
        </is>
      </c>
      <c r="D6230" s="12" t="inlineStr">
        <is>
          <t>Motor 3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C-P-0009</t>
        </is>
      </c>
      <c r="B6231" s="12" t="inlineStr">
        <is>
          <t>C</t>
        </is>
      </c>
      <c r="C6231" s="12" t="inlineStr">
        <is>
          <t>Grid interface</t>
        </is>
      </c>
      <c r="D6231" s="12" t="inlineStr">
        <is>
          <t>Motor 4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C-P-0010</t>
        </is>
      </c>
      <c r="B6232" s="12" t="inlineStr">
        <is>
          <t>C</t>
        </is>
      </c>
      <c r="C6232" s="12" t="inlineStr">
        <is>
          <t>Grid interface</t>
        </is>
      </c>
      <c r="D6232" s="12" t="inlineStr">
        <is>
          <t>Motor 5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C-P-0011</t>
        </is>
      </c>
      <c r="B6233" s="12" t="inlineStr">
        <is>
          <t>C</t>
        </is>
      </c>
      <c r="C6233" s="12" t="inlineStr">
        <is>
          <t>Grid interface</t>
        </is>
      </c>
      <c r="D6233" s="12" t="inlineStr">
        <is>
          <t>Motor 6 of 10, 30 kW</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LV|3/C+G|3/0</t>
        </is>
      </c>
      <c r="L6233" s="12" t="inlineStr">
        <is>
          <t>3/C+G</t>
        </is>
      </c>
      <c r="M6233" s="12" t="inlineStr">
        <is>
          <t>3/0</t>
        </is>
      </c>
      <c r="N6233" s="12" t="n">
        <v>1</v>
      </c>
      <c r="O6233" s="12" t="n">
        <v>1</v>
      </c>
      <c r="P6233" s="12" t="n">
        <v>480</v>
      </c>
      <c r="Q6233" s="12" t="n">
        <v>30</v>
      </c>
      <c r="R6233" s="12" t="n">
        <v>42.5</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2.5 %</t>
        </is>
      </c>
      <c r="AA6233" s="12">
        <f>N6233*O6233</f>
        <v/>
      </c>
    </row>
    <row r="6234">
      <c r="A6234" s="12" t="inlineStr">
        <is>
          <t>C-P-0012</t>
        </is>
      </c>
      <c r="B6234" s="12" t="inlineStr">
        <is>
          <t>C</t>
        </is>
      </c>
      <c r="C6234" s="12" t="inlineStr">
        <is>
          <t>Grid interface</t>
        </is>
      </c>
      <c r="D6234" s="12" t="inlineStr">
        <is>
          <t>Motor 7 of 10, 30 kW</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LV|3/C+G|3/0</t>
        </is>
      </c>
      <c r="L6234" s="12" t="inlineStr">
        <is>
          <t>3/C+G</t>
        </is>
      </c>
      <c r="M6234" s="12" t="inlineStr">
        <is>
          <t>3/0</t>
        </is>
      </c>
      <c r="N6234" s="12" t="n">
        <v>1</v>
      </c>
      <c r="O6234" s="12" t="n">
        <v>1</v>
      </c>
      <c r="P6234" s="12" t="n">
        <v>480</v>
      </c>
      <c r="Q6234" s="12" t="n">
        <v>30</v>
      </c>
      <c r="R6234" s="12" t="n">
        <v>42.5</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2.5 %</t>
        </is>
      </c>
      <c r="AA6234" s="12">
        <f>N6234*O6234</f>
        <v/>
      </c>
    </row>
    <row r="6235">
      <c r="A6235" s="12" t="inlineStr">
        <is>
          <t>C-P-0013</t>
        </is>
      </c>
      <c r="B6235" s="12" t="inlineStr">
        <is>
          <t>C</t>
        </is>
      </c>
      <c r="C6235" s="12" t="inlineStr">
        <is>
          <t>Grid interface</t>
        </is>
      </c>
      <c r="D6235" s="12" t="inlineStr">
        <is>
          <t>Motor 8 of 10, 30 kW</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LV|3/C+G|3/0</t>
        </is>
      </c>
      <c r="L6235" s="12" t="inlineStr">
        <is>
          <t>3/C+G</t>
        </is>
      </c>
      <c r="M6235" s="12" t="inlineStr">
        <is>
          <t>3/0</t>
        </is>
      </c>
      <c r="N6235" s="12" t="n">
        <v>1</v>
      </c>
      <c r="O6235" s="12" t="n">
        <v>1</v>
      </c>
      <c r="P6235" s="12" t="n">
        <v>480</v>
      </c>
      <c r="Q6235" s="12" t="n">
        <v>30</v>
      </c>
      <c r="R6235" s="12" t="n">
        <v>42.5</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2.5 %</t>
        </is>
      </c>
      <c r="AA6235" s="12">
        <f>N6235*O6235</f>
        <v/>
      </c>
    </row>
    <row r="6236">
      <c r="A6236" s="12" t="inlineStr">
        <is>
          <t>C-P-0014</t>
        </is>
      </c>
      <c r="B6236" s="12" t="inlineStr">
        <is>
          <t>C</t>
        </is>
      </c>
      <c r="C6236" s="12" t="inlineStr">
        <is>
          <t>Grid interface</t>
        </is>
      </c>
      <c r="D6236" s="12" t="inlineStr">
        <is>
          <t>Motor 9 of 10, 30 kW</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LV|3/C+G|3/0</t>
        </is>
      </c>
      <c r="L6236" s="12" t="inlineStr">
        <is>
          <t>3/C+G</t>
        </is>
      </c>
      <c r="M6236" s="12" t="inlineStr">
        <is>
          <t>3/0</t>
        </is>
      </c>
      <c r="N6236" s="12" t="n">
        <v>1</v>
      </c>
      <c r="O6236" s="12" t="n">
        <v>1</v>
      </c>
      <c r="P6236" s="12" t="n">
        <v>480</v>
      </c>
      <c r="Q6236" s="12" t="n">
        <v>30</v>
      </c>
      <c r="R6236" s="12" t="n">
        <v>42.5</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2.5 %</t>
        </is>
      </c>
      <c r="AA6236" s="12">
        <f>N6236*O6236</f>
        <v/>
      </c>
    </row>
    <row r="6237">
      <c r="A6237" s="12" t="inlineStr">
        <is>
          <t>C-P-0015</t>
        </is>
      </c>
      <c r="B6237" s="12" t="inlineStr">
        <is>
          <t>C</t>
        </is>
      </c>
      <c r="C6237" s="12" t="inlineStr">
        <is>
          <t>Grid interface</t>
        </is>
      </c>
      <c r="D6237" s="12" t="inlineStr">
        <is>
          <t>Motor 10 of 10, 30 kW</t>
        </is>
      </c>
      <c r="E6237" s="12" t="inlineStr">
        <is>
          <t>MCC-C1</t>
        </is>
      </c>
      <c r="F6237" s="12" t="inlineStr">
        <is>
          <t>R1 MCC-C1</t>
        </is>
      </c>
      <c r="G6237" s="12" t="inlineStr"/>
      <c r="H6237" s="12" t="inlineStr">
        <is>
          <t xml:space="preserve">CO2 compression 3 x ~19 MW + dehydration: rooftop HVAC, exhaust fans, </t>
        </is>
      </c>
      <c r="I6237" s="12" t="inlineStr">
        <is>
          <t>LV 600 V</t>
        </is>
      </c>
      <c r="J6237" s="12" t="inlineStr">
        <is>
          <t>Type TC-ER 600 V 3/C Cu XHHW-2 + ground, PVC jacket</t>
        </is>
      </c>
      <c r="K6237" s="12" t="inlineStr">
        <is>
          <t>LV|3/C+G|3/0</t>
        </is>
      </c>
      <c r="L6237" s="12" t="inlineStr">
        <is>
          <t>3/C+G</t>
        </is>
      </c>
      <c r="M6237" s="12" t="inlineStr">
        <is>
          <t>3/0</t>
        </is>
      </c>
      <c r="N6237" s="12" t="n">
        <v>1</v>
      </c>
      <c r="O6237" s="12" t="n">
        <v>1</v>
      </c>
      <c r="P6237" s="12" t="n">
        <v>480</v>
      </c>
      <c r="Q6237" s="12" t="n">
        <v>30</v>
      </c>
      <c r="R6237" s="12" t="n">
        <v>42.5</v>
      </c>
      <c r="S6237" s="12" t="inlineStr">
        <is>
          <t>Tray</t>
        </is>
      </c>
      <c r="T6237" s="15" t="n">
        <v>1744</v>
      </c>
      <c r="U6237" s="15" t="n">
        <v>161</v>
      </c>
      <c r="V6237" s="15">
        <f>ROUNDUP((T6237+U6237+2*'Read Me'!$B$13)*(1+'Read Me'!$B$12),-1)</f>
        <v/>
      </c>
      <c r="W6237" s="15">
        <f>V6237*N6237*O6237</f>
        <v/>
      </c>
      <c r="X6237" s="12">
        <f>IF(LEFT(I6237,2)="MV",2*N6237*IF(L6237="1/C",O6237,1),0)</f>
        <v/>
      </c>
      <c r="Y6237" s="12">
        <f>IF(OR(LEFT(K6237,4)="LVAX",LEFT(K6237,6)="MV15AX",LEFT(K6237,4)="CTAX",LEFT(K6237,2)="W|"),2*N6237*O6237,0)</f>
        <v/>
      </c>
      <c r="Z6237" s="12" t="inlineStr">
        <is>
          <t>VD 2.5 %</t>
        </is>
      </c>
      <c r="AA6237" s="12">
        <f>N6237*O6237</f>
        <v/>
      </c>
    </row>
    <row r="6238">
      <c r="A6238" s="12" t="inlineStr">
        <is>
          <t>C-P-0016</t>
        </is>
      </c>
      <c r="B6238" s="12" t="inlineStr">
        <is>
          <t>C</t>
        </is>
      </c>
      <c r="C6238" s="12" t="inlineStr">
        <is>
          <t>Grid interface</t>
        </is>
      </c>
      <c r="D6238" s="12" t="inlineStr">
        <is>
          <t>480 V welding receptacle 1</t>
        </is>
      </c>
      <c r="E6238" s="12" t="inlineStr">
        <is>
          <t>MCC-C1</t>
        </is>
      </c>
      <c r="F6238" s="12" t="inlineStr">
        <is>
          <t>R1 MCC-C1</t>
        </is>
      </c>
      <c r="G6238" s="12" t="inlineStr"/>
      <c r="H6238" s="12" t="inlineStr">
        <is>
          <t xml:space="preserve">CO2 compression 3 x ~19 MW + dehydration: rooftop HVAC, exhaust fans, </t>
        </is>
      </c>
      <c r="I6238" s="12" t="inlineStr">
        <is>
          <t>LV 600 V</t>
        </is>
      </c>
      <c r="J6238" s="12" t="inlineStr">
        <is>
          <t>Type TC-ER 600 V 3/C Cu XHHW-2 + ground, PVC jacket</t>
        </is>
      </c>
      <c r="K6238" s="12" t="inlineStr">
        <is>
          <t>LV|3/C+G|250</t>
        </is>
      </c>
      <c r="L6238" s="12" t="inlineStr">
        <is>
          <t>3/C+G</t>
        </is>
      </c>
      <c r="M6238" s="12" t="inlineStr">
        <is>
          <t>250 kcmil</t>
        </is>
      </c>
      <c r="N6238" s="12" t="n">
        <v>1</v>
      </c>
      <c r="O6238" s="12" t="n">
        <v>1</v>
      </c>
      <c r="P6238" s="12" t="n">
        <v>480</v>
      </c>
      <c r="Q6238" s="12" t="n">
        <v>60</v>
      </c>
      <c r="R6238" s="12" t="n">
        <v>76</v>
      </c>
      <c r="S6238" s="12" t="inlineStr">
        <is>
          <t>Tray</t>
        </is>
      </c>
      <c r="T6238" s="15" t="n">
        <v>1744</v>
      </c>
      <c r="U6238" s="15" t="n">
        <v>161</v>
      </c>
      <c r="V6238" s="15">
        <f>ROUNDUP((T6238+U6238+2*'Read Me'!$B$13)*(1+'Read Me'!$B$12),-1)</f>
        <v/>
      </c>
      <c r="W6238" s="15">
        <f>V6238*N6238*O6238</f>
        <v/>
      </c>
      <c r="X6238" s="12">
        <f>IF(LEFT(I6238,2)="MV",2*N6238*IF(L6238="1/C",O6238,1),0)</f>
        <v/>
      </c>
      <c r="Y6238" s="12">
        <f>IF(OR(LEFT(K6238,4)="LVAX",LEFT(K6238,6)="MV15AX",LEFT(K6238,4)="CTAX",LEFT(K6238,2)="W|"),2*N6238*O6238,0)</f>
        <v/>
      </c>
      <c r="Z6238" s="12" t="inlineStr">
        <is>
          <t>VD 3.0 %</t>
        </is>
      </c>
      <c r="AA6238" s="12">
        <f>N6238*O6238</f>
        <v/>
      </c>
    </row>
    <row r="6239">
      <c r="A6239" s="12" t="inlineStr">
        <is>
          <t>C-P-0017</t>
        </is>
      </c>
      <c r="B6239" s="12" t="inlineStr">
        <is>
          <t>C</t>
        </is>
      </c>
      <c r="C6239" s="12" t="inlineStr">
        <is>
          <t>Grid interface</t>
        </is>
      </c>
      <c r="D6239" s="12" t="inlineStr">
        <is>
          <t>480 V welding receptacle 2</t>
        </is>
      </c>
      <c r="E6239" s="12" t="inlineStr">
        <is>
          <t>MCC-C1</t>
        </is>
      </c>
      <c r="F6239" s="12" t="inlineStr">
        <is>
          <t>R1 MCC-C1</t>
        </is>
      </c>
      <c r="G6239" s="12" t="inlineStr"/>
      <c r="H6239" s="12" t="inlineStr">
        <is>
          <t xml:space="preserve">CO2 compression 3 x ~19 MW + dehydration: rooftop HVAC, exhaust fans, </t>
        </is>
      </c>
      <c r="I6239" s="12" t="inlineStr">
        <is>
          <t>LV 600 V</t>
        </is>
      </c>
      <c r="J6239" s="12" t="inlineStr">
        <is>
          <t>Type TC-ER 600 V 3/C Cu XHHW-2 + ground, PVC jacket</t>
        </is>
      </c>
      <c r="K6239" s="12" t="inlineStr">
        <is>
          <t>LV|3/C+G|250</t>
        </is>
      </c>
      <c r="L6239" s="12" t="inlineStr">
        <is>
          <t>3/C+G</t>
        </is>
      </c>
      <c r="M6239" s="12" t="inlineStr">
        <is>
          <t>250 kcmil</t>
        </is>
      </c>
      <c r="N6239" s="12" t="n">
        <v>1</v>
      </c>
      <c r="O6239" s="12" t="n">
        <v>1</v>
      </c>
      <c r="P6239" s="12" t="n">
        <v>480</v>
      </c>
      <c r="Q6239" s="12" t="n">
        <v>60</v>
      </c>
      <c r="R6239" s="12" t="n">
        <v>76</v>
      </c>
      <c r="S6239" s="12" t="inlineStr">
        <is>
          <t>Tray</t>
        </is>
      </c>
      <c r="T6239" s="15" t="n">
        <v>1744</v>
      </c>
      <c r="U6239" s="15" t="n">
        <v>161</v>
      </c>
      <c r="V6239" s="15">
        <f>ROUNDUP((T6239+U6239+2*'Read Me'!$B$13)*(1+'Read Me'!$B$12),-1)</f>
        <v/>
      </c>
      <c r="W6239" s="15">
        <f>V6239*N6239*O6239</f>
        <v/>
      </c>
      <c r="X6239" s="12">
        <f>IF(LEFT(I6239,2)="MV",2*N6239*IF(L6239="1/C",O6239,1),0)</f>
        <v/>
      </c>
      <c r="Y6239" s="12">
        <f>IF(OR(LEFT(K6239,4)="LVAX",LEFT(K6239,6)="MV15AX",LEFT(K6239,4)="CTAX",LEFT(K6239,2)="W|"),2*N6239*O6239,0)</f>
        <v/>
      </c>
      <c r="Z6239" s="12" t="inlineStr">
        <is>
          <t>VD 3.0 %</t>
        </is>
      </c>
      <c r="AA6239" s="12">
        <f>N6239*O6239</f>
        <v/>
      </c>
    </row>
    <row r="6240">
      <c r="A6240" s="12" t="inlineStr">
        <is>
          <t>C-P-0018</t>
        </is>
      </c>
      <c r="B6240" s="12" t="inlineStr">
        <is>
          <t>C</t>
        </is>
      </c>
      <c r="C6240" s="12" t="inlineStr">
        <is>
          <t>Grid interface</t>
        </is>
      </c>
      <c r="D6240" s="12" t="inlineStr">
        <is>
          <t>480 V welding receptacle 3</t>
        </is>
      </c>
      <c r="E6240" s="12" t="inlineStr">
        <is>
          <t>MCC-C1</t>
        </is>
      </c>
      <c r="F6240" s="12" t="inlineStr">
        <is>
          <t>R1 MCC-C1</t>
        </is>
      </c>
      <c r="G6240" s="12" t="inlineStr"/>
      <c r="H6240" s="12" t="inlineStr">
        <is>
          <t xml:space="preserve">CO2 compression 3 x ~19 MW + dehydration: rooftop HVAC, exhaust fans, </t>
        </is>
      </c>
      <c r="I6240" s="12" t="inlineStr">
        <is>
          <t>LV 600 V</t>
        </is>
      </c>
      <c r="J6240" s="12" t="inlineStr">
        <is>
          <t>Type TC-ER 600 V 3/C Cu XHHW-2 + ground, PVC jacket</t>
        </is>
      </c>
      <c r="K6240" s="12" t="inlineStr">
        <is>
          <t>LV|3/C+G|250</t>
        </is>
      </c>
      <c r="L6240" s="12" t="inlineStr">
        <is>
          <t>3/C+G</t>
        </is>
      </c>
      <c r="M6240" s="12" t="inlineStr">
        <is>
          <t>250 kcmil</t>
        </is>
      </c>
      <c r="N6240" s="12" t="n">
        <v>1</v>
      </c>
      <c r="O6240" s="12" t="n">
        <v>1</v>
      </c>
      <c r="P6240" s="12" t="n">
        <v>480</v>
      </c>
      <c r="Q6240" s="12" t="n">
        <v>60</v>
      </c>
      <c r="R6240" s="12" t="n">
        <v>76</v>
      </c>
      <c r="S6240" s="12" t="inlineStr">
        <is>
          <t>Tray</t>
        </is>
      </c>
      <c r="T6240" s="15" t="n">
        <v>1744</v>
      </c>
      <c r="U6240" s="15" t="n">
        <v>161</v>
      </c>
      <c r="V6240" s="15">
        <f>ROUNDUP((T6240+U6240+2*'Read Me'!$B$13)*(1+'Read Me'!$B$12),-1)</f>
        <v/>
      </c>
      <c r="W6240" s="15">
        <f>V6240*N6240*O6240</f>
        <v/>
      </c>
      <c r="X6240" s="12">
        <f>IF(LEFT(I6240,2)="MV",2*N6240*IF(L6240="1/C",O6240,1),0)</f>
        <v/>
      </c>
      <c r="Y6240" s="12">
        <f>IF(OR(LEFT(K6240,4)="LVAX",LEFT(K6240,6)="MV15AX",LEFT(K6240,4)="CTAX",LEFT(K6240,2)="W|"),2*N6240*O6240,0)</f>
        <v/>
      </c>
      <c r="Z6240" s="12" t="inlineStr">
        <is>
          <t>VD 3.0 %</t>
        </is>
      </c>
      <c r="AA6240" s="12">
        <f>N6240*O6240</f>
        <v/>
      </c>
    </row>
    <row r="6241">
      <c r="A6241" s="12" t="inlineStr">
        <is>
          <t>C-P-0019</t>
        </is>
      </c>
      <c r="B6241" s="12" t="inlineStr">
        <is>
          <t>C</t>
        </is>
      </c>
      <c r="C6241" s="12" t="inlineStr">
        <is>
          <t>Grid interface</t>
        </is>
      </c>
      <c r="D6241" s="12" t="inlineStr">
        <is>
          <t>480 V welding receptacle 4</t>
        </is>
      </c>
      <c r="E6241" s="12" t="inlineStr">
        <is>
          <t>MCC-C1</t>
        </is>
      </c>
      <c r="F6241" s="12" t="inlineStr">
        <is>
          <t>R1 MCC-C1</t>
        </is>
      </c>
      <c r="G6241" s="12" t="inlineStr"/>
      <c r="H6241" s="12" t="inlineStr">
        <is>
          <t xml:space="preserve">CO2 compression 3 x ~19 MW + dehydration: rooftop HVAC, exhaust fans, </t>
        </is>
      </c>
      <c r="I6241" s="12" t="inlineStr">
        <is>
          <t>LV 600 V</t>
        </is>
      </c>
      <c r="J6241" s="12" t="inlineStr">
        <is>
          <t>Type TC-ER 600 V 3/C Cu XHHW-2 + ground, PVC jacket</t>
        </is>
      </c>
      <c r="K6241" s="12" t="inlineStr">
        <is>
          <t>LV|3/C+G|250</t>
        </is>
      </c>
      <c r="L6241" s="12" t="inlineStr">
        <is>
          <t>3/C+G</t>
        </is>
      </c>
      <c r="M6241" s="12" t="inlineStr">
        <is>
          <t>250 kcmil</t>
        </is>
      </c>
      <c r="N6241" s="12" t="n">
        <v>1</v>
      </c>
      <c r="O6241" s="12" t="n">
        <v>1</v>
      </c>
      <c r="P6241" s="12" t="n">
        <v>480</v>
      </c>
      <c r="Q6241" s="12" t="n">
        <v>60</v>
      </c>
      <c r="R6241" s="12" t="n">
        <v>76</v>
      </c>
      <c r="S6241" s="12" t="inlineStr">
        <is>
          <t>Tray</t>
        </is>
      </c>
      <c r="T6241" s="15" t="n">
        <v>1744</v>
      </c>
      <c r="U6241" s="15" t="n">
        <v>161</v>
      </c>
      <c r="V6241" s="15">
        <f>ROUNDUP((T6241+U6241+2*'Read Me'!$B$13)*(1+'Read Me'!$B$12),-1)</f>
        <v/>
      </c>
      <c r="W6241" s="15">
        <f>V6241*N6241*O6241</f>
        <v/>
      </c>
      <c r="X6241" s="12">
        <f>IF(LEFT(I6241,2)="MV",2*N6241*IF(L6241="1/C",O6241,1),0)</f>
        <v/>
      </c>
      <c r="Y6241" s="12">
        <f>IF(OR(LEFT(K6241,4)="LVAX",LEFT(K6241,6)="MV15AX",LEFT(K6241,4)="CTAX",LEFT(K6241,2)="W|"),2*N6241*O6241,0)</f>
        <v/>
      </c>
      <c r="Z6241" s="12" t="inlineStr">
        <is>
          <t>VD 3.0 %</t>
        </is>
      </c>
      <c r="AA6241" s="12">
        <f>N6241*O6241</f>
        <v/>
      </c>
    </row>
    <row r="6242">
      <c r="A6242" s="12" t="inlineStr">
        <is>
          <t>C-P-0020</t>
        </is>
      </c>
      <c r="B6242" s="12" t="inlineStr">
        <is>
          <t>C</t>
        </is>
      </c>
      <c r="C6242" s="12" t="inlineStr">
        <is>
          <t>Grid interface</t>
        </is>
      </c>
      <c r="D6242" s="12" t="inlineStr">
        <is>
          <t>Motor 1 of 2, 250 kW</t>
        </is>
      </c>
      <c r="E6242" s="12" t="inlineStr">
        <is>
          <t>MCC-C1</t>
        </is>
      </c>
      <c r="F6242" s="12" t="inlineStr">
        <is>
          <t>R1 MCC-C1</t>
        </is>
      </c>
      <c r="G6242" s="12" t="inlineStr"/>
      <c r="H6242" s="12" t="inlineStr">
        <is>
          <t>Small-bore piping: instrument air, service water, nitrogen, HRSG drain</t>
        </is>
      </c>
      <c r="I6242" s="12" t="inlineStr">
        <is>
          <t>LV 600 V</t>
        </is>
      </c>
      <c r="J6242" s="12" t="inlineStr">
        <is>
          <t>Type TC-ER 600 V 3/C Cu XHHW-2 + ground, PVC jacket</t>
        </is>
      </c>
      <c r="K6242" s="12" t="inlineStr">
        <is>
          <t>LV|3/C+G|250</t>
        </is>
      </c>
      <c r="L6242" s="12" t="inlineStr">
        <is>
          <t>3/C+G</t>
        </is>
      </c>
      <c r="M6242" s="12" t="inlineStr">
        <is>
          <t>250 kcmil</t>
        </is>
      </c>
      <c r="N6242" s="12" t="n">
        <v>2</v>
      </c>
      <c r="O6242" s="12" t="n">
        <v>1</v>
      </c>
      <c r="P6242" s="12" t="n">
        <v>480</v>
      </c>
      <c r="Q6242" s="12" t="n">
        <v>250</v>
      </c>
      <c r="R6242" s="12" t="n">
        <v>353.8</v>
      </c>
      <c r="S6242" s="12" t="inlineStr">
        <is>
          <t>Tray</t>
        </is>
      </c>
      <c r="T6242" s="15" t="n">
        <v>614</v>
      </c>
      <c r="U6242" s="15" t="n">
        <v>145</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C-P-0021</t>
        </is>
      </c>
      <c r="B6243" s="12" t="inlineStr">
        <is>
          <t>C</t>
        </is>
      </c>
      <c r="C6243" s="12" t="inlineStr">
        <is>
          <t>Grid interface</t>
        </is>
      </c>
      <c r="D6243" s="12" t="inlineStr">
        <is>
          <t>Motor 2 of 2, 250 kW</t>
        </is>
      </c>
      <c r="E6243" s="12" t="inlineStr">
        <is>
          <t>MCC-C1</t>
        </is>
      </c>
      <c r="F6243" s="12" t="inlineStr">
        <is>
          <t>R1 MCC-C1</t>
        </is>
      </c>
      <c r="G6243" s="12" t="inlineStr"/>
      <c r="H6243" s="12" t="inlineStr">
        <is>
          <t>Small-bore piping: instrument air, service water, nitrogen, HRSG drain</t>
        </is>
      </c>
      <c r="I6243" s="12" t="inlineStr">
        <is>
          <t>LV 600 V</t>
        </is>
      </c>
      <c r="J6243" s="12" t="inlineStr">
        <is>
          <t>Type TC-ER 600 V 3/C Cu XHHW-2 + ground, PVC jacket</t>
        </is>
      </c>
      <c r="K6243" s="12" t="inlineStr">
        <is>
          <t>LV|3/C+G|250</t>
        </is>
      </c>
      <c r="L6243" s="12" t="inlineStr">
        <is>
          <t>3/C+G</t>
        </is>
      </c>
      <c r="M6243" s="12" t="inlineStr">
        <is>
          <t>250 kcmil</t>
        </is>
      </c>
      <c r="N6243" s="12" t="n">
        <v>2</v>
      </c>
      <c r="O6243" s="12" t="n">
        <v>1</v>
      </c>
      <c r="P6243" s="12" t="n">
        <v>480</v>
      </c>
      <c r="Q6243" s="12" t="n">
        <v>250</v>
      </c>
      <c r="R6243" s="12" t="n">
        <v>353.8</v>
      </c>
      <c r="S6243" s="12" t="inlineStr">
        <is>
          <t>Tray</t>
        </is>
      </c>
      <c r="T6243" s="15" t="n">
        <v>614</v>
      </c>
      <c r="U6243" s="15" t="n">
        <v>145</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C-P-0022</t>
        </is>
      </c>
      <c r="B6244" s="12" t="inlineStr">
        <is>
          <t>C</t>
        </is>
      </c>
      <c r="C6244" s="12" t="inlineStr">
        <is>
          <t>Grid interface</t>
        </is>
      </c>
      <c r="D6244" s="12" t="inlineStr">
        <is>
          <t>Motor 1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C-P-0023</t>
        </is>
      </c>
      <c r="B6245" s="12" t="inlineStr">
        <is>
          <t>C</t>
        </is>
      </c>
      <c r="C6245" s="12" t="inlineStr">
        <is>
          <t>Grid interface</t>
        </is>
      </c>
      <c r="D6245" s="12" t="inlineStr">
        <is>
          <t>Motor 2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C-P-0024</t>
        </is>
      </c>
      <c r="B6246" s="12" t="inlineStr">
        <is>
          <t>C</t>
        </is>
      </c>
      <c r="C6246" s="12" t="inlineStr">
        <is>
          <t>Grid interface</t>
        </is>
      </c>
      <c r="D6246" s="12" t="inlineStr">
        <is>
          <t>Motor 3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C-P-0025</t>
        </is>
      </c>
      <c r="B6247" s="12" t="inlineStr">
        <is>
          <t>C</t>
        </is>
      </c>
      <c r="C6247" s="12" t="inlineStr">
        <is>
          <t>Grid interface</t>
        </is>
      </c>
      <c r="D6247" s="12" t="inlineStr">
        <is>
          <t>Motor 4 of 8, 15 kW</t>
        </is>
      </c>
      <c r="E6247" s="12" t="inlineStr">
        <is>
          <t>MCC-C1</t>
        </is>
      </c>
      <c r="F6247" s="12" t="inlineStr">
        <is>
          <t>R1 MCC-C1</t>
        </is>
      </c>
      <c r="G6247" s="12" t="inlineStr"/>
      <c r="H6247" s="12" t="inlineStr">
        <is>
          <t>Wastewater treatment: rooftop HVAC, exhaust fans, vents</t>
        </is>
      </c>
      <c r="I6247" s="12" t="inlineStr">
        <is>
          <t>LV 600 V</t>
        </is>
      </c>
      <c r="J6247" s="12" t="inlineStr">
        <is>
          <t>Type TC-ER 600 V 3/C Cu XHHW-2 + ground, PVC jacket</t>
        </is>
      </c>
      <c r="K6247" s="12" t="inlineStr">
        <is>
          <t>LV|3/C+G|1</t>
        </is>
      </c>
      <c r="L6247" s="12" t="inlineStr">
        <is>
          <t>3/C+G</t>
        </is>
      </c>
      <c r="M6247" s="12" t="inlineStr">
        <is>
          <t>1</t>
        </is>
      </c>
      <c r="N6247" s="12" t="n">
        <v>1</v>
      </c>
      <c r="O6247" s="12" t="n">
        <v>1</v>
      </c>
      <c r="P6247" s="12" t="n">
        <v>480</v>
      </c>
      <c r="Q6247" s="12" t="n">
        <v>15</v>
      </c>
      <c r="R6247" s="12" t="n">
        <v>21.2</v>
      </c>
      <c r="S6247" s="12" t="inlineStr">
        <is>
          <t>Duct bank</t>
        </is>
      </c>
      <c r="T6247" s="15" t="n">
        <v>1859</v>
      </c>
      <c r="U6247" s="15" t="n">
        <v>228</v>
      </c>
      <c r="V6247" s="15">
        <f>ROUNDUP((T6247+U6247+2*'Read Me'!$B$13)*(1+'Read Me'!$B$12),-1)</f>
        <v/>
      </c>
      <c r="W6247" s="15">
        <f>V6247*N6247*O6247</f>
        <v/>
      </c>
      <c r="X6247" s="12">
        <f>IF(LEFT(I6247,2)="MV",2*N6247*IF(L6247="1/C",O6247,1),0)</f>
        <v/>
      </c>
      <c r="Y6247" s="12">
        <f>IF(OR(LEFT(K6247,4)="LVAX",LEFT(K6247,6)="MV15AX",LEFT(K6247,4)="CTAX",LEFT(K6247,2)="W|"),2*N6247*O6247,0)</f>
        <v/>
      </c>
      <c r="Z6247" s="12" t="inlineStr">
        <is>
          <t>VD 2.7 %</t>
        </is>
      </c>
      <c r="AA6247" s="12">
        <f>N6247*O6247</f>
        <v/>
      </c>
    </row>
    <row r="6248">
      <c r="A6248" s="12" t="inlineStr">
        <is>
          <t>C-P-0026</t>
        </is>
      </c>
      <c r="B6248" s="12" t="inlineStr">
        <is>
          <t>C</t>
        </is>
      </c>
      <c r="C6248" s="12" t="inlineStr">
        <is>
          <t>Grid interface</t>
        </is>
      </c>
      <c r="D6248" s="12" t="inlineStr">
        <is>
          <t>Motor 5 of 8, 15 kW</t>
        </is>
      </c>
      <c r="E6248" s="12" t="inlineStr">
        <is>
          <t>MCC-C1</t>
        </is>
      </c>
      <c r="F6248" s="12" t="inlineStr">
        <is>
          <t>R1 MCC-C1</t>
        </is>
      </c>
      <c r="G6248" s="12" t="inlineStr"/>
      <c r="H6248" s="12" t="inlineStr">
        <is>
          <t>Wastewater treatment: rooftop HVAC, exhaust fans, vents</t>
        </is>
      </c>
      <c r="I6248" s="12" t="inlineStr">
        <is>
          <t>LV 600 V</t>
        </is>
      </c>
      <c r="J6248" s="12" t="inlineStr">
        <is>
          <t>Type TC-ER 600 V 3/C Cu XHHW-2 + ground, PVC jacket</t>
        </is>
      </c>
      <c r="K6248" s="12" t="inlineStr">
        <is>
          <t>LV|3/C+G|1</t>
        </is>
      </c>
      <c r="L6248" s="12" t="inlineStr">
        <is>
          <t>3/C+G</t>
        </is>
      </c>
      <c r="M6248" s="12" t="inlineStr">
        <is>
          <t>1</t>
        </is>
      </c>
      <c r="N6248" s="12" t="n">
        <v>1</v>
      </c>
      <c r="O6248" s="12" t="n">
        <v>1</v>
      </c>
      <c r="P6248" s="12" t="n">
        <v>480</v>
      </c>
      <c r="Q6248" s="12" t="n">
        <v>15</v>
      </c>
      <c r="R6248" s="12" t="n">
        <v>21.2</v>
      </c>
      <c r="S6248" s="12" t="inlineStr">
        <is>
          <t>Duct bank</t>
        </is>
      </c>
      <c r="T6248" s="15" t="n">
        <v>1859</v>
      </c>
      <c r="U6248" s="15" t="n">
        <v>228</v>
      </c>
      <c r="V6248" s="15">
        <f>ROUNDUP((T6248+U6248+2*'Read Me'!$B$13)*(1+'Read Me'!$B$12),-1)</f>
        <v/>
      </c>
      <c r="W6248" s="15">
        <f>V6248*N6248*O6248</f>
        <v/>
      </c>
      <c r="X6248" s="12">
        <f>IF(LEFT(I6248,2)="MV",2*N6248*IF(L6248="1/C",O6248,1),0)</f>
        <v/>
      </c>
      <c r="Y6248" s="12">
        <f>IF(OR(LEFT(K6248,4)="LVAX",LEFT(K6248,6)="MV15AX",LEFT(K6248,4)="CTAX",LEFT(K6248,2)="W|"),2*N6248*O6248,0)</f>
        <v/>
      </c>
      <c r="Z6248" s="12" t="inlineStr">
        <is>
          <t>VD 2.7 %</t>
        </is>
      </c>
      <c r="AA6248" s="12">
        <f>N6248*O6248</f>
        <v/>
      </c>
    </row>
    <row r="6249">
      <c r="A6249" s="12" t="inlineStr">
        <is>
          <t>C-P-0027</t>
        </is>
      </c>
      <c r="B6249" s="12" t="inlineStr">
        <is>
          <t>C</t>
        </is>
      </c>
      <c r="C6249" s="12" t="inlineStr">
        <is>
          <t>Grid interface</t>
        </is>
      </c>
      <c r="D6249" s="12" t="inlineStr">
        <is>
          <t>Motor 6 of 8, 15 kW</t>
        </is>
      </c>
      <c r="E6249" s="12" t="inlineStr">
        <is>
          <t>MCC-C1</t>
        </is>
      </c>
      <c r="F6249" s="12" t="inlineStr">
        <is>
          <t>R1 MCC-C1</t>
        </is>
      </c>
      <c r="G6249" s="12" t="inlineStr"/>
      <c r="H6249" s="12" t="inlineStr">
        <is>
          <t>Wastewater treatment: rooftop HVAC, exhaust fans, vents</t>
        </is>
      </c>
      <c r="I6249" s="12" t="inlineStr">
        <is>
          <t>LV 600 V</t>
        </is>
      </c>
      <c r="J6249" s="12" t="inlineStr">
        <is>
          <t>Type TC-ER 600 V 3/C Cu XHHW-2 + ground, PVC jacket</t>
        </is>
      </c>
      <c r="K6249" s="12" t="inlineStr">
        <is>
          <t>LV|3/C+G|1</t>
        </is>
      </c>
      <c r="L6249" s="12" t="inlineStr">
        <is>
          <t>3/C+G</t>
        </is>
      </c>
      <c r="M6249" s="12" t="inlineStr">
        <is>
          <t>1</t>
        </is>
      </c>
      <c r="N6249" s="12" t="n">
        <v>1</v>
      </c>
      <c r="O6249" s="12" t="n">
        <v>1</v>
      </c>
      <c r="P6249" s="12" t="n">
        <v>480</v>
      </c>
      <c r="Q6249" s="12" t="n">
        <v>15</v>
      </c>
      <c r="R6249" s="12" t="n">
        <v>21.2</v>
      </c>
      <c r="S6249" s="12" t="inlineStr">
        <is>
          <t>Duct bank</t>
        </is>
      </c>
      <c r="T6249" s="15" t="n">
        <v>1859</v>
      </c>
      <c r="U6249" s="15" t="n">
        <v>228</v>
      </c>
      <c r="V6249" s="15">
        <f>ROUNDUP((T6249+U6249+2*'Read Me'!$B$13)*(1+'Read Me'!$B$12),-1)</f>
        <v/>
      </c>
      <c r="W6249" s="15">
        <f>V6249*N6249*O6249</f>
        <v/>
      </c>
      <c r="X6249" s="12">
        <f>IF(LEFT(I6249,2)="MV",2*N6249*IF(L6249="1/C",O6249,1),0)</f>
        <v/>
      </c>
      <c r="Y6249" s="12">
        <f>IF(OR(LEFT(K6249,4)="LVAX",LEFT(K6249,6)="MV15AX",LEFT(K6249,4)="CTAX",LEFT(K6249,2)="W|"),2*N6249*O6249,0)</f>
        <v/>
      </c>
      <c r="Z6249" s="12" t="inlineStr">
        <is>
          <t>VD 2.7 %</t>
        </is>
      </c>
      <c r="AA6249" s="12">
        <f>N6249*O6249</f>
        <v/>
      </c>
    </row>
    <row r="6250">
      <c r="A6250" s="12" t="inlineStr">
        <is>
          <t>C-P-0028</t>
        </is>
      </c>
      <c r="B6250" s="12" t="inlineStr">
        <is>
          <t>C</t>
        </is>
      </c>
      <c r="C6250" s="12" t="inlineStr">
        <is>
          <t>Grid interface</t>
        </is>
      </c>
      <c r="D6250" s="12" t="inlineStr">
        <is>
          <t>Motor 7 of 8, 15 kW</t>
        </is>
      </c>
      <c r="E6250" s="12" t="inlineStr">
        <is>
          <t>MCC-C1</t>
        </is>
      </c>
      <c r="F6250" s="12" t="inlineStr">
        <is>
          <t>R1 MCC-C1</t>
        </is>
      </c>
      <c r="G6250" s="12" t="inlineStr"/>
      <c r="H6250" s="12" t="inlineStr">
        <is>
          <t>Wastewater treatment: rooftop HVAC, exhaust fans, vents</t>
        </is>
      </c>
      <c r="I6250" s="12" t="inlineStr">
        <is>
          <t>LV 600 V</t>
        </is>
      </c>
      <c r="J6250" s="12" t="inlineStr">
        <is>
          <t>Type TC-ER 600 V 3/C Cu XHHW-2 + ground, PVC jacket</t>
        </is>
      </c>
      <c r="K6250" s="12" t="inlineStr">
        <is>
          <t>LV|3/C+G|1</t>
        </is>
      </c>
      <c r="L6250" s="12" t="inlineStr">
        <is>
          <t>3/C+G</t>
        </is>
      </c>
      <c r="M6250" s="12" t="inlineStr">
        <is>
          <t>1</t>
        </is>
      </c>
      <c r="N6250" s="12" t="n">
        <v>1</v>
      </c>
      <c r="O6250" s="12" t="n">
        <v>1</v>
      </c>
      <c r="P6250" s="12" t="n">
        <v>480</v>
      </c>
      <c r="Q6250" s="12" t="n">
        <v>15</v>
      </c>
      <c r="R6250" s="12" t="n">
        <v>21.2</v>
      </c>
      <c r="S6250" s="12" t="inlineStr">
        <is>
          <t>Duct bank</t>
        </is>
      </c>
      <c r="T6250" s="15" t="n">
        <v>1859</v>
      </c>
      <c r="U6250" s="15" t="n">
        <v>228</v>
      </c>
      <c r="V6250" s="15">
        <f>ROUNDUP((T6250+U6250+2*'Read Me'!$B$13)*(1+'Read Me'!$B$12),-1)</f>
        <v/>
      </c>
      <c r="W6250" s="15">
        <f>V6250*N6250*O6250</f>
        <v/>
      </c>
      <c r="X6250" s="12">
        <f>IF(LEFT(I6250,2)="MV",2*N6250*IF(L6250="1/C",O6250,1),0)</f>
        <v/>
      </c>
      <c r="Y6250" s="12">
        <f>IF(OR(LEFT(K6250,4)="LVAX",LEFT(K6250,6)="MV15AX",LEFT(K6250,4)="CTAX",LEFT(K6250,2)="W|"),2*N6250*O6250,0)</f>
        <v/>
      </c>
      <c r="Z6250" s="12" t="inlineStr">
        <is>
          <t>VD 2.7 %</t>
        </is>
      </c>
      <c r="AA6250" s="12">
        <f>N6250*O6250</f>
        <v/>
      </c>
    </row>
    <row r="6251">
      <c r="A6251" s="12" t="inlineStr">
        <is>
          <t>C-P-0029</t>
        </is>
      </c>
      <c r="B6251" s="12" t="inlineStr">
        <is>
          <t>C</t>
        </is>
      </c>
      <c r="C6251" s="12" t="inlineStr">
        <is>
          <t>Grid interface</t>
        </is>
      </c>
      <c r="D6251" s="12" t="inlineStr">
        <is>
          <t>Motor 8 of 8, 15 kW</t>
        </is>
      </c>
      <c r="E6251" s="12" t="inlineStr">
        <is>
          <t>MCC-C1</t>
        </is>
      </c>
      <c r="F6251" s="12" t="inlineStr">
        <is>
          <t>R1 MCC-C1</t>
        </is>
      </c>
      <c r="G6251" s="12" t="inlineStr"/>
      <c r="H6251" s="12" t="inlineStr">
        <is>
          <t>Wastewater treatment: rooftop HVAC, exhaust fans, vents</t>
        </is>
      </c>
      <c r="I6251" s="12" t="inlineStr">
        <is>
          <t>LV 600 V</t>
        </is>
      </c>
      <c r="J6251" s="12" t="inlineStr">
        <is>
          <t>Type TC-ER 600 V 3/C Cu XHHW-2 + ground, PVC jacket</t>
        </is>
      </c>
      <c r="K6251" s="12" t="inlineStr">
        <is>
          <t>LV|3/C+G|1</t>
        </is>
      </c>
      <c r="L6251" s="12" t="inlineStr">
        <is>
          <t>3/C+G</t>
        </is>
      </c>
      <c r="M6251" s="12" t="inlineStr">
        <is>
          <t>1</t>
        </is>
      </c>
      <c r="N6251" s="12" t="n">
        <v>1</v>
      </c>
      <c r="O6251" s="12" t="n">
        <v>1</v>
      </c>
      <c r="P6251" s="12" t="n">
        <v>480</v>
      </c>
      <c r="Q6251" s="12" t="n">
        <v>15</v>
      </c>
      <c r="R6251" s="12" t="n">
        <v>21.2</v>
      </c>
      <c r="S6251" s="12" t="inlineStr">
        <is>
          <t>Duct bank</t>
        </is>
      </c>
      <c r="T6251" s="15" t="n">
        <v>1859</v>
      </c>
      <c r="U6251" s="15" t="n">
        <v>228</v>
      </c>
      <c r="V6251" s="15">
        <f>ROUNDUP((T6251+U6251+2*'Read Me'!$B$13)*(1+'Read Me'!$B$12),-1)</f>
        <v/>
      </c>
      <c r="W6251" s="15">
        <f>V6251*N6251*O6251</f>
        <v/>
      </c>
      <c r="X6251" s="12">
        <f>IF(LEFT(I6251,2)="MV",2*N6251*IF(L6251="1/C",O6251,1),0)</f>
        <v/>
      </c>
      <c r="Y6251" s="12">
        <f>IF(OR(LEFT(K6251,4)="LVAX",LEFT(K6251,6)="MV15AX",LEFT(K6251,4)="CTAX",LEFT(K6251,2)="W|"),2*N6251*O6251,0)</f>
        <v/>
      </c>
      <c r="Z6251" s="12" t="inlineStr">
        <is>
          <t>VD 2.7 %</t>
        </is>
      </c>
      <c r="AA6251" s="12">
        <f>N6251*O6251</f>
        <v/>
      </c>
    </row>
    <row r="6252">
      <c r="A6252" s="12" t="inlineStr">
        <is>
          <t>C-P-0030</t>
        </is>
      </c>
      <c r="B6252" s="12" t="inlineStr">
        <is>
          <t>C</t>
        </is>
      </c>
      <c r="C6252" s="12" t="inlineStr">
        <is>
          <t>Grid interface</t>
        </is>
      </c>
      <c r="D6252" s="12" t="inlineStr">
        <is>
          <t>Motor 1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C-P-0031</t>
        </is>
      </c>
      <c r="B6253" s="12" t="inlineStr">
        <is>
          <t>C</t>
        </is>
      </c>
      <c r="C6253" s="12" t="inlineStr">
        <is>
          <t>Grid interface</t>
        </is>
      </c>
      <c r="D6253" s="12" t="inlineStr">
        <is>
          <t>Motor 2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C-P-0032</t>
        </is>
      </c>
      <c r="B6254" s="12" t="inlineStr">
        <is>
          <t>C</t>
        </is>
      </c>
      <c r="C6254" s="12" t="inlineStr">
        <is>
          <t>Grid interface</t>
        </is>
      </c>
      <c r="D6254" s="12" t="inlineStr">
        <is>
          <t>Motor 3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C-P-0033</t>
        </is>
      </c>
      <c r="B6255" s="12" t="inlineStr">
        <is>
          <t>C</t>
        </is>
      </c>
      <c r="C6255" s="12" t="inlineStr">
        <is>
          <t>Grid interface</t>
        </is>
      </c>
      <c r="D6255" s="12" t="inlineStr">
        <is>
          <t>Motor 4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C-P-0034</t>
        </is>
      </c>
      <c r="B6256" s="12" t="inlineStr">
        <is>
          <t>C</t>
        </is>
      </c>
      <c r="C6256" s="12" t="inlineStr">
        <is>
          <t>Grid interface</t>
        </is>
      </c>
      <c r="D6256" s="12" t="inlineStr">
        <is>
          <t>Motor 5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C-P-0035</t>
        </is>
      </c>
      <c r="B6257" s="12" t="inlineStr">
        <is>
          <t>C</t>
        </is>
      </c>
      <c r="C6257" s="12" t="inlineStr">
        <is>
          <t>Grid interface</t>
        </is>
      </c>
      <c r="D6257" s="12" t="inlineStr">
        <is>
          <t>Motor 6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C-P-0036</t>
        </is>
      </c>
      <c r="B6258" s="12" t="inlineStr">
        <is>
          <t>C</t>
        </is>
      </c>
      <c r="C6258" s="12" t="inlineStr">
        <is>
          <t>Grid interface</t>
        </is>
      </c>
      <c r="D6258" s="12" t="inlineStr">
        <is>
          <t>Motor 7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C-P-0037</t>
        </is>
      </c>
      <c r="B6259" s="12" t="inlineStr">
        <is>
          <t>C</t>
        </is>
      </c>
      <c r="C6259" s="12" t="inlineStr">
        <is>
          <t>Grid interface</t>
        </is>
      </c>
      <c r="D6259" s="12" t="inlineStr">
        <is>
          <t>Motor 8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C-P-0038</t>
        </is>
      </c>
      <c r="B6260" s="12" t="inlineStr">
        <is>
          <t>C</t>
        </is>
      </c>
      <c r="C6260" s="12" t="inlineStr">
        <is>
          <t>Grid interface</t>
        </is>
      </c>
      <c r="D6260" s="12" t="inlineStr">
        <is>
          <t>Motor 9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C-P-0039</t>
        </is>
      </c>
      <c r="B6261" s="12" t="inlineStr">
        <is>
          <t>C</t>
        </is>
      </c>
      <c r="C6261" s="12" t="inlineStr">
        <is>
          <t>Grid interface</t>
        </is>
      </c>
      <c r="D6261" s="12" t="inlineStr">
        <is>
          <t>Motor 10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C-P-0040</t>
        </is>
      </c>
      <c r="B6262" s="12" t="inlineStr">
        <is>
          <t>C</t>
        </is>
      </c>
      <c r="C6262" s="12" t="inlineStr">
        <is>
          <t>Grid interface</t>
        </is>
      </c>
      <c r="D6262" s="12" t="inlineStr">
        <is>
          <t>Motor 11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C-P-0041</t>
        </is>
      </c>
      <c r="B6263" s="12" t="inlineStr">
        <is>
          <t>C</t>
        </is>
      </c>
      <c r="C6263" s="12" t="inlineStr">
        <is>
          <t>Grid interface</t>
        </is>
      </c>
      <c r="D6263" s="12" t="inlineStr">
        <is>
          <t>Motor 12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C-P-0042</t>
        </is>
      </c>
      <c r="B6264" s="12" t="inlineStr">
        <is>
          <t>C</t>
        </is>
      </c>
      <c r="C6264" s="12" t="inlineStr">
        <is>
          <t>Grid interface</t>
        </is>
      </c>
      <c r="D6264" s="12" t="inlineStr">
        <is>
          <t>Motor 13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C-P-0043</t>
        </is>
      </c>
      <c r="B6265" s="12" t="inlineStr">
        <is>
          <t>C</t>
        </is>
      </c>
      <c r="C6265" s="12" t="inlineStr">
        <is>
          <t>Grid interface</t>
        </is>
      </c>
      <c r="D6265" s="12" t="inlineStr">
        <is>
          <t>Motor 14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C-P-0044</t>
        </is>
      </c>
      <c r="B6266" s="12" t="inlineStr">
        <is>
          <t>C</t>
        </is>
      </c>
      <c r="C6266" s="12" t="inlineStr">
        <is>
          <t>Grid interface</t>
        </is>
      </c>
      <c r="D6266" s="12" t="inlineStr">
        <is>
          <t>Motor 15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row r="6267">
      <c r="A6267" s="12" t="inlineStr">
        <is>
          <t>C-P-0045</t>
        </is>
      </c>
      <c r="B6267" s="12" t="inlineStr">
        <is>
          <t>C</t>
        </is>
      </c>
      <c r="C6267" s="12" t="inlineStr">
        <is>
          <t>Grid interface</t>
        </is>
      </c>
      <c r="D6267" s="12" t="inlineStr">
        <is>
          <t>Motor 16 of 20, 15 kW</t>
        </is>
      </c>
      <c r="E6267" s="12" t="inlineStr">
        <is>
          <t>MCC-C1</t>
        </is>
      </c>
      <c r="F6267" s="12" t="inlineStr">
        <is>
          <t>R1 MCC-C1</t>
        </is>
      </c>
      <c r="G6267" s="12" t="inlineStr"/>
      <c r="H6267" s="12" t="inlineStr">
        <is>
          <t>Water treatment building: rooftop HVAC, exhaust fans, vents</t>
        </is>
      </c>
      <c r="I6267" s="12" t="inlineStr">
        <is>
          <t>LV 600 V</t>
        </is>
      </c>
      <c r="J6267" s="12" t="inlineStr">
        <is>
          <t>Type TC-ER 600 V 3/C Cu XHHW-2 + ground, PVC jacket</t>
        </is>
      </c>
      <c r="K6267" s="12" t="inlineStr">
        <is>
          <t>LV|3/C+G|2</t>
        </is>
      </c>
      <c r="L6267" s="12" t="inlineStr">
        <is>
          <t>3/C+G</t>
        </is>
      </c>
      <c r="M6267" s="12" t="inlineStr">
        <is>
          <t>2</t>
        </is>
      </c>
      <c r="N6267" s="12" t="n">
        <v>1</v>
      </c>
      <c r="O6267" s="12" t="n">
        <v>1</v>
      </c>
      <c r="P6267" s="12" t="n">
        <v>480</v>
      </c>
      <c r="Q6267" s="12" t="n">
        <v>15</v>
      </c>
      <c r="R6267" s="12" t="n">
        <v>21.2</v>
      </c>
      <c r="S6267" s="12" t="inlineStr">
        <is>
          <t>Duct bank</t>
        </is>
      </c>
      <c r="T6267" s="15" t="n">
        <v>1629</v>
      </c>
      <c r="U6267" s="15" t="n">
        <v>161</v>
      </c>
      <c r="V6267" s="15">
        <f>ROUNDUP((T6267+U6267+2*'Read Me'!$B$13)*(1+'Read Me'!$B$12),-1)</f>
        <v/>
      </c>
      <c r="W6267" s="15">
        <f>V6267*N6267*O6267</f>
        <v/>
      </c>
      <c r="X6267" s="12">
        <f>IF(LEFT(I6267,2)="MV",2*N6267*IF(L6267="1/C",O6267,1),0)</f>
        <v/>
      </c>
      <c r="Y6267" s="12">
        <f>IF(OR(LEFT(K6267,4)="LVAX",LEFT(K6267,6)="MV15AX",LEFT(K6267,4)="CTAX",LEFT(K6267,2)="W|"),2*N6267*O6267,0)</f>
        <v/>
      </c>
      <c r="Z6267" s="12" t="inlineStr">
        <is>
          <t>VD 2.9 %</t>
        </is>
      </c>
      <c r="AA6267" s="12">
        <f>N6267*O6267</f>
        <v/>
      </c>
    </row>
    <row r="6268">
      <c r="A6268" s="12" t="inlineStr">
        <is>
          <t>C-P-0046</t>
        </is>
      </c>
      <c r="B6268" s="12" t="inlineStr">
        <is>
          <t>C</t>
        </is>
      </c>
      <c r="C6268" s="12" t="inlineStr">
        <is>
          <t>Grid interface</t>
        </is>
      </c>
      <c r="D6268" s="12" t="inlineStr">
        <is>
          <t>Motor 17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C-P-0047</t>
        </is>
      </c>
      <c r="B6269" s="12" t="inlineStr">
        <is>
          <t>C</t>
        </is>
      </c>
      <c r="C6269" s="12" t="inlineStr">
        <is>
          <t>Grid interface</t>
        </is>
      </c>
      <c r="D6269" s="12" t="inlineStr">
        <is>
          <t>Motor 18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C-P-0048</t>
        </is>
      </c>
      <c r="B6270" s="12" t="inlineStr">
        <is>
          <t>C</t>
        </is>
      </c>
      <c r="C6270" s="12" t="inlineStr">
        <is>
          <t>Grid interface</t>
        </is>
      </c>
      <c r="D6270" s="12" t="inlineStr">
        <is>
          <t>Motor 19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C-P-0049</t>
        </is>
      </c>
      <c r="B6271" s="12" t="inlineStr">
        <is>
          <t>C</t>
        </is>
      </c>
      <c r="C6271" s="12" t="inlineStr">
        <is>
          <t>Grid interface</t>
        </is>
      </c>
      <c r="D6271" s="12" t="inlineStr">
        <is>
          <t>Motor 20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sheetData>
  <autoFilter ref="A1:AA62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Schedule'!$AA$2:$AA$6271,'Cable Schedule'!$K$2:$K$6271,A2)</f>
        <v/>
      </c>
      <c r="G2" s="17">
        <f>SUMIFS('Cable Schedule'!$W$2:$W$6271,'Cable Schedule'!$K$2:$K$6271,A2)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Schedule'!$AA$2:$AA$6271,'Cable Schedule'!$K$2:$K$6271,A3)</f>
        <v/>
      </c>
      <c r="G3" s="17">
        <f>SUMIFS('Cable Schedule'!$W$2:$W$6271,'Cable Schedule'!$K$2:$K$6271,A3)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Schedule'!$AA$2:$AA$6271,'Cable Schedule'!$K$2:$K$6271,A4)</f>
        <v/>
      </c>
      <c r="G4" s="17">
        <f>SUMIFS('Cable Schedule'!$W$2:$W$6271,'Cable Schedule'!$K$2:$K$6271,A4)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Schedule'!$AA$2:$AA$6271,'Cable Schedule'!$K$2:$K$6271,A5)</f>
        <v/>
      </c>
      <c r="G5" s="17">
        <f>SUMIFS('Cable Schedule'!$W$2:$W$6271,'Cable Schedule'!$K$2:$K$6271,A5)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Schedule'!$AA$2:$AA$6271,'Cable Schedule'!$K$2:$K$6271,A6)</f>
        <v/>
      </c>
      <c r="G6" s="17">
        <f>SUMIFS('Cable Schedule'!$W$2:$W$6271,'Cable Schedule'!$K$2:$K$6271,A6)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Schedule'!$AA$2:$AA$6271,'Cable Schedule'!$K$2:$K$6271,A7)</f>
        <v/>
      </c>
      <c r="G7" s="17">
        <f>SUMIFS('Cable Schedule'!$W$2:$W$6271,'Cable Schedule'!$K$2:$K$6271,A7)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Schedule'!$AA$2:$AA$6271,'Cable Schedule'!$K$2:$K$6271,A8)</f>
        <v/>
      </c>
      <c r="G8" s="17">
        <f>SUMIFS('Cable Schedule'!$W$2:$W$6271,'Cable Schedule'!$K$2:$K$6271,A8)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Schedule'!$AA$2:$AA$6271,'Cable Schedule'!$K$2:$K$6271,A9)</f>
        <v/>
      </c>
      <c r="G9" s="17">
        <f>SUMIFS('Cable Schedule'!$W$2:$W$6271,'Cable Schedule'!$K$2:$K$6271,A9)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Schedule'!$AA$2:$AA$6271,'Cable Schedule'!$K$2:$K$6271,A10)</f>
        <v/>
      </c>
      <c r="G10" s="17">
        <f>SUMIFS('Cable Schedule'!$W$2:$W$6271,'Cable Schedule'!$K$2:$K$6271,A10)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Schedule'!$AA$2:$AA$6271,'Cable Schedule'!$K$2:$K$6271,A11)</f>
        <v/>
      </c>
      <c r="G11" s="17">
        <f>SUMIFS('Cable Schedule'!$W$2:$W$6271,'Cable Schedule'!$K$2:$K$6271,A11)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Schedule'!$AA$2:$AA$6271,'Cable Schedule'!$K$2:$K$6271,A12)</f>
        <v/>
      </c>
      <c r="G12" s="17">
        <f>SUMIFS('Cable Schedule'!$W$2:$W$6271,'Cable Schedule'!$K$2:$K$6271,A12)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Schedule'!$AA$2:$AA$6271,'Cable Schedule'!$K$2:$K$6271,A13)</f>
        <v/>
      </c>
      <c r="G13" s="17">
        <f>SUMIFS('Cable Schedule'!$W$2:$W$6271,'Cable Schedule'!$K$2:$K$6271,A13)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Schedule'!$AA$2:$AA$6271,'Cable Schedule'!$K$2:$K$6271,A14)</f>
        <v/>
      </c>
      <c r="G14" s="17">
        <f>SUMIFS('Cable Schedule'!$W$2:$W$6271,'Cable Schedule'!$K$2:$K$6271,A14)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Schedule'!$AA$2:$AA$6271,'Cable Schedule'!$K$2:$K$6271,A15)</f>
        <v/>
      </c>
      <c r="G15" s="17">
        <f>SUMIFS('Cable Schedule'!$W$2:$W$6271,'Cable Schedule'!$K$2:$K$6271,A15)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Schedule'!$AA$2:$AA$6271,'Cable Schedule'!$K$2:$K$6271,A16)</f>
        <v/>
      </c>
      <c r="G16" s="17">
        <f>SUMIFS('Cable Schedule'!$W$2:$W$6271,'Cable Schedule'!$K$2:$K$6271,A16)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Schedule'!$AA$2:$AA$6271,'Cable Schedule'!$K$2:$K$6271,A17)</f>
        <v/>
      </c>
      <c r="G17" s="17">
        <f>SUMIFS('Cable Schedule'!$W$2:$W$6271,'Cable Schedule'!$K$2:$K$6271,A17)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Schedule'!$AA$2:$AA$6271,'Cable Schedule'!$K$2:$K$6271,A18)</f>
        <v/>
      </c>
      <c r="G18" s="17">
        <f>SUMIFS('Cable Schedule'!$W$2:$W$6271,'Cable Schedule'!$K$2:$K$6271,A18)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Schedule'!$AA$2:$AA$6271,'Cable Schedule'!$K$2:$K$6271,A19)</f>
        <v/>
      </c>
      <c r="G19" s="17">
        <f>SUMIFS('Cable Schedule'!$W$2:$W$6271,'Cable Schedule'!$K$2:$K$6271,A19)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Schedule'!$AA$2:$AA$6271,'Cable Schedule'!$K$2:$K$6271,A20)</f>
        <v/>
      </c>
      <c r="G20" s="17">
        <f>SUMIFS('Cable Schedule'!$W$2:$W$6271,'Cable Schedule'!$K$2:$K$6271,A20)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Schedule'!$AA$2:$AA$6271,'Cable Schedule'!$K$2:$K$6271,A21)</f>
        <v/>
      </c>
      <c r="G21" s="17">
        <f>SUMIFS('Cable Schedule'!$W$2:$W$6271,'Cable Schedule'!$K$2:$K$6271,A21)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Schedule'!$AA$2:$AA$6271,'Cable Schedule'!$K$2:$K$6271,A22)</f>
        <v/>
      </c>
      <c r="G22" s="17">
        <f>SUMIFS('Cable Schedule'!$W$2:$W$6271,'Cable Schedule'!$K$2:$K$6271,A22)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Schedule'!$AA$2:$AA$6271,'Cable Schedule'!$K$2:$K$6271,A23)</f>
        <v/>
      </c>
      <c r="G23" s="17">
        <f>SUMIFS('Cable Schedule'!$W$2:$W$6271,'Cable Schedule'!$K$2:$K$6271,A23)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Schedule'!$AA$2:$AA$6271,'Cable Schedule'!$K$2:$K$6271,A24)</f>
        <v/>
      </c>
      <c r="G24" s="17">
        <f>SUMIFS('Cable Schedule'!$W$2:$W$6271,'Cable Schedule'!$K$2:$K$6271,A24)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Schedule'!$AA$2:$AA$6271,'Cable Schedule'!$K$2:$K$6271,A25)</f>
        <v/>
      </c>
      <c r="G25" s="17">
        <f>SUMIFS('Cable Schedule'!$W$2:$W$6271,'Cable Schedule'!$K$2:$K$6271,A25)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Schedule'!$AA$2:$AA$6271,'Cable Schedule'!$K$2:$K$6271,A26)</f>
        <v/>
      </c>
      <c r="G26" s="17">
        <f>SUMIFS('Cable Schedule'!$W$2:$W$6271,'Cable Schedule'!$K$2:$K$6271,A26)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Schedule'!$AA$2:$AA$6271,'Cable Schedule'!$K$2:$K$6271,A27)</f>
        <v/>
      </c>
      <c r="G27" s="17">
        <f>SUMIFS('Cable Schedule'!$W$2:$W$6271,'Cable Schedule'!$K$2:$K$6271,A27)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Schedule'!$AA$2:$AA$6271,'Cable Schedule'!$K$2:$K$6271,A28)</f>
        <v/>
      </c>
      <c r="G28" s="17">
        <f>SUMIFS('Cable Schedule'!$W$2:$W$6271,'Cable Schedule'!$K$2:$K$6271,A28)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Schedule'!$AA$2:$AA$6271,'Cable Schedule'!$K$2:$K$6271,A29)</f>
        <v/>
      </c>
      <c r="G29" s="17">
        <f>SUMIFS('Cable Schedule'!$W$2:$W$6271,'Cable Schedule'!$K$2:$K$6271,A29)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Schedule'!$AA$2:$AA$6271,'Cable Schedule'!$K$2:$K$6271,A30)</f>
        <v/>
      </c>
      <c r="G30" s="17">
        <f>SUMIFS('Cable Schedule'!$W$2:$W$6271,'Cable Schedule'!$K$2:$K$6271,A30)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Schedule'!$AA$2:$AA$6271,'Cable Schedule'!$K$2:$K$6271,A31)</f>
        <v/>
      </c>
      <c r="G31" s="17">
        <f>SUMIFS('Cable Schedule'!$W$2:$W$6271,'Cable Schedule'!$K$2:$K$6271,A31)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Schedule'!$AA$2:$AA$6271,'Cable Schedule'!$K$2:$K$6271,A32)</f>
        <v/>
      </c>
      <c r="G32" s="17">
        <f>SUMIFS('Cable Schedule'!$W$2:$W$6271,'Cable Schedule'!$K$2:$K$6271,A32)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Schedule'!$AA$2:$AA$6271,'Cable Schedule'!$K$2:$K$6271,A33)</f>
        <v/>
      </c>
      <c r="G33" s="17">
        <f>SUMIFS('Cable Schedule'!$W$2:$W$6271,'Cable Schedule'!$K$2:$K$6271,A33)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Schedule'!$AA$2:$AA$6271,'Cable Schedule'!$K$2:$K$6271,A34)</f>
        <v/>
      </c>
      <c r="G34" s="17">
        <f>SUMIFS('Cable Schedule'!$W$2:$W$6271,'Cable Schedule'!$K$2:$K$6271,A34)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Schedule'!$AA$2:$AA$6271,'Cable Schedule'!$K$2:$K$6271,A35)</f>
        <v/>
      </c>
      <c r="G35" s="17">
        <f>SUMIFS('Cable Schedule'!$W$2:$W$6271,'Cable Schedule'!$K$2:$K$6271,A35)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Schedule'!$AA$2:$AA$6271,'Cable Schedule'!$K$2:$K$6271,A36)</f>
        <v/>
      </c>
      <c r="G36" s="17">
        <f>SUMIFS('Cable Schedule'!$W$2:$W$6271,'Cable Schedule'!$K$2:$K$6271,A36)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Schedule'!$AA$2:$AA$6271,'Cable Schedule'!$K$2:$K$6271,A37)</f>
        <v/>
      </c>
      <c r="G37" s="17">
        <f>SUMIFS('Cable Schedule'!$W$2:$W$6271,'Cable Schedule'!$K$2:$K$6271,A37)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Schedule'!$AA$2:$AA$6271,'Cable Schedule'!$K$2:$K$6271,A38)</f>
        <v/>
      </c>
      <c r="G38" s="17">
        <f>SUMIFS('Cable Schedule'!$W$2:$W$6271,'Cable Schedule'!$K$2:$K$6271,A38)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Schedule'!$AA$2:$AA$6271,'Cable Schedule'!$K$2:$K$6271,A39)</f>
        <v/>
      </c>
      <c r="G39" s="17">
        <f>SUMIFS('Cable Schedule'!$W$2:$W$6271,'Cable Schedule'!$K$2:$K$6271,A39)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Schedule'!$AA$2:$AA$6271,'Cable Schedule'!$K$2:$K$6271,A40)</f>
        <v/>
      </c>
      <c r="G40" s="17">
        <f>SUMIFS('Cable Schedule'!$W$2:$W$6271,'Cable Schedule'!$K$2:$K$6271,A40)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Schedule'!$AA$2:$AA$6271,'Cable Schedule'!$K$2:$K$6271,A41)</f>
        <v/>
      </c>
      <c r="G41" s="17">
        <f>SUMIFS('Cable Schedule'!$W$2:$W$6271,'Cable Schedule'!$K$2:$K$6271,A41)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Schedule'!$AA$2:$AA$6271,'Cable Schedule'!$K$2:$K$6271,A42)</f>
        <v/>
      </c>
      <c r="G42" s="17">
        <f>SUMIFS('Cable Schedule'!$W$2:$W$6271,'Cable Schedule'!$K$2:$K$6271,A42)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Schedule'!$AA$2:$AA$6271,'Cable Schedule'!$K$2:$K$6271,A43)</f>
        <v/>
      </c>
      <c r="G43" s="17">
        <f>SUMIFS('Cable Schedule'!$W$2:$W$6271,'Cable Schedule'!$K$2:$K$6271,A43)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Schedule'!$AA$2:$AA$6271,'Cable Schedule'!$K$2:$K$6271,A44)</f>
        <v/>
      </c>
      <c r="G44" s="17">
        <f>SUMIFS('Cable Schedule'!$W$2:$W$6271,'Cable Schedule'!$K$2:$K$6271,A44)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Schedule'!$AA$2:$AA$6271,'Cable Schedule'!$K$2:$K$6271,A45)</f>
        <v/>
      </c>
      <c r="G45" s="17">
        <f>SUMIFS('Cable Schedule'!$W$2:$W$6271,'Cable Schedule'!$K$2:$K$6271,A45)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Schedule'!$AA$2:$AA$6271,'Cable Schedule'!$K$2:$K$6271,A46)</f>
        <v/>
      </c>
      <c r="G46" s="17">
        <f>SUMIFS('Cable Schedule'!$W$2:$W$6271,'Cable Schedule'!$K$2:$K$6271,A46)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Schedule'!$AA$2:$AA$6271,'Cable Schedule'!$K$2:$K$6271,A47)</f>
        <v/>
      </c>
      <c r="G47" s="17">
        <f>SUMIFS('Cable Schedule'!$W$2:$W$6271,'Cable Schedule'!$K$2:$K$6271,A47)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Schedule'!$AA$2:$AA$6271,'Cable Schedule'!$K$2:$K$6271,A48)</f>
        <v/>
      </c>
      <c r="G48" s="17">
        <f>SUMIFS('Cable Schedule'!$W$2:$W$6271,'Cable Schedule'!$K$2:$K$6271,A48)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Schedule'!$AA$2:$AA$6271,'Cable Schedule'!$K$2:$K$6271,A49)</f>
        <v/>
      </c>
      <c r="G49" s="17">
        <f>SUMIFS('Cable Schedule'!$W$2:$W$6271,'Cable Schedule'!$K$2:$K$6271,A49)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Schedule'!$AA$2:$AA$6271,'Cable Schedule'!$K$2:$K$6271,A50)</f>
        <v/>
      </c>
      <c r="G50" s="17">
        <f>SUMIFS('Cable Schedule'!$W$2:$W$6271,'Cable Schedule'!$K$2:$K$6271,A50)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Schedule'!$AA$2:$AA$6271,'Cable Schedule'!$K$2:$K$6271,A51)</f>
        <v/>
      </c>
      <c r="G51" s="17">
        <f>SUMIFS('Cable Schedule'!$W$2:$W$6271,'Cable Schedule'!$K$2:$K$6271,A51)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Schedule'!$AA$2:$AA$6271,'Cable Schedule'!$K$2:$K$6271,A52)</f>
        <v/>
      </c>
      <c r="G52" s="17">
        <f>SUMIFS('Cable Schedule'!$W$2:$W$6271,'Cable Schedule'!$K$2:$K$6271,A52)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Schedule'!$AA$2:$AA$6271,'Cable Schedule'!$K$2:$K$6271,A53)</f>
        <v/>
      </c>
      <c r="G53" s="17">
        <f>SUMIFS('Cable Schedule'!$W$2:$W$6271,'Cable Schedule'!$K$2:$K$6271,A53)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Schedule'!$AA$2:$AA$6271,'Cable Schedule'!$K$2:$K$6271,A54)</f>
        <v/>
      </c>
      <c r="G54" s="17">
        <f>SUMIFS('Cable Schedule'!$W$2:$W$6271,'Cable Schedule'!$K$2:$K$6271,A54)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Schedule'!$AA$2:$AA$6271,'Cable Schedule'!$K$2:$K$6271,A55)</f>
        <v/>
      </c>
      <c r="G55" s="17">
        <f>SUMIFS('Cable Schedule'!$W$2:$W$6271,'Cable Schedule'!$K$2:$K$6271,A55)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Schedule'!$AA$2:$AA$6271,'Cable Schedule'!$K$2:$K$6271,A56)</f>
        <v/>
      </c>
      <c r="G56" s="17">
        <f>SUMIFS('Cable Schedule'!$W$2:$W$6271,'Cable Schedule'!$K$2:$K$6271,A56)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Schedule'!$AA$2:$AA$6271,'Cable Schedule'!$K$2:$K$6271,A57)</f>
        <v/>
      </c>
      <c r="G57" s="17">
        <f>SUMIFS('Cable Schedule'!$W$2:$W$6271,'Cable Schedule'!$K$2:$K$6271,A57)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Schedule'!$AA$2:$AA$6271,'Cable Schedule'!$K$2:$K$6271,A58)</f>
        <v/>
      </c>
      <c r="G58" s="17">
        <f>SUMIFS('Cable Schedule'!$W$2:$W$6271,'Cable Schedule'!$K$2:$K$6271,A58)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Schedule'!$AA$2:$AA$6271,'Cable Schedule'!$K$2:$K$6271,A59)</f>
        <v/>
      </c>
      <c r="G59" s="17">
        <f>SUMIFS('Cable Schedule'!$W$2:$W$6271,'Cable Schedule'!$K$2:$K$6271,A59)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Schedule'!$AA$2:$AA$6271,'Cable Schedule'!$K$2:$K$6271,A60)</f>
        <v/>
      </c>
      <c r="G60" s="17">
        <f>SUMIFS('Cable Schedule'!$W$2:$W$6271,'Cable Schedule'!$K$2:$K$6271,A60)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Schedule'!$AA$2:$AA$6271,'Cable Schedule'!$K$2:$K$6271,A61)</f>
        <v/>
      </c>
      <c r="G61" s="17">
        <f>SUMIFS('Cable Schedule'!$W$2:$W$6271,'Cable Schedule'!$K$2:$K$6271,A61)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Schedule'!$AA$2:$AA$6271,'Cable Schedule'!$K$2:$K$6271,A62)</f>
        <v/>
      </c>
      <c r="G62" s="17">
        <f>SUMIFS('Cable Schedule'!$W$2:$W$6271,'Cable Schedule'!$K$2:$K$6271,A62)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Schedule'!$AA$2:$AA$6271,'Cable Schedule'!$K$2:$K$6271,A63)</f>
        <v/>
      </c>
      <c r="G63" s="17">
        <f>SUMIFS('Cable Schedule'!$W$2:$W$6271,'Cable Schedule'!$K$2:$K$6271,A63)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Schedule'!$AA$2:$AA$6271,'Cable Schedule'!$K$2:$K$6271,A64)</f>
        <v/>
      </c>
      <c r="G64" s="17">
        <f>SUMIFS('Cable Schedule'!$W$2:$W$6271,'Cable Schedule'!$K$2:$K$6271,A64)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Schedule'!$AA$2:$AA$6271,'Cable Schedule'!$K$2:$K$6271,A65)</f>
        <v/>
      </c>
      <c r="G65" s="17">
        <f>SUMIFS('Cable Schedule'!$W$2:$W$6271,'Cable Schedule'!$K$2:$K$6271,A65)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Schedule'!$AA$2:$AA$6271,'Cable Schedule'!$K$2:$K$6271,A66)</f>
        <v/>
      </c>
      <c r="G66" s="17">
        <f>SUMIFS('Cable Schedule'!$W$2:$W$6271,'Cable Schedule'!$K$2:$K$6271,A66)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Schedule'!$AA$2:$AA$6271,'Cable Schedule'!$K$2:$K$6271,A67)</f>
        <v/>
      </c>
      <c r="G67" s="17">
        <f>SUMIFS('Cable Schedule'!$W$2:$W$6271,'Cable Schedule'!$K$2:$K$6271,A67)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Schedule'!$AA$2:$AA$6271,'Cable Schedule'!$K$2:$K$6271,A68)</f>
        <v/>
      </c>
      <c r="G68" s="17">
        <f>SUMIFS('Cable Schedule'!$W$2:$W$6271,'Cable Schedule'!$K$2:$K$6271,A68)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Schedule'!$AA$2:$AA$6271,'Cable Schedule'!$K$2:$K$6271,A69)</f>
        <v/>
      </c>
      <c r="G69" s="17">
        <f>SUMIFS('Cable Schedule'!$W$2:$W$6271,'Cable Schedule'!$K$2:$K$6271,A69)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Schedule'!$AA$2:$AA$6271,'Cable Schedule'!$K$2:$K$6271,A70)</f>
        <v/>
      </c>
      <c r="G70" s="17">
        <f>SUMIFS('Cable Schedule'!$W$2:$W$6271,'Cable Schedule'!$K$2:$K$6271,A70)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Schedule'!$AA$2:$AA$6271,'Cable Schedule'!$K$2:$K$6271,A71)</f>
        <v/>
      </c>
      <c r="G71" s="17">
        <f>SUMIFS('Cable Schedule'!$W$2:$W$6271,'Cable Schedule'!$K$2:$K$6271,A71)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Schedule'!$AA$2:$AA$6271,'Cable Schedule'!$K$2:$K$6271,A72)</f>
        <v/>
      </c>
      <c r="G72" s="17">
        <f>SUMIFS('Cable Schedule'!$W$2:$W$6271,'Cable Schedule'!$K$2:$K$6271,A72)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Schedule'!$AA$2:$AA$6271,'Cable Schedule'!$K$2:$K$6271,A73)</f>
        <v/>
      </c>
      <c r="G73" s="17">
        <f>SUMIFS('Cable Schedule'!$W$2:$W$6271,'Cable Schedule'!$K$2:$K$6271,A73)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Schedule'!$AA$2:$AA$6271,'Cable Schedule'!$K$2:$K$6271,A74)</f>
        <v/>
      </c>
      <c r="G74" s="17">
        <f>SUMIFS('Cable Schedule'!$W$2:$W$6271,'Cable Schedule'!$K$2:$K$6271,A74)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Schedule'!$AA$2:$AA$6271,'Cable Schedule'!$K$2:$K$6271,A75)</f>
        <v/>
      </c>
      <c r="G75" s="17">
        <f>SUMIFS('Cable Schedule'!$W$2:$W$6271,'Cable Schedule'!$K$2:$K$6271,A75)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Schedule'!$AA$2:$AA$6271,'Cable Schedule'!$K$2:$K$6271,A76)</f>
        <v/>
      </c>
      <c r="G76" s="17">
        <f>SUMIFS('Cable Schedule'!$W$2:$W$6271,'Cable Schedule'!$K$2:$K$6271,A76)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Schedule'!$AA$2:$AA$6271,'Cable Schedule'!$K$2:$K$6271,A77)</f>
        <v/>
      </c>
      <c r="G77" s="17">
        <f>SUMIFS('Cable Schedule'!$W$2:$W$6271,'Cable Schedule'!$K$2:$K$6271,A77)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Schedule'!$AA$2:$AA$6271,'Cable Schedule'!$K$2:$K$6271,A78)</f>
        <v/>
      </c>
      <c r="G78" s="17">
        <f>SUMIFS('Cable Schedule'!$W$2:$W$6271,'Cable Schedule'!$K$2:$K$6271,A78)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Schedule'!$AA$2:$AA$6271,'Cable Schedule'!$K$2:$K$6271,A79)</f>
        <v/>
      </c>
      <c r="G79" s="17">
        <f>SUMIFS('Cable Schedule'!$W$2:$W$6271,'Cable Schedule'!$K$2:$K$6271,A79)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Schedule'!$AA$2:$AA$6271,'Cable Schedule'!$K$2:$K$6271,A80)</f>
        <v/>
      </c>
      <c r="G80" s="17">
        <f>SUMIFS('Cable Schedule'!$W$2:$W$6271,'Cable Schedule'!$K$2:$K$6271,A80)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Schedule'!$AA$2:$AA$6271,'Cable Schedule'!$K$2:$K$6271,A81)</f>
        <v/>
      </c>
      <c r="G81" s="17">
        <f>SUMIFS('Cable Schedule'!$W$2:$W$6271,'Cable Schedule'!$K$2:$K$6271,A81)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Schedule'!$AA$2:$AA$6271,'Cable Schedule'!$K$2:$K$6271,A82)</f>
        <v/>
      </c>
      <c r="G82" s="17">
        <f>SUMIFS('Cable Schedule'!$W$2:$W$6271,'Cable Schedule'!$K$2:$K$6271,A82)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Schedule'!$AA$2:$AA$6271,'Cable Schedule'!$K$2:$K$6271,A83)</f>
        <v/>
      </c>
      <c r="G83" s="17">
        <f>SUMIFS('Cable Schedule'!$W$2:$W$6271,'Cable Schedule'!$K$2:$K$6271,A83)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Schedule'!$AA$2:$AA$6271,'Cable Schedule'!$K$2:$K$6271,A84)</f>
        <v/>
      </c>
      <c r="G84" s="17">
        <f>SUMIFS('Cable Schedule'!$W$2:$W$6271,'Cable Schedule'!$K$2:$K$6271,A84)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Schedule'!$AA$2:$AA$6271,'Cable Schedule'!$K$2:$K$6271,A85)</f>
        <v/>
      </c>
      <c r="G85" s="17">
        <f>SUMIFS('Cable Schedule'!$W$2:$W$6271,'Cable Schedule'!$K$2:$K$6271,A85)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Schedule'!$AA$2:$AA$6271,'Cable Schedule'!$K$2:$K$6271,A86)</f>
        <v/>
      </c>
      <c r="G86" s="17">
        <f>SUMIFS('Cable Schedule'!$W$2:$W$6271,'Cable Schedule'!$K$2:$K$6271,A86)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Schedule'!$AA$2:$AA$6271,'Cable Schedule'!$K$2:$K$6271,A87)</f>
        <v/>
      </c>
      <c r="G87" s="17">
        <f>SUMIFS('Cable Schedule'!$W$2:$W$6271,'Cable Schedule'!$K$2:$K$6271,A87)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Schedule'!$AA$2:$AA$6271,'Cable Schedule'!$K$2:$K$6271,A88)</f>
        <v/>
      </c>
      <c r="G88" s="17">
        <f>SUMIFS('Cable Schedule'!$W$2:$W$6271,'Cable Schedule'!$K$2:$K$6271,A88)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Schedule'!$AA$2:$AA$6271,'Cable Schedule'!$K$2:$K$6271,A89)</f>
        <v/>
      </c>
      <c r="G89" s="17">
        <f>SUMIFS('Cable Schedule'!$W$2:$W$6271,'Cable Schedule'!$K$2:$K$6271,A89)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Schedule'!$AA$2:$AA$6271,'Cable Schedule'!$K$2:$K$6271,A90)</f>
        <v/>
      </c>
      <c r="G90" s="17">
        <f>SUMIFS('Cable Schedule'!$W$2:$W$6271,'Cable Schedule'!$K$2:$K$6271,A90)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Schedule'!$AA$2:$AA$6271,'Cable Schedule'!$K$2:$K$6271,A91)</f>
        <v/>
      </c>
      <c r="G91" s="17">
        <f>SUMIFS('Cable Schedule'!$W$2:$W$6271,'Cable Schedule'!$K$2:$K$6271,A91)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Schedule'!$AA$2:$AA$6271,'Cable Schedule'!$K$2:$K$6271,A92)</f>
        <v/>
      </c>
      <c r="G92" s="17">
        <f>SUMIFS('Cable Schedule'!$W$2:$W$6271,'Cable Schedule'!$K$2:$K$6271,A92)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Schedule'!$AA$2:$AA$6271,'Cable Schedule'!$K$2:$K$6271,A93)</f>
        <v/>
      </c>
      <c r="G93" s="17">
        <f>SUMIFS('Cable Schedule'!$W$2:$W$6271,'Cable Schedule'!$K$2:$K$6271,A93)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Schedule'!$AA$2:$AA$6271,'Cable Schedule'!$K$2:$K$6271,A94)</f>
        <v/>
      </c>
      <c r="G94" s="17">
        <f>SUMIFS('Cable Schedule'!$W$2:$W$6271,'Cable Schedule'!$K$2:$K$6271,A94)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Schedule'!$AA$2:$AA$6271,'Cable Schedule'!$K$2:$K$6271,A95)</f>
        <v/>
      </c>
      <c r="G95" s="17">
        <f>SUMIFS('Cable Schedule'!$W$2:$W$6271,'Cable Schedule'!$K$2:$K$6271,A95)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Schedule'!$AA$2:$AA$6271,'Cable Schedule'!$K$2:$K$6271,A96)</f>
        <v/>
      </c>
      <c r="G96" s="17">
        <f>SUMIFS('Cable Schedule'!$W$2:$W$6271,'Cable Schedule'!$K$2:$K$6271,A96)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Schedule'!$AA$2:$AA$6271,'Cable Schedule'!$K$2:$K$6271,A97)</f>
        <v/>
      </c>
      <c r="G97" s="17">
        <f>SUMIFS('Cable Schedule'!$W$2:$W$6271,'Cable Schedule'!$K$2:$K$6271,A97)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Schedule'!$AA$2:$AA$6271,'Cable Schedule'!$K$2:$K$6271,A98)</f>
        <v/>
      </c>
      <c r="G98" s="17">
        <f>SUMIFS('Cable Schedule'!$W$2:$W$6271,'Cable Schedule'!$K$2:$K$6271,A98)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Schedule'!$AA$2:$AA$6271,'Cable Schedule'!$K$2:$K$6271,A99)</f>
        <v/>
      </c>
      <c r="G99" s="17">
        <f>SUMIFS('Cable Schedule'!$W$2:$W$6271,'Cable Schedule'!$K$2:$K$6271,A99)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Schedule'!$AA$2:$AA$6271,'Cable Schedule'!$K$2:$K$6271,A100)</f>
        <v/>
      </c>
      <c r="G100" s="17">
        <f>SUMIFS('Cable Schedule'!$W$2:$W$6271,'Cable Schedule'!$K$2:$K$6271,A100)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Schedule'!X2:X6271)</f>
        <v/>
      </c>
    </row>
    <row r="3">
      <c r="A3" s="12" t="inlineStr">
        <is>
          <t>ARMOR-X / Type W connectors and glands</t>
        </is>
      </c>
      <c r="B3" s="17">
        <f>SUM('Cable Schedule'!Y2:Y6271)</f>
        <v/>
      </c>
    </row>
    <row r="4">
      <c r="A4" s="12" t="inlineStr">
        <is>
          <t>MV splice kits (allowance: 1 per 2,500 ft of MV 1/C)</t>
        </is>
      </c>
      <c r="B4" s="17">
        <f>ROUNDUP(SUMIFS('Cable Schedule'!W2:W6271,'Cable Schedule'!I2:I6271,"MV*",'Cable Schedule'!L2:L6271,"1/C")/2500,0)</f>
        <v/>
      </c>
    </row>
    <row r="5">
      <c r="A5" s="12" t="inlineStr">
        <is>
          <t>230 kV outdoor terminations</t>
        </is>
      </c>
      <c r="B5" s="17">
        <f>2*SUMIFS('Cable Schedule'!O2:O6271,'Cable Schedule'!I2:I6271,"HV 230 kV")</f>
        <v/>
      </c>
    </row>
    <row r="6">
      <c r="A6" s="12" t="inlineStr">
        <is>
          <t>600 V compression lugs (power, 4 per end)</t>
        </is>
      </c>
      <c r="B6" s="17">
        <f>2*4*SUMIFS('Cable Schedule'!N2:N6271,'Cable Schedule'!I2:I6271,"LV 600 V")</f>
        <v/>
      </c>
    </row>
    <row r="7">
      <c r="A7" s="12" t="inlineStr">
        <is>
          <t>Instrument / control cable glands (2 per run)</t>
        </is>
      </c>
      <c r="B7" s="17">
        <f>2*(COUNTIF('Cable Schedule'!I2:I6271,"Control")+COUNTIF('Cable Schedule'!I2:I6271,"Instrumentation"))</f>
        <v/>
      </c>
    </row>
    <row r="8">
      <c r="A8" s="12" t="inlineStr">
        <is>
          <t>Fibre patch / termination (2 per link)</t>
        </is>
      </c>
      <c r="B8" s="17">
        <f>2*COUNTIF('Cable Schedule'!I2:I6271,"Fibre / data")</f>
        <v/>
      </c>
    </row>
    <row r="9">
      <c r="A9" s="12" t="inlineStr">
        <is>
          <t>Ground connections: exothermic welds (allowance 1 per 25 ft of grid)</t>
        </is>
      </c>
      <c r="B9" s="17">
        <f>ROUNDUP(SUMIFS('Cable Schedule'!W2:W6271,'Cable Schedule'!I2:I6271,"Grounding")/25,0)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Schedule'!$W$2:$W$6271,'Cable Schedule'!$B$2:$B$6271,"A",'Cable Schedule'!$I$2:$I$6271,"MV 15 kV")</f>
        <v/>
      </c>
      <c r="C3" s="17">
        <f>SUMIFS('Cable Schedule'!$W$2:$W$6271,'Cable Schedule'!$B$2:$B$6271,"A",'Cable Schedule'!$I$2:$I$6271,"MV 5 kV")</f>
        <v/>
      </c>
      <c r="D3" s="17">
        <f>SUMIFS('Cable Schedule'!$W$2:$W$6271,'Cable Schedule'!$B$2:$B$6271,"A",'Cable Schedule'!$I$2:$I$6271,"MV 25 kV")</f>
        <v/>
      </c>
      <c r="E3" s="17">
        <f>SUMIFS('Cable Schedule'!$W$2:$W$6271,'Cable Schedule'!$B$2:$B$6271,"A",'Cable Schedule'!$I$2:$I$6271,"MV 35 kV")</f>
        <v/>
      </c>
      <c r="F3" s="17">
        <f>SUMIFS('Cable Schedule'!$W$2:$W$6271,'Cable Schedule'!$B$2:$B$6271,"A",'Cable Schedule'!$I$2:$I$6271,"HV 230 kV")</f>
        <v/>
      </c>
      <c r="G3" s="17">
        <f>SUMIFS('Cable Schedule'!$W$2:$W$6271,'Cable Schedule'!$B$2:$B$6271,"A",'Cable Schedule'!$I$2:$I$6271,"LV 600 V")</f>
        <v/>
      </c>
      <c r="H3" s="17">
        <f>SUMIFS('Cable Schedule'!$W$2:$W$6271,'Cable Schedule'!$B$2:$B$6271,"A",'Cable Schedule'!$I$2:$I$6271,"Control")</f>
        <v/>
      </c>
      <c r="I3" s="17">
        <f>SUMIFS('Cable Schedule'!$W$2:$W$6271,'Cable Schedule'!$B$2:$B$6271,"A",'Cable Schedule'!$I$2:$I$6271,"Instrumentation")</f>
        <v/>
      </c>
      <c r="J3" s="17">
        <f>SUMIFS('Cable Schedule'!$W$2:$W$6271,'Cable Schedule'!$B$2:$B$6271,"A",'Cable Schedule'!$I$2:$I$6271,"Fire alarm")</f>
        <v/>
      </c>
      <c r="K3" s="17">
        <f>SUMIFS('Cable Schedule'!$W$2:$W$6271,'Cable Schedule'!$B$2:$B$6271,"A",'Cable Schedule'!$I$2:$I$6271,"Fibre / data")</f>
        <v/>
      </c>
      <c r="L3" s="17">
        <f>SUMIFS('Cable Schedule'!$W$2:$W$6271,'Cable Schedule'!$B$2:$B$6271,"A",'Cable Schedule'!$I$2:$I$6271,"DC 2 kV")</f>
        <v/>
      </c>
      <c r="M3" s="17">
        <f>SUMIFS('Cable Schedule'!$W$2:$W$6271,'Cable Schedule'!$B$2:$B$6271,"A",'Cable Schedule'!$I$2:$I$6271,"Portable MV")</f>
        <v/>
      </c>
      <c r="N3" s="17">
        <f>SUMIFS('Cable Schedule'!$W$2:$W$6271,'Cable Schedule'!$B$2:$B$6271,"A",'Cable Schedule'!$I$2:$I$6271,"Portable LV")</f>
        <v/>
      </c>
      <c r="O3" s="17">
        <f>SUMIFS('Cable Schedule'!$W$2:$W$6271,'Cable Schedule'!$B$2:$B$6271,"A",'Cable Schedule'!$I$2:$I$6271,"Building wire")</f>
        <v/>
      </c>
      <c r="P3" s="17">
        <f>SUMIFS('Cable Schedule'!$W$2:$W$6271,'Cable Schedule'!$B$2:$B$6271,"A",'Cable Schedule'!$I$2:$I$6271,"Grounding")</f>
        <v/>
      </c>
      <c r="Q3" s="17">
        <f>SUMIFS('Cable Schedule'!$W$2:$W$6271,'Cable Schedule'!$B$2:$B$6271,"A",'Cable Schedule'!$I$2:$I$6271,"Overhead")</f>
        <v/>
      </c>
      <c r="R3" s="27">
        <f>SUM(B3:Q3)</f>
        <v/>
      </c>
    </row>
    <row r="4">
      <c r="A4" s="12" t="inlineStr">
        <is>
          <t>B  ACC</t>
        </is>
      </c>
      <c r="B4" s="17">
        <f>SUMIFS('Cable Schedule'!$W$2:$W$6271,'Cable Schedule'!$B$2:$B$6271,"B",'Cable Schedule'!$I$2:$I$6271,"MV 15 kV")</f>
        <v/>
      </c>
      <c r="C4" s="17">
        <f>SUMIFS('Cable Schedule'!$W$2:$W$6271,'Cable Schedule'!$B$2:$B$6271,"B",'Cable Schedule'!$I$2:$I$6271,"MV 5 kV")</f>
        <v/>
      </c>
      <c r="D4" s="17">
        <f>SUMIFS('Cable Schedule'!$W$2:$W$6271,'Cable Schedule'!$B$2:$B$6271,"B",'Cable Schedule'!$I$2:$I$6271,"MV 25 kV")</f>
        <v/>
      </c>
      <c r="E4" s="17">
        <f>SUMIFS('Cable Schedule'!$W$2:$W$6271,'Cable Schedule'!$B$2:$B$6271,"B",'Cable Schedule'!$I$2:$I$6271,"MV 35 kV")</f>
        <v/>
      </c>
      <c r="F4" s="17">
        <f>SUMIFS('Cable Schedule'!$W$2:$W$6271,'Cable Schedule'!$B$2:$B$6271,"B",'Cable Schedule'!$I$2:$I$6271,"HV 230 kV")</f>
        <v/>
      </c>
      <c r="G4" s="17">
        <f>SUMIFS('Cable Schedule'!$W$2:$W$6271,'Cable Schedule'!$B$2:$B$6271,"B",'Cable Schedule'!$I$2:$I$6271,"LV 600 V")</f>
        <v/>
      </c>
      <c r="H4" s="17">
        <f>SUMIFS('Cable Schedule'!$W$2:$W$6271,'Cable Schedule'!$B$2:$B$6271,"B",'Cable Schedule'!$I$2:$I$6271,"Control")</f>
        <v/>
      </c>
      <c r="I4" s="17">
        <f>SUMIFS('Cable Schedule'!$W$2:$W$6271,'Cable Schedule'!$B$2:$B$6271,"B",'Cable Schedule'!$I$2:$I$6271,"Instrumentation")</f>
        <v/>
      </c>
      <c r="J4" s="17">
        <f>SUMIFS('Cable Schedule'!$W$2:$W$6271,'Cable Schedule'!$B$2:$B$6271,"B",'Cable Schedule'!$I$2:$I$6271,"Fire alarm")</f>
        <v/>
      </c>
      <c r="K4" s="17">
        <f>SUMIFS('Cable Schedule'!$W$2:$W$6271,'Cable Schedule'!$B$2:$B$6271,"B",'Cable Schedule'!$I$2:$I$6271,"Fibre / data")</f>
        <v/>
      </c>
      <c r="L4" s="17">
        <f>SUMIFS('Cable Schedule'!$W$2:$W$6271,'Cable Schedule'!$B$2:$B$6271,"B",'Cable Schedule'!$I$2:$I$6271,"DC 2 kV")</f>
        <v/>
      </c>
      <c r="M4" s="17">
        <f>SUMIFS('Cable Schedule'!$W$2:$W$6271,'Cable Schedule'!$B$2:$B$6271,"B",'Cable Schedule'!$I$2:$I$6271,"Portable MV")</f>
        <v/>
      </c>
      <c r="N4" s="17">
        <f>SUMIFS('Cable Schedule'!$W$2:$W$6271,'Cable Schedule'!$B$2:$B$6271,"B",'Cable Schedule'!$I$2:$I$6271,"Portable LV")</f>
        <v/>
      </c>
      <c r="O4" s="17">
        <f>SUMIFS('Cable Schedule'!$W$2:$W$6271,'Cable Schedule'!$B$2:$B$6271,"B",'Cable Schedule'!$I$2:$I$6271,"Building wire")</f>
        <v/>
      </c>
      <c r="P4" s="17">
        <f>SUMIFS('Cable Schedule'!$W$2:$W$6271,'Cable Schedule'!$B$2:$B$6271,"B",'Cable Schedule'!$I$2:$I$6271,"Grounding")</f>
        <v/>
      </c>
      <c r="Q4" s="17">
        <f>SUMIFS('Cable Schedule'!$W$2:$W$6271,'Cable Schedule'!$B$2:$B$6271,"B",'Cable Schedule'!$I$2:$I$6271,"Overhead")</f>
        <v/>
      </c>
      <c r="R4" s="27">
        <f>SUM(B4:Q4)</f>
        <v/>
      </c>
    </row>
    <row r="5">
      <c r="A5" s="12" t="inlineStr">
        <is>
          <t>C  Grid interface</t>
        </is>
      </c>
      <c r="B5" s="17">
        <f>SUMIFS('Cable Schedule'!$W$2:$W$6271,'Cable Schedule'!$B$2:$B$6271,"C",'Cable Schedule'!$I$2:$I$6271,"MV 15 kV")</f>
        <v/>
      </c>
      <c r="C5" s="17">
        <f>SUMIFS('Cable Schedule'!$W$2:$W$6271,'Cable Schedule'!$B$2:$B$6271,"C",'Cable Schedule'!$I$2:$I$6271,"MV 5 kV")</f>
        <v/>
      </c>
      <c r="D5" s="17">
        <f>SUMIFS('Cable Schedule'!$W$2:$W$6271,'Cable Schedule'!$B$2:$B$6271,"C",'Cable Schedule'!$I$2:$I$6271,"MV 25 kV")</f>
        <v/>
      </c>
      <c r="E5" s="17">
        <f>SUMIFS('Cable Schedule'!$W$2:$W$6271,'Cable Schedule'!$B$2:$B$6271,"C",'Cable Schedule'!$I$2:$I$6271,"MV 35 kV")</f>
        <v/>
      </c>
      <c r="F5" s="17">
        <f>SUMIFS('Cable Schedule'!$W$2:$W$6271,'Cable Schedule'!$B$2:$B$6271,"C",'Cable Schedule'!$I$2:$I$6271,"HV 230 kV")</f>
        <v/>
      </c>
      <c r="G5" s="17">
        <f>SUMIFS('Cable Schedule'!$W$2:$W$6271,'Cable Schedule'!$B$2:$B$6271,"C",'Cable Schedule'!$I$2:$I$6271,"LV 600 V")</f>
        <v/>
      </c>
      <c r="H5" s="17">
        <f>SUMIFS('Cable Schedule'!$W$2:$W$6271,'Cable Schedule'!$B$2:$B$6271,"C",'Cable Schedule'!$I$2:$I$6271,"Control")</f>
        <v/>
      </c>
      <c r="I5" s="17">
        <f>SUMIFS('Cable Schedule'!$W$2:$W$6271,'Cable Schedule'!$B$2:$B$6271,"C",'Cable Schedule'!$I$2:$I$6271,"Instrumentation")</f>
        <v/>
      </c>
      <c r="J5" s="17">
        <f>SUMIFS('Cable Schedule'!$W$2:$W$6271,'Cable Schedule'!$B$2:$B$6271,"C",'Cable Schedule'!$I$2:$I$6271,"Fire alarm")</f>
        <v/>
      </c>
      <c r="K5" s="17">
        <f>SUMIFS('Cable Schedule'!$W$2:$W$6271,'Cable Schedule'!$B$2:$B$6271,"C",'Cable Schedule'!$I$2:$I$6271,"Fibre / data")</f>
        <v/>
      </c>
      <c r="L5" s="17">
        <f>SUMIFS('Cable Schedule'!$W$2:$W$6271,'Cable Schedule'!$B$2:$B$6271,"C",'Cable Schedule'!$I$2:$I$6271,"DC 2 kV")</f>
        <v/>
      </c>
      <c r="M5" s="17">
        <f>SUMIFS('Cable Schedule'!$W$2:$W$6271,'Cable Schedule'!$B$2:$B$6271,"C",'Cable Schedule'!$I$2:$I$6271,"Portable MV")</f>
        <v/>
      </c>
      <c r="N5" s="17">
        <f>SUMIFS('Cable Schedule'!$W$2:$W$6271,'Cable Schedule'!$B$2:$B$6271,"C",'Cable Schedule'!$I$2:$I$6271,"Portable LV")</f>
        <v/>
      </c>
      <c r="O5" s="17">
        <f>SUMIFS('Cable Schedule'!$W$2:$W$6271,'Cable Schedule'!$B$2:$B$6271,"C",'Cable Schedule'!$I$2:$I$6271,"Building wire")</f>
        <v/>
      </c>
      <c r="P5" s="17">
        <f>SUMIFS('Cable Schedule'!$W$2:$W$6271,'Cable Schedule'!$B$2:$B$6271,"C",'Cable Schedule'!$I$2:$I$6271,"Grounding")</f>
        <v/>
      </c>
      <c r="Q5" s="17">
        <f>SUMIFS('Cable Schedule'!$W$2:$W$6271,'Cable Schedule'!$B$2:$B$6271,"C",'Cable Schedule'!$I$2:$I$6271,"Overhead")</f>
        <v/>
      </c>
      <c r="R5" s="27">
        <f>SUM(B5:Q5)</f>
        <v/>
      </c>
    </row>
    <row r="6">
      <c r="A6" s="12" t="inlineStr">
        <is>
          <t>D  Fuel gas</t>
        </is>
      </c>
      <c r="B6" s="17">
        <f>SUMIFS('Cable Schedule'!$W$2:$W$6271,'Cable Schedule'!$B$2:$B$6271,"D",'Cable Schedule'!$I$2:$I$6271,"MV 15 kV")</f>
        <v/>
      </c>
      <c r="C6" s="17">
        <f>SUMIFS('Cable Schedule'!$W$2:$W$6271,'Cable Schedule'!$B$2:$B$6271,"D",'Cable Schedule'!$I$2:$I$6271,"MV 5 kV")</f>
        <v/>
      </c>
      <c r="D6" s="17">
        <f>SUMIFS('Cable Schedule'!$W$2:$W$6271,'Cable Schedule'!$B$2:$B$6271,"D",'Cable Schedule'!$I$2:$I$6271,"MV 25 kV")</f>
        <v/>
      </c>
      <c r="E6" s="17">
        <f>SUMIFS('Cable Schedule'!$W$2:$W$6271,'Cable Schedule'!$B$2:$B$6271,"D",'Cable Schedule'!$I$2:$I$6271,"MV 35 kV")</f>
        <v/>
      </c>
      <c r="F6" s="17">
        <f>SUMIFS('Cable Schedule'!$W$2:$W$6271,'Cable Schedule'!$B$2:$B$6271,"D",'Cable Schedule'!$I$2:$I$6271,"HV 230 kV")</f>
        <v/>
      </c>
      <c r="G6" s="17">
        <f>SUMIFS('Cable Schedule'!$W$2:$W$6271,'Cable Schedule'!$B$2:$B$6271,"D",'Cable Schedule'!$I$2:$I$6271,"LV 600 V")</f>
        <v/>
      </c>
      <c r="H6" s="17">
        <f>SUMIFS('Cable Schedule'!$W$2:$W$6271,'Cable Schedule'!$B$2:$B$6271,"D",'Cable Schedule'!$I$2:$I$6271,"Control")</f>
        <v/>
      </c>
      <c r="I6" s="17">
        <f>SUMIFS('Cable Schedule'!$W$2:$W$6271,'Cable Schedule'!$B$2:$B$6271,"D",'Cable Schedule'!$I$2:$I$6271,"Instrumentation")</f>
        <v/>
      </c>
      <c r="J6" s="17">
        <f>SUMIFS('Cable Schedule'!$W$2:$W$6271,'Cable Schedule'!$B$2:$B$6271,"D",'Cable Schedule'!$I$2:$I$6271,"Fire alarm")</f>
        <v/>
      </c>
      <c r="K6" s="17">
        <f>SUMIFS('Cable Schedule'!$W$2:$W$6271,'Cable Schedule'!$B$2:$B$6271,"D",'Cable Schedule'!$I$2:$I$6271,"Fibre / data")</f>
        <v/>
      </c>
      <c r="L6" s="17">
        <f>SUMIFS('Cable Schedule'!$W$2:$W$6271,'Cable Schedule'!$B$2:$B$6271,"D",'Cable Schedule'!$I$2:$I$6271,"DC 2 kV")</f>
        <v/>
      </c>
      <c r="M6" s="17">
        <f>SUMIFS('Cable Schedule'!$W$2:$W$6271,'Cable Schedule'!$B$2:$B$6271,"D",'Cable Schedule'!$I$2:$I$6271,"Portable MV")</f>
        <v/>
      </c>
      <c r="N6" s="17">
        <f>SUMIFS('Cable Schedule'!$W$2:$W$6271,'Cable Schedule'!$B$2:$B$6271,"D",'Cable Schedule'!$I$2:$I$6271,"Portable LV")</f>
        <v/>
      </c>
      <c r="O6" s="17">
        <f>SUMIFS('Cable Schedule'!$W$2:$W$6271,'Cable Schedule'!$B$2:$B$6271,"D",'Cable Schedule'!$I$2:$I$6271,"Building wire")</f>
        <v/>
      </c>
      <c r="P6" s="17">
        <f>SUMIFS('Cable Schedule'!$W$2:$W$6271,'Cable Schedule'!$B$2:$B$6271,"D",'Cable Schedule'!$I$2:$I$6271,"Grounding")</f>
        <v/>
      </c>
      <c r="Q6" s="17">
        <f>SUMIFS('Cable Schedule'!$W$2:$W$6271,'Cable Schedule'!$B$2:$B$6271,"D",'Cable Schedule'!$I$2:$I$6271,"Overhead")</f>
        <v/>
      </c>
      <c r="R6" s="27">
        <f>SUM(B6:Q6)</f>
        <v/>
      </c>
    </row>
    <row r="7">
      <c r="A7" s="12" t="inlineStr">
        <is>
          <t>E  Water / utilities</t>
        </is>
      </c>
      <c r="B7" s="17">
        <f>SUMIFS('Cable Schedule'!$W$2:$W$6271,'Cable Schedule'!$B$2:$B$6271,"E",'Cable Schedule'!$I$2:$I$6271,"MV 15 kV")</f>
        <v/>
      </c>
      <c r="C7" s="17">
        <f>SUMIFS('Cable Schedule'!$W$2:$W$6271,'Cable Schedule'!$B$2:$B$6271,"E",'Cable Schedule'!$I$2:$I$6271,"MV 5 kV")</f>
        <v/>
      </c>
      <c r="D7" s="17">
        <f>SUMIFS('Cable Schedule'!$W$2:$W$6271,'Cable Schedule'!$B$2:$B$6271,"E",'Cable Schedule'!$I$2:$I$6271,"MV 25 kV")</f>
        <v/>
      </c>
      <c r="E7" s="17">
        <f>SUMIFS('Cable Schedule'!$W$2:$W$6271,'Cable Schedule'!$B$2:$B$6271,"E",'Cable Schedule'!$I$2:$I$6271,"MV 35 kV")</f>
        <v/>
      </c>
      <c r="F7" s="17">
        <f>SUMIFS('Cable Schedule'!$W$2:$W$6271,'Cable Schedule'!$B$2:$B$6271,"E",'Cable Schedule'!$I$2:$I$6271,"HV 230 kV")</f>
        <v/>
      </c>
      <c r="G7" s="17">
        <f>SUMIFS('Cable Schedule'!$W$2:$W$6271,'Cable Schedule'!$B$2:$B$6271,"E",'Cable Schedule'!$I$2:$I$6271,"LV 600 V")</f>
        <v/>
      </c>
      <c r="H7" s="17">
        <f>SUMIFS('Cable Schedule'!$W$2:$W$6271,'Cable Schedule'!$B$2:$B$6271,"E",'Cable Schedule'!$I$2:$I$6271,"Control")</f>
        <v/>
      </c>
      <c r="I7" s="17">
        <f>SUMIFS('Cable Schedule'!$W$2:$W$6271,'Cable Schedule'!$B$2:$B$6271,"E",'Cable Schedule'!$I$2:$I$6271,"Instrumentation")</f>
        <v/>
      </c>
      <c r="J7" s="17">
        <f>SUMIFS('Cable Schedule'!$W$2:$W$6271,'Cable Schedule'!$B$2:$B$6271,"E",'Cable Schedule'!$I$2:$I$6271,"Fire alarm")</f>
        <v/>
      </c>
      <c r="K7" s="17">
        <f>SUMIFS('Cable Schedule'!$W$2:$W$6271,'Cable Schedule'!$B$2:$B$6271,"E",'Cable Schedule'!$I$2:$I$6271,"Fibre / data")</f>
        <v/>
      </c>
      <c r="L7" s="17">
        <f>SUMIFS('Cable Schedule'!$W$2:$W$6271,'Cable Schedule'!$B$2:$B$6271,"E",'Cable Schedule'!$I$2:$I$6271,"DC 2 kV")</f>
        <v/>
      </c>
      <c r="M7" s="17">
        <f>SUMIFS('Cable Schedule'!$W$2:$W$6271,'Cable Schedule'!$B$2:$B$6271,"E",'Cable Schedule'!$I$2:$I$6271,"Portable MV")</f>
        <v/>
      </c>
      <c r="N7" s="17">
        <f>SUMIFS('Cable Schedule'!$W$2:$W$6271,'Cable Schedule'!$B$2:$B$6271,"E",'Cable Schedule'!$I$2:$I$6271,"Portable LV")</f>
        <v/>
      </c>
      <c r="O7" s="17">
        <f>SUMIFS('Cable Schedule'!$W$2:$W$6271,'Cable Schedule'!$B$2:$B$6271,"E",'Cable Schedule'!$I$2:$I$6271,"Building wire")</f>
        <v/>
      </c>
      <c r="P7" s="17">
        <f>SUMIFS('Cable Schedule'!$W$2:$W$6271,'Cable Schedule'!$B$2:$B$6271,"E",'Cable Schedule'!$I$2:$I$6271,"Grounding")</f>
        <v/>
      </c>
      <c r="Q7" s="17">
        <f>SUMIFS('Cable Schedule'!$W$2:$W$6271,'Cable Schedule'!$B$2:$B$6271,"E",'Cable Schedule'!$I$2:$I$6271,"Overhead")</f>
        <v/>
      </c>
      <c r="R7" s="27">
        <f>SUM(B7:Q7)</f>
        <v/>
      </c>
    </row>
    <row r="8">
      <c r="A8" s="12" t="inlineStr">
        <is>
          <t>F  Controls / service</t>
        </is>
      </c>
      <c r="B8" s="17">
        <f>SUMIFS('Cable Schedule'!$W$2:$W$6271,'Cable Schedule'!$B$2:$B$6271,"F",'Cable Schedule'!$I$2:$I$6271,"MV 15 kV")</f>
        <v/>
      </c>
      <c r="C8" s="17">
        <f>SUMIFS('Cable Schedule'!$W$2:$W$6271,'Cable Schedule'!$B$2:$B$6271,"F",'Cable Schedule'!$I$2:$I$6271,"MV 5 kV")</f>
        <v/>
      </c>
      <c r="D8" s="17">
        <f>SUMIFS('Cable Schedule'!$W$2:$W$6271,'Cable Schedule'!$B$2:$B$6271,"F",'Cable Schedule'!$I$2:$I$6271,"MV 25 kV")</f>
        <v/>
      </c>
      <c r="E8" s="17">
        <f>SUMIFS('Cable Schedule'!$W$2:$W$6271,'Cable Schedule'!$B$2:$B$6271,"F",'Cable Schedule'!$I$2:$I$6271,"MV 35 kV")</f>
        <v/>
      </c>
      <c r="F8" s="17">
        <f>SUMIFS('Cable Schedule'!$W$2:$W$6271,'Cable Schedule'!$B$2:$B$6271,"F",'Cable Schedule'!$I$2:$I$6271,"HV 230 kV")</f>
        <v/>
      </c>
      <c r="G8" s="17">
        <f>SUMIFS('Cable Schedule'!$W$2:$W$6271,'Cable Schedule'!$B$2:$B$6271,"F",'Cable Schedule'!$I$2:$I$6271,"LV 600 V")</f>
        <v/>
      </c>
      <c r="H8" s="17">
        <f>SUMIFS('Cable Schedule'!$W$2:$W$6271,'Cable Schedule'!$B$2:$B$6271,"F",'Cable Schedule'!$I$2:$I$6271,"Control")</f>
        <v/>
      </c>
      <c r="I8" s="17">
        <f>SUMIFS('Cable Schedule'!$W$2:$W$6271,'Cable Schedule'!$B$2:$B$6271,"F",'Cable Schedule'!$I$2:$I$6271,"Instrumentation")</f>
        <v/>
      </c>
      <c r="J8" s="17">
        <f>SUMIFS('Cable Schedule'!$W$2:$W$6271,'Cable Schedule'!$B$2:$B$6271,"F",'Cable Schedule'!$I$2:$I$6271,"Fire alarm")</f>
        <v/>
      </c>
      <c r="K8" s="17">
        <f>SUMIFS('Cable Schedule'!$W$2:$W$6271,'Cable Schedule'!$B$2:$B$6271,"F",'Cable Schedule'!$I$2:$I$6271,"Fibre / data")</f>
        <v/>
      </c>
      <c r="L8" s="17">
        <f>SUMIFS('Cable Schedule'!$W$2:$W$6271,'Cable Schedule'!$B$2:$B$6271,"F",'Cable Schedule'!$I$2:$I$6271,"DC 2 kV")</f>
        <v/>
      </c>
      <c r="M8" s="17">
        <f>SUMIFS('Cable Schedule'!$W$2:$W$6271,'Cable Schedule'!$B$2:$B$6271,"F",'Cable Schedule'!$I$2:$I$6271,"Portable MV")</f>
        <v/>
      </c>
      <c r="N8" s="17">
        <f>SUMIFS('Cable Schedule'!$W$2:$W$6271,'Cable Schedule'!$B$2:$B$6271,"F",'Cable Schedule'!$I$2:$I$6271,"Portable LV")</f>
        <v/>
      </c>
      <c r="O8" s="17">
        <f>SUMIFS('Cable Schedule'!$W$2:$W$6271,'Cable Schedule'!$B$2:$B$6271,"F",'Cable Schedule'!$I$2:$I$6271,"Building wire")</f>
        <v/>
      </c>
      <c r="P8" s="17">
        <f>SUMIFS('Cable Schedule'!$W$2:$W$6271,'Cable Schedule'!$B$2:$B$6271,"F",'Cable Schedule'!$I$2:$I$6271,"Grounding")</f>
        <v/>
      </c>
      <c r="Q8" s="17">
        <f>SUMIFS('Cable Schedule'!$W$2:$W$6271,'Cable Schedule'!$B$2:$B$6271,"F",'Cable Schedule'!$I$2:$I$6271,"Overhead")</f>
        <v/>
      </c>
      <c r="R8" s="27">
        <f>SUM(B8:Q8)</f>
        <v/>
      </c>
    </row>
    <row r="9">
      <c r="A9" s="12" t="inlineStr">
        <is>
          <t>G  Carbon capture</t>
        </is>
      </c>
      <c r="B9" s="17">
        <f>SUMIFS('Cable Schedule'!$W$2:$W$6271,'Cable Schedule'!$B$2:$B$6271,"G",'Cable Schedule'!$I$2:$I$6271,"MV 15 kV")</f>
        <v/>
      </c>
      <c r="C9" s="17">
        <f>SUMIFS('Cable Schedule'!$W$2:$W$6271,'Cable Schedule'!$B$2:$B$6271,"G",'Cable Schedule'!$I$2:$I$6271,"MV 5 kV")</f>
        <v/>
      </c>
      <c r="D9" s="17">
        <f>SUMIFS('Cable Schedule'!$W$2:$W$6271,'Cable Schedule'!$B$2:$B$6271,"G",'Cable Schedule'!$I$2:$I$6271,"MV 25 kV")</f>
        <v/>
      </c>
      <c r="E9" s="17">
        <f>SUMIFS('Cable Schedule'!$W$2:$W$6271,'Cable Schedule'!$B$2:$B$6271,"G",'Cable Schedule'!$I$2:$I$6271,"MV 35 kV")</f>
        <v/>
      </c>
      <c r="F9" s="17">
        <f>SUMIFS('Cable Schedule'!$W$2:$W$6271,'Cable Schedule'!$B$2:$B$6271,"G",'Cable Schedule'!$I$2:$I$6271,"HV 230 kV")</f>
        <v/>
      </c>
      <c r="G9" s="17">
        <f>SUMIFS('Cable Schedule'!$W$2:$W$6271,'Cable Schedule'!$B$2:$B$6271,"G",'Cable Schedule'!$I$2:$I$6271,"LV 600 V")</f>
        <v/>
      </c>
      <c r="H9" s="17">
        <f>SUMIFS('Cable Schedule'!$W$2:$W$6271,'Cable Schedule'!$B$2:$B$6271,"G",'Cable Schedule'!$I$2:$I$6271,"Control")</f>
        <v/>
      </c>
      <c r="I9" s="17">
        <f>SUMIFS('Cable Schedule'!$W$2:$W$6271,'Cable Schedule'!$B$2:$B$6271,"G",'Cable Schedule'!$I$2:$I$6271,"Instrumentation")</f>
        <v/>
      </c>
      <c r="J9" s="17">
        <f>SUMIFS('Cable Schedule'!$W$2:$W$6271,'Cable Schedule'!$B$2:$B$6271,"G",'Cable Schedule'!$I$2:$I$6271,"Fire alarm")</f>
        <v/>
      </c>
      <c r="K9" s="17">
        <f>SUMIFS('Cable Schedule'!$W$2:$W$6271,'Cable Schedule'!$B$2:$B$6271,"G",'Cable Schedule'!$I$2:$I$6271,"Fibre / data")</f>
        <v/>
      </c>
      <c r="L9" s="17">
        <f>SUMIFS('Cable Schedule'!$W$2:$W$6271,'Cable Schedule'!$B$2:$B$6271,"G",'Cable Schedule'!$I$2:$I$6271,"DC 2 kV")</f>
        <v/>
      </c>
      <c r="M9" s="17">
        <f>SUMIFS('Cable Schedule'!$W$2:$W$6271,'Cable Schedule'!$B$2:$B$6271,"G",'Cable Schedule'!$I$2:$I$6271,"Portable MV")</f>
        <v/>
      </c>
      <c r="N9" s="17">
        <f>SUMIFS('Cable Schedule'!$W$2:$W$6271,'Cable Schedule'!$B$2:$B$6271,"G",'Cable Schedule'!$I$2:$I$6271,"Portable LV")</f>
        <v/>
      </c>
      <c r="O9" s="17">
        <f>SUMIFS('Cable Schedule'!$W$2:$W$6271,'Cable Schedule'!$B$2:$B$6271,"G",'Cable Schedule'!$I$2:$I$6271,"Building wire")</f>
        <v/>
      </c>
      <c r="P9" s="17">
        <f>SUMIFS('Cable Schedule'!$W$2:$W$6271,'Cable Schedule'!$B$2:$B$6271,"G",'Cable Schedule'!$I$2:$I$6271,"Grounding")</f>
        <v/>
      </c>
      <c r="Q9" s="17">
        <f>SUMIFS('Cable Schedule'!$W$2:$W$6271,'Cable Schedule'!$B$2:$B$6271,"G",'Cable Schedule'!$I$2:$I$6271,"Overhead")</f>
        <v/>
      </c>
      <c r="R9" s="27">
        <f>SUM(B9:Q9)</f>
        <v/>
      </c>
    </row>
    <row r="10">
      <c r="A10" s="12" t="inlineStr">
        <is>
          <t>H  BESS</t>
        </is>
      </c>
      <c r="B10" s="17">
        <f>SUMIFS('Cable Schedule'!$W$2:$W$6271,'Cable Schedule'!$B$2:$B$6271,"H",'Cable Schedule'!$I$2:$I$6271,"MV 15 kV")</f>
        <v/>
      </c>
      <c r="C10" s="17">
        <f>SUMIFS('Cable Schedule'!$W$2:$W$6271,'Cable Schedule'!$B$2:$B$6271,"H",'Cable Schedule'!$I$2:$I$6271,"MV 5 kV")</f>
        <v/>
      </c>
      <c r="D10" s="17">
        <f>SUMIFS('Cable Schedule'!$W$2:$W$6271,'Cable Schedule'!$B$2:$B$6271,"H",'Cable Schedule'!$I$2:$I$6271,"MV 25 kV")</f>
        <v/>
      </c>
      <c r="E10" s="17">
        <f>SUMIFS('Cable Schedule'!$W$2:$W$6271,'Cable Schedule'!$B$2:$B$6271,"H",'Cable Schedule'!$I$2:$I$6271,"MV 35 kV")</f>
        <v/>
      </c>
      <c r="F10" s="17">
        <f>SUMIFS('Cable Schedule'!$W$2:$W$6271,'Cable Schedule'!$B$2:$B$6271,"H",'Cable Schedule'!$I$2:$I$6271,"HV 230 kV")</f>
        <v/>
      </c>
      <c r="G10" s="17">
        <f>SUMIFS('Cable Schedule'!$W$2:$W$6271,'Cable Schedule'!$B$2:$B$6271,"H",'Cable Schedule'!$I$2:$I$6271,"LV 600 V")</f>
        <v/>
      </c>
      <c r="H10" s="17">
        <f>SUMIFS('Cable Schedule'!$W$2:$W$6271,'Cable Schedule'!$B$2:$B$6271,"H",'Cable Schedule'!$I$2:$I$6271,"Control")</f>
        <v/>
      </c>
      <c r="I10" s="17">
        <f>SUMIFS('Cable Schedule'!$W$2:$W$6271,'Cable Schedule'!$B$2:$B$6271,"H",'Cable Schedule'!$I$2:$I$6271,"Instrumentation")</f>
        <v/>
      </c>
      <c r="J10" s="17">
        <f>SUMIFS('Cable Schedule'!$W$2:$W$6271,'Cable Schedule'!$B$2:$B$6271,"H",'Cable Schedule'!$I$2:$I$6271,"Fire alarm")</f>
        <v/>
      </c>
      <c r="K10" s="17">
        <f>SUMIFS('Cable Schedule'!$W$2:$W$6271,'Cable Schedule'!$B$2:$B$6271,"H",'Cable Schedule'!$I$2:$I$6271,"Fibre / data")</f>
        <v/>
      </c>
      <c r="L10" s="17">
        <f>SUMIFS('Cable Schedule'!$W$2:$W$6271,'Cable Schedule'!$B$2:$B$6271,"H",'Cable Schedule'!$I$2:$I$6271,"DC 2 kV")</f>
        <v/>
      </c>
      <c r="M10" s="17">
        <f>SUMIFS('Cable Schedule'!$W$2:$W$6271,'Cable Schedule'!$B$2:$B$6271,"H",'Cable Schedule'!$I$2:$I$6271,"Portable MV")</f>
        <v/>
      </c>
      <c r="N10" s="17">
        <f>SUMIFS('Cable Schedule'!$W$2:$W$6271,'Cable Schedule'!$B$2:$B$6271,"H",'Cable Schedule'!$I$2:$I$6271,"Portable LV")</f>
        <v/>
      </c>
      <c r="O10" s="17">
        <f>SUMIFS('Cable Schedule'!$W$2:$W$6271,'Cable Schedule'!$B$2:$B$6271,"H",'Cable Schedule'!$I$2:$I$6271,"Building wire")</f>
        <v/>
      </c>
      <c r="P10" s="17">
        <f>SUMIFS('Cable Schedule'!$W$2:$W$6271,'Cable Schedule'!$B$2:$B$6271,"H",'Cable Schedule'!$I$2:$I$6271,"Grounding")</f>
        <v/>
      </c>
      <c r="Q10" s="17">
        <f>SUMIFS('Cable Schedule'!$W$2:$W$6271,'Cable Schedule'!$B$2:$B$6271,"H",'Cable Schedule'!$I$2:$I$6271,"Overhead")</f>
        <v/>
      </c>
      <c r="R10" s="27">
        <f>SUM(B10:Q10)</f>
        <v/>
      </c>
    </row>
    <row r="11">
      <c r="A11" s="12" t="inlineStr">
        <is>
          <t>I  Modular / portable power</t>
        </is>
      </c>
      <c r="B11" s="17">
        <f>SUMIFS('Cable Schedule'!$W$2:$W$6271,'Cable Schedule'!$B$2:$B$6271,"I",'Cable Schedule'!$I$2:$I$6271,"MV 15 kV")</f>
        <v/>
      </c>
      <c r="C11" s="17">
        <f>SUMIFS('Cable Schedule'!$W$2:$W$6271,'Cable Schedule'!$B$2:$B$6271,"I",'Cable Schedule'!$I$2:$I$6271,"MV 5 kV")</f>
        <v/>
      </c>
      <c r="D11" s="17">
        <f>SUMIFS('Cable Schedule'!$W$2:$W$6271,'Cable Schedule'!$B$2:$B$6271,"I",'Cable Schedule'!$I$2:$I$6271,"MV 25 kV")</f>
        <v/>
      </c>
      <c r="E11" s="17">
        <f>SUMIFS('Cable Schedule'!$W$2:$W$6271,'Cable Schedule'!$B$2:$B$6271,"I",'Cable Schedule'!$I$2:$I$6271,"MV 35 kV")</f>
        <v/>
      </c>
      <c r="F11" s="17">
        <f>SUMIFS('Cable Schedule'!$W$2:$W$6271,'Cable Schedule'!$B$2:$B$6271,"I",'Cable Schedule'!$I$2:$I$6271,"HV 230 kV")</f>
        <v/>
      </c>
      <c r="G11" s="17">
        <f>SUMIFS('Cable Schedule'!$W$2:$W$6271,'Cable Schedule'!$B$2:$B$6271,"I",'Cable Schedule'!$I$2:$I$6271,"LV 600 V")</f>
        <v/>
      </c>
      <c r="H11" s="17">
        <f>SUMIFS('Cable Schedule'!$W$2:$W$6271,'Cable Schedule'!$B$2:$B$6271,"I",'Cable Schedule'!$I$2:$I$6271,"Control")</f>
        <v/>
      </c>
      <c r="I11" s="17">
        <f>SUMIFS('Cable Schedule'!$W$2:$W$6271,'Cable Schedule'!$B$2:$B$6271,"I",'Cable Schedule'!$I$2:$I$6271,"Instrumentation")</f>
        <v/>
      </c>
      <c r="J11" s="17">
        <f>SUMIFS('Cable Schedule'!$W$2:$W$6271,'Cable Schedule'!$B$2:$B$6271,"I",'Cable Schedule'!$I$2:$I$6271,"Fire alarm")</f>
        <v/>
      </c>
      <c r="K11" s="17">
        <f>SUMIFS('Cable Schedule'!$W$2:$W$6271,'Cable Schedule'!$B$2:$B$6271,"I",'Cable Schedule'!$I$2:$I$6271,"Fibre / data")</f>
        <v/>
      </c>
      <c r="L11" s="17">
        <f>SUMIFS('Cable Schedule'!$W$2:$W$6271,'Cable Schedule'!$B$2:$B$6271,"I",'Cable Schedule'!$I$2:$I$6271,"DC 2 kV")</f>
        <v/>
      </c>
      <c r="M11" s="17">
        <f>SUMIFS('Cable Schedule'!$W$2:$W$6271,'Cable Schedule'!$B$2:$B$6271,"I",'Cable Schedule'!$I$2:$I$6271,"Portable MV")</f>
        <v/>
      </c>
      <c r="N11" s="17">
        <f>SUMIFS('Cable Schedule'!$W$2:$W$6271,'Cable Schedule'!$B$2:$B$6271,"I",'Cable Schedule'!$I$2:$I$6271,"Portable LV")</f>
        <v/>
      </c>
      <c r="O11" s="17">
        <f>SUMIFS('Cable Schedule'!$W$2:$W$6271,'Cable Schedule'!$B$2:$B$6271,"I",'Cable Schedule'!$I$2:$I$6271,"Building wire")</f>
        <v/>
      </c>
      <c r="P11" s="17">
        <f>SUMIFS('Cable Schedule'!$W$2:$W$6271,'Cable Schedule'!$B$2:$B$6271,"I",'Cable Schedule'!$I$2:$I$6271,"Grounding")</f>
        <v/>
      </c>
      <c r="Q11" s="17">
        <f>SUMIFS('Cable Schedule'!$W$2:$W$6271,'Cable Schedule'!$B$2:$B$6271,"I",'Cable Schedule'!$I$2:$I$6271,"Overhead")</f>
        <v/>
      </c>
      <c r="R11" s="27">
        <f>SUM(B11:Q11)</f>
        <v/>
      </c>
    </row>
    <row r="12">
      <c r="A12" s="12" t="inlineStr">
        <is>
          <t>J  GT inlet chilling</t>
        </is>
      </c>
      <c r="B12" s="17">
        <f>SUMIFS('Cable Schedule'!$W$2:$W$6271,'Cable Schedule'!$B$2:$B$6271,"J",'Cable Schedule'!$I$2:$I$6271,"MV 15 kV")</f>
        <v/>
      </c>
      <c r="C12" s="17">
        <f>SUMIFS('Cable Schedule'!$W$2:$W$6271,'Cable Schedule'!$B$2:$B$6271,"J",'Cable Schedule'!$I$2:$I$6271,"MV 5 kV")</f>
        <v/>
      </c>
      <c r="D12" s="17">
        <f>SUMIFS('Cable Schedule'!$W$2:$W$6271,'Cable Schedule'!$B$2:$B$6271,"J",'Cable Schedule'!$I$2:$I$6271,"MV 25 kV")</f>
        <v/>
      </c>
      <c r="E12" s="17">
        <f>SUMIFS('Cable Schedule'!$W$2:$W$6271,'Cable Schedule'!$B$2:$B$6271,"J",'Cable Schedule'!$I$2:$I$6271,"MV 35 kV")</f>
        <v/>
      </c>
      <c r="F12" s="17">
        <f>SUMIFS('Cable Schedule'!$W$2:$W$6271,'Cable Schedule'!$B$2:$B$6271,"J",'Cable Schedule'!$I$2:$I$6271,"HV 230 kV")</f>
        <v/>
      </c>
      <c r="G12" s="17">
        <f>SUMIFS('Cable Schedule'!$W$2:$W$6271,'Cable Schedule'!$B$2:$B$6271,"J",'Cable Schedule'!$I$2:$I$6271,"LV 600 V")</f>
        <v/>
      </c>
      <c r="H12" s="17">
        <f>SUMIFS('Cable Schedule'!$W$2:$W$6271,'Cable Schedule'!$B$2:$B$6271,"J",'Cable Schedule'!$I$2:$I$6271,"Control")</f>
        <v/>
      </c>
      <c r="I12" s="17">
        <f>SUMIFS('Cable Schedule'!$W$2:$W$6271,'Cable Schedule'!$B$2:$B$6271,"J",'Cable Schedule'!$I$2:$I$6271,"Instrumentation")</f>
        <v/>
      </c>
      <c r="J12" s="17">
        <f>SUMIFS('Cable Schedule'!$W$2:$W$6271,'Cable Schedule'!$B$2:$B$6271,"J",'Cable Schedule'!$I$2:$I$6271,"Fire alarm")</f>
        <v/>
      </c>
      <c r="K12" s="17">
        <f>SUMIFS('Cable Schedule'!$W$2:$W$6271,'Cable Schedule'!$B$2:$B$6271,"J",'Cable Schedule'!$I$2:$I$6271,"Fibre / data")</f>
        <v/>
      </c>
      <c r="L12" s="17">
        <f>SUMIFS('Cable Schedule'!$W$2:$W$6271,'Cable Schedule'!$B$2:$B$6271,"J",'Cable Schedule'!$I$2:$I$6271,"DC 2 kV")</f>
        <v/>
      </c>
      <c r="M12" s="17">
        <f>SUMIFS('Cable Schedule'!$W$2:$W$6271,'Cable Schedule'!$B$2:$B$6271,"J",'Cable Schedule'!$I$2:$I$6271,"Portable MV")</f>
        <v/>
      </c>
      <c r="N12" s="17">
        <f>SUMIFS('Cable Schedule'!$W$2:$W$6271,'Cable Schedule'!$B$2:$B$6271,"J",'Cable Schedule'!$I$2:$I$6271,"Portable LV")</f>
        <v/>
      </c>
      <c r="O12" s="17">
        <f>SUMIFS('Cable Schedule'!$W$2:$W$6271,'Cable Schedule'!$B$2:$B$6271,"J",'Cable Schedule'!$I$2:$I$6271,"Building wire")</f>
        <v/>
      </c>
      <c r="P12" s="17">
        <f>SUMIFS('Cable Schedule'!$W$2:$W$6271,'Cable Schedule'!$B$2:$B$6271,"J",'Cable Schedule'!$I$2:$I$6271,"Grounding")</f>
        <v/>
      </c>
      <c r="Q12" s="17">
        <f>SUMIFS('Cable Schedule'!$W$2:$W$6271,'Cable Schedule'!$B$2:$B$6271,"J",'Cable Schedule'!$I$2:$I$6271,"Overhead")</f>
        <v/>
      </c>
      <c r="R12" s="27">
        <f>SUM(B12:Q12)</f>
        <v/>
      </c>
    </row>
    <row r="13">
      <c r="A13" s="12" t="inlineStr">
        <is>
          <t>K  Fuel supply (adjacent market)</t>
        </is>
      </c>
      <c r="B13" s="17">
        <f>SUMIFS('Cable Schedule'!$W$2:$W$6271,'Cable Schedule'!$B$2:$B$6271,"K",'Cable Schedule'!$I$2:$I$6271,"MV 15 kV")</f>
        <v/>
      </c>
      <c r="C13" s="17">
        <f>SUMIFS('Cable Schedule'!$W$2:$W$6271,'Cable Schedule'!$B$2:$B$6271,"K",'Cable Schedule'!$I$2:$I$6271,"MV 5 kV")</f>
        <v/>
      </c>
      <c r="D13" s="17">
        <f>SUMIFS('Cable Schedule'!$W$2:$W$6271,'Cable Schedule'!$B$2:$B$6271,"K",'Cable Schedule'!$I$2:$I$6271,"MV 25 kV")</f>
        <v/>
      </c>
      <c r="E13" s="17">
        <f>SUMIFS('Cable Schedule'!$W$2:$W$6271,'Cable Schedule'!$B$2:$B$6271,"K",'Cable Schedule'!$I$2:$I$6271,"MV 35 kV")</f>
        <v/>
      </c>
      <c r="F13" s="17">
        <f>SUMIFS('Cable Schedule'!$W$2:$W$6271,'Cable Schedule'!$B$2:$B$6271,"K",'Cable Schedule'!$I$2:$I$6271,"HV 230 kV")</f>
        <v/>
      </c>
      <c r="G13" s="17">
        <f>SUMIFS('Cable Schedule'!$W$2:$W$6271,'Cable Schedule'!$B$2:$B$6271,"K",'Cable Schedule'!$I$2:$I$6271,"LV 600 V")</f>
        <v/>
      </c>
      <c r="H13" s="17">
        <f>SUMIFS('Cable Schedule'!$W$2:$W$6271,'Cable Schedule'!$B$2:$B$6271,"K",'Cable Schedule'!$I$2:$I$6271,"Control")</f>
        <v/>
      </c>
      <c r="I13" s="17">
        <f>SUMIFS('Cable Schedule'!$W$2:$W$6271,'Cable Schedule'!$B$2:$B$6271,"K",'Cable Schedule'!$I$2:$I$6271,"Instrumentation")</f>
        <v/>
      </c>
      <c r="J13" s="17">
        <f>SUMIFS('Cable Schedule'!$W$2:$W$6271,'Cable Schedule'!$B$2:$B$6271,"K",'Cable Schedule'!$I$2:$I$6271,"Fire alarm")</f>
        <v/>
      </c>
      <c r="K13" s="17">
        <f>SUMIFS('Cable Schedule'!$W$2:$W$6271,'Cable Schedule'!$B$2:$B$6271,"K",'Cable Schedule'!$I$2:$I$6271,"Fibre / data")</f>
        <v/>
      </c>
      <c r="L13" s="17">
        <f>SUMIFS('Cable Schedule'!$W$2:$W$6271,'Cable Schedule'!$B$2:$B$6271,"K",'Cable Schedule'!$I$2:$I$6271,"DC 2 kV")</f>
        <v/>
      </c>
      <c r="M13" s="17">
        <f>SUMIFS('Cable Schedule'!$W$2:$W$6271,'Cable Schedule'!$B$2:$B$6271,"K",'Cable Schedule'!$I$2:$I$6271,"Portable MV")</f>
        <v/>
      </c>
      <c r="N13" s="17">
        <f>SUMIFS('Cable Schedule'!$W$2:$W$6271,'Cable Schedule'!$B$2:$B$6271,"K",'Cable Schedule'!$I$2:$I$6271,"Portable LV")</f>
        <v/>
      </c>
      <c r="O13" s="17">
        <f>SUMIFS('Cable Schedule'!$W$2:$W$6271,'Cable Schedule'!$B$2:$B$6271,"K",'Cable Schedule'!$I$2:$I$6271,"Building wire")</f>
        <v/>
      </c>
      <c r="P13" s="17">
        <f>SUMIFS('Cable Schedule'!$W$2:$W$6271,'Cable Schedule'!$B$2:$B$6271,"K",'Cable Schedule'!$I$2:$I$6271,"Grounding")</f>
        <v/>
      </c>
      <c r="Q13" s="17">
        <f>SUMIFS('Cable Schedule'!$W$2:$W$6271,'Cable Schedule'!$B$2:$B$6271,"K",'Cable Schedule'!$I$2:$I$6271,"Overhead")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Schedule'!B2:B6271,"?")</f>
        <v/>
      </c>
    </row>
    <row r="18">
      <c r="A18" s="21" t="inlineStr">
        <is>
          <t>Cables (count)</t>
        </is>
      </c>
      <c r="B18" s="17">
        <f>SUM('Cable Schedule'!AA2:AA6271)</f>
        <v/>
      </c>
    </row>
    <row r="20">
      <c r="A20" s="21" t="inlineStr">
        <is>
          <t>Device count behind the schedule (typical for each equipment class)</t>
        </is>
      </c>
    </row>
    <row r="21">
      <c r="A21" s="12" t="inlineStr">
        <is>
          <t>Analog instruments</t>
        </is>
      </c>
      <c r="B21" s="29" t="n">
        <v>6026</v>
      </c>
    </row>
    <row r="22">
      <c r="A22" s="12" t="inlineStr">
        <is>
          <t>Discrete devices</t>
        </is>
      </c>
      <c r="B22" s="29" t="n">
        <v>6378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2026-10-29T16:33:46Z</dcterms:created>
  <dcterms:modified xmlns:dcterms="http://purl.org/dc/terms/" xmlns:xsi="http://www.w3.org/2001/XMLSchema-instance" xsi:type="dcterms:W3CDTF">2026-10-29T16:33:49Z</dcterms:modified>
</cp:coreProperties>
</file>