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Schedule'!$A$1:$AA$6275</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6274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6274</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7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1235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74100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1498</v>
      </c>
      <c r="U3882" s="15" t="n">
        <v>237</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1482</v>
      </c>
      <c r="U3926" s="15" t="n">
        <v>253</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1552</v>
      </c>
      <c r="U3961" s="15" t="n">
        <v>104</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1556</v>
      </c>
      <c r="U3967" s="15" t="n">
        <v>128</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1498</v>
      </c>
      <c r="U4056" s="15" t="n">
        <v>237</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1552</v>
      </c>
      <c r="U4098" s="15" t="n">
        <v>104</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1556</v>
      </c>
      <c r="U4110" s="15" t="n">
        <v>128</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1498</v>
      </c>
      <c r="U4183" s="15" t="n">
        <v>237</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303</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77</v>
      </c>
      <c r="U4252" s="15" t="n">
        <v>32</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77</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246</v>
      </c>
      <c r="U4262" s="15" t="n">
        <v>61</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230</v>
      </c>
      <c r="U4264" s="15" t="n">
        <v>27</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296</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168</v>
      </c>
      <c r="U4292" s="15" t="n">
        <v>46</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280</v>
      </c>
      <c r="U4294" s="15" t="n">
        <v>63</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382</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Tray</t>
        </is>
      </c>
      <c r="T4301" s="15" t="n">
        <v>5</v>
      </c>
      <c r="U4301" s="15" t="n">
        <v>32</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45</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17</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30</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43</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56</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382</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382</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382</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382</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382</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153</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153</v>
      </c>
      <c r="U4354" s="15" t="n">
        <v>136</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153</v>
      </c>
      <c r="U4360" s="15" t="n">
        <v>108</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104</v>
      </c>
      <c r="U4366" s="15" t="n">
        <v>104</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153</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26</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26</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26</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26</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26</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26</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26</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26</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52</v>
      </c>
      <c r="U4405" s="15" t="n">
        <v>182</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52</v>
      </c>
      <c r="U4406" s="15" t="n">
        <v>182</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52</v>
      </c>
      <c r="U4407" s="15" t="n">
        <v>182</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52</v>
      </c>
      <c r="U4408" s="15" t="n">
        <v>182</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52</v>
      </c>
      <c r="U4409" s="15" t="n">
        <v>182</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52</v>
      </c>
      <c r="U4410" s="15" t="n">
        <v>182</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52</v>
      </c>
      <c r="U4411" s="15" t="n">
        <v>154</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52</v>
      </c>
      <c r="U4412" s="15" t="n">
        <v>154</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52</v>
      </c>
      <c r="U4413" s="15" t="n">
        <v>154</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52</v>
      </c>
      <c r="U4414" s="15" t="n">
        <v>154</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52</v>
      </c>
      <c r="U4415" s="15" t="n">
        <v>154</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52</v>
      </c>
      <c r="U4416" s="15" t="n">
        <v>154</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52</v>
      </c>
      <c r="U4417" s="15" t="n">
        <v>126</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52</v>
      </c>
      <c r="U4418" s="15" t="n">
        <v>126</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52</v>
      </c>
      <c r="U4419" s="15" t="n">
        <v>126</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52</v>
      </c>
      <c r="U4420" s="15" t="n">
        <v>126</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52</v>
      </c>
      <c r="U4421" s="15" t="n">
        <v>126</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52</v>
      </c>
      <c r="U4422" s="15" t="n">
        <v>126</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52</v>
      </c>
      <c r="U4423" s="15" t="n">
        <v>98</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52</v>
      </c>
      <c r="U4424" s="15" t="n">
        <v>98</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52</v>
      </c>
      <c r="U4425" s="15" t="n">
        <v>98</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52</v>
      </c>
      <c r="U4426" s="15" t="n">
        <v>98</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52</v>
      </c>
      <c r="U4427" s="15" t="n">
        <v>98</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52</v>
      </c>
      <c r="U4428" s="15" t="n">
        <v>98</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31</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56</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81</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106</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296</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311</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38</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3746</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311</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83</v>
      </c>
      <c r="U4549" s="15" t="n">
        <v>37</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Trench</t>
        </is>
      </c>
      <c r="T4553" s="15" t="n">
        <v>3615</v>
      </c>
      <c r="U4553" s="15" t="n">
        <v>57</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3870</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4055</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352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4150</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4029</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4131</v>
      </c>
      <c r="U4562" s="15" t="n">
        <v>43</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4178</v>
      </c>
      <c r="U4563" s="15" t="n">
        <v>73</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4329</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4281</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122</v>
      </c>
      <c r="U4567" s="15" t="n">
        <v>37</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3427</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337</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3387</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246</v>
      </c>
      <c r="U4575" s="15" t="n">
        <v>61</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230</v>
      </c>
      <c r="U4577" s="15" t="n">
        <v>27</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241</v>
      </c>
      <c r="U4578" s="15" t="n">
        <v>35</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241</v>
      </c>
      <c r="U4579" s="15" t="n">
        <v>27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229</v>
      </c>
      <c r="U4580" s="15" t="n">
        <v>27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224</v>
      </c>
      <c r="U4581" s="15" t="n">
        <v>27</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is>
          <t>PAD-EH</t>
        </is>
      </c>
      <c r="F4582" s="12" t="inlineStr">
        <is>
          <t>PAD-EH 13.8 kV switchgear e-house</t>
        </is>
      </c>
      <c r="G4582" s="12" t="inlineStr">
        <is>
          <t>GEN-O</t>
        </is>
      </c>
      <c r="H4582" s="12" t="inlineStr">
        <is>
          <t>GEN-O: open engine-generator skid</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Surface</t>
        </is>
      </c>
      <c r="T4582" s="15" t="n">
        <v>176</v>
      </c>
      <c r="U4582" s="15" t="n">
        <v>27</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c r="F4583" s="12" t="inlineStr">
        <is>
          <t>PCM: power control module</t>
        </is>
      </c>
      <c r="G4583" s="12" t="inlineStr"/>
      <c r="H4583" s="12" t="inlineStr">
        <is>
          <t>Lube oil / starting air / oily water building</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382</v>
      </c>
      <c r="U4583" s="15" t="n">
        <v>164</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is>
          <t>PAD-EH</t>
        </is>
      </c>
      <c r="F4584" s="12" t="inlineStr">
        <is>
          <t>PAD-EH 13.8 kV switchgear e-house</t>
        </is>
      </c>
      <c r="G4584" s="12" t="inlineStr">
        <is>
          <t>MOB-1</t>
        </is>
      </c>
      <c r="H4584" s="12" t="inlineStr">
        <is>
          <t>MOB-1: trailer genset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249</v>
      </c>
      <c r="U4584" s="15" t="n">
        <v>53</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is>
          <t>MOD-EH</t>
        </is>
      </c>
      <c r="H4585" s="12" t="inlineStr">
        <is>
          <t>MOD-EH: 34.5 kV modular collector e-house (2 bus sections + 13.8 kV st</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300</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c r="H4586" s="12" t="inlineStr">
        <is>
          <t>MT-4..6 480 V switchboard</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Surface</t>
        </is>
      </c>
      <c r="T4586" s="15" t="n">
        <v>154</v>
      </c>
      <c r="U4586" s="15" t="n">
        <v>37</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MT-4</t>
        </is>
      </c>
      <c r="H4587" s="12" t="inlineStr">
        <is>
          <t>MT-4: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Surface</t>
        </is>
      </c>
      <c r="T4587" s="15" t="n">
        <v>238</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MT-5</t>
        </is>
      </c>
      <c r="H4588" s="12" t="inlineStr">
        <is>
          <t>MT-5: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Surface</t>
        </is>
      </c>
      <c r="T4588" s="15" t="n">
        <v>224</v>
      </c>
      <c r="U4588" s="15" t="n">
        <v>33</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MT-6</t>
        </is>
      </c>
      <c r="H4589" s="12" t="inlineStr">
        <is>
          <t>MT-6: microturbine 1 MW (1 MW package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Surface</t>
        </is>
      </c>
      <c r="T4589" s="15" t="n">
        <v>135</v>
      </c>
      <c r="U4589" s="15" t="n">
        <v>31</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PCM: power control module</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Tray</t>
        </is>
      </c>
      <c r="T4590" s="15" t="n">
        <v>0</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c r="H4591" s="12" t="inlineStr">
        <is>
          <t>RICE CEMS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153</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Fire alarm / F&amp;G loop (to the local FACP / F&amp;G node)</t>
        </is>
      </c>
      <c r="E4592" s="12" t="inlineStr"/>
      <c r="F4592" s="12" t="inlineStr">
        <is>
          <t>PCM: power control module</t>
        </is>
      </c>
      <c r="G4592" s="12" t="inlineStr">
        <is>
          <t>RICE</t>
        </is>
      </c>
      <c r="H4592" s="12" t="inlineStr">
        <is>
          <t>RICE engine hall (8 engines)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26</v>
      </c>
      <c r="U4592" s="15" t="n">
        <v>83</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CEMS shelter fire alarm loop</t>
        </is>
      </c>
      <c r="E4593" s="12" t="inlineStr"/>
      <c r="F4593" s="12" t="inlineStr">
        <is>
          <t>SC-1 PCM + 15 kV GCB</t>
        </is>
      </c>
      <c r="G4593" s="12" t="inlineStr"/>
      <c r="H4593" s="12" t="inlineStr">
        <is>
          <t>SC-1 CEMS shelter</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81</v>
      </c>
      <c r="U4593" s="15" t="n">
        <v>106</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SC-1 PCM fire alarm / F&amp;G node to the plant FACP</t>
        </is>
      </c>
      <c r="E4594" s="12" t="inlineStr">
        <is>
          <t>CR</t>
        </is>
      </c>
      <c r="F4594" s="12" t="inlineStr">
        <is>
          <t>Control / admin building (main control room)</t>
        </is>
      </c>
      <c r="G4594" s="12" t="inlineStr"/>
      <c r="H4594" s="12" t="inlineStr">
        <is>
          <t>SC-1 PCM + 15 kV GCB</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4131</v>
      </c>
      <c r="U4594" s="15" t="n">
        <v>43</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Fire alarm / F&amp;G loop (to the local FACP / F&amp;G node)</t>
        </is>
      </c>
      <c r="E4595" s="12" t="inlineStr"/>
      <c r="F4595" s="12" t="inlineStr">
        <is>
          <t>SC-1 PCM + 15 kV GCB</t>
        </is>
      </c>
      <c r="G4595" s="12" t="inlineStr">
        <is>
          <t>SC-1</t>
        </is>
      </c>
      <c r="H4595" s="12" t="inlineStr">
        <is>
          <t>SC-1: aeroderivative simple-cycle unit (LM6000 class)</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Tray</t>
        </is>
      </c>
      <c r="T4595" s="15" t="n">
        <v>5</v>
      </c>
      <c r="U4595" s="15" t="n">
        <v>62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CEMS shelter fire alarm loop</t>
        </is>
      </c>
      <c r="E4596" s="12" t="inlineStr"/>
      <c r="F4596" s="12" t="inlineStr">
        <is>
          <t>SC-2 PCM + 15 kV GCB</t>
        </is>
      </c>
      <c r="G4596" s="12" t="inlineStr"/>
      <c r="H4596" s="12" t="inlineStr">
        <is>
          <t>SC-2 CEMS shelter</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74</v>
      </c>
      <c r="U4596" s="15" t="n">
        <v>112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SC-2 PCM fire alarm / F&amp;G node to the plant FACP</t>
        </is>
      </c>
      <c r="E4597" s="12" t="inlineStr">
        <is>
          <t>CR</t>
        </is>
      </c>
      <c r="F4597" s="12" t="inlineStr">
        <is>
          <t>Control / admin building (main control room)</t>
        </is>
      </c>
      <c r="G4597" s="12" t="inlineStr"/>
      <c r="H4597" s="12" t="inlineStr">
        <is>
          <t>SC-2 PCM + 15 kV GCB</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4329</v>
      </c>
      <c r="U4597" s="15" t="n">
        <v>43</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c r="F4598" s="12" t="inlineStr">
        <is>
          <t>SC-2 PCM + 15 kV GCB</t>
        </is>
      </c>
      <c r="G4598" s="12" t="inlineStr">
        <is>
          <t>SC-2</t>
        </is>
      </c>
      <c r="H4598" s="12" t="inlineStr">
        <is>
          <t>SC-2: aeroderivative simple-cycle unit (LM6000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35</v>
      </c>
      <c r="U4598" s="15" t="n">
        <v>32</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I-FA-0029</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TM-1</t>
        </is>
      </c>
      <c r="H4599" s="12" t="inlineStr">
        <is>
          <t>TM-1: trailer-mounted aeroderivative GT (TM2500 class, ~35 MW)</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431</v>
      </c>
      <c r="U4599" s="15" t="n">
        <v>39</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I-G-0001</t>
        </is>
      </c>
      <c r="B4600" s="12" t="inlineStr">
        <is>
          <t>I</t>
        </is>
      </c>
      <c r="C4600" s="12" t="inlineStr">
        <is>
          <t>Modular / portable power</t>
        </is>
      </c>
      <c r="D4600" s="12" t="inlineStr">
        <is>
          <t>L6 GB-1 block ground ring (4/0 bare Cu) + 7 taps</t>
        </is>
      </c>
      <c r="E4600" s="12" t="inlineStr">
        <is>
          <t>GBT-1</t>
        </is>
      </c>
      <c r="F4600" s="12" t="inlineStr">
        <is>
          <t>GBT-1: block GB-1 step-up 480 V : 34.5 kV, ~3 MVA pad-mount (on the 35</t>
        </is>
      </c>
      <c r="G4600" s="12" t="inlineStr">
        <is>
          <t>GBT-1</t>
        </is>
      </c>
      <c r="H4600" s="12" t="inlineStr">
        <is>
          <t>GBT-1: block GB-1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I-G-0002</t>
        </is>
      </c>
      <c r="B4601" s="12" t="inlineStr">
        <is>
          <t>I</t>
        </is>
      </c>
      <c r="C4601" s="12" t="inlineStr">
        <is>
          <t>Modular / portable power</t>
        </is>
      </c>
      <c r="D4601" s="12" t="inlineStr">
        <is>
          <t>L6 GB-2 block ground ring (4/0 bare Cu) + 7 taps</t>
        </is>
      </c>
      <c r="E4601" s="12" t="inlineStr">
        <is>
          <t>GBT-2</t>
        </is>
      </c>
      <c r="F4601" s="12" t="inlineStr">
        <is>
          <t>GBT-2: block GB-2 step-up 480 V : 34.5 kV, ~3 MVA pad-mount (on the 35</t>
        </is>
      </c>
      <c r="G4601" s="12" t="inlineStr">
        <is>
          <t>GBT-2</t>
        </is>
      </c>
      <c r="H4601" s="12" t="inlineStr">
        <is>
          <t>GBT-2: block GB-2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I-G-0003</t>
        </is>
      </c>
      <c r="B4602" s="12" t="inlineStr">
        <is>
          <t>I</t>
        </is>
      </c>
      <c r="C4602" s="12" t="inlineStr">
        <is>
          <t>Modular / portable power</t>
        </is>
      </c>
      <c r="D4602" s="12" t="inlineStr">
        <is>
          <t>L6 GB-3 block ground ring (4/0 bare Cu) + 7 taps</t>
        </is>
      </c>
      <c r="E4602" s="12" t="inlineStr">
        <is>
          <t>GBT-3</t>
        </is>
      </c>
      <c r="F4602" s="12" t="inlineStr">
        <is>
          <t>GBT-3: block GB-3 step-up 480 V : 34.5 kV, ~3 MVA pad-mount (on the 35</t>
        </is>
      </c>
      <c r="G4602" s="12" t="inlineStr">
        <is>
          <t>GBT-3</t>
        </is>
      </c>
      <c r="H4602" s="12" t="inlineStr">
        <is>
          <t>GBT-3: block GB-3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I-G-0004</t>
        </is>
      </c>
      <c r="B4603" s="12" t="inlineStr">
        <is>
          <t>I</t>
        </is>
      </c>
      <c r="C4603" s="12" t="inlineStr">
        <is>
          <t>Modular / portable power</t>
        </is>
      </c>
      <c r="D4603" s="12" t="inlineStr">
        <is>
          <t>L6 GB-4 block ground ring (4/0 bare Cu) + 7 taps</t>
        </is>
      </c>
      <c r="E4603" s="12" t="inlineStr">
        <is>
          <t>GBT-4</t>
        </is>
      </c>
      <c r="F4603" s="12" t="inlineStr">
        <is>
          <t>GBT-4: block GB-4 step-up 480 V : 34.5 kV, ~3 MVA pad-mount (on the 35</t>
        </is>
      </c>
      <c r="G4603" s="12" t="inlineStr">
        <is>
          <t>GBT-4</t>
        </is>
      </c>
      <c r="H4603" s="12" t="inlineStr">
        <is>
          <t>GBT-4: block GB-4 step-up 480 V : 34.5 kV, ~3 MVA pad-mount (on the 35</t>
        </is>
      </c>
      <c r="I4603" s="12" t="inlineStr">
        <is>
          <t>Grounding</t>
        </is>
      </c>
      <c r="J4603" s="12" t="inlineStr">
        <is>
          <t>Bare Cu 4/0 AWG, 19 strand (ground grid and equipment grounds)</t>
        </is>
      </c>
      <c r="K4603" s="12" t="inlineStr">
        <is>
          <t>BARE|1/C|4/0</t>
        </is>
      </c>
      <c r="L4603" s="12" t="inlineStr">
        <is>
          <t>1/C</t>
        </is>
      </c>
      <c r="M4603" s="12" t="inlineStr">
        <is>
          <t>4/0</t>
        </is>
      </c>
      <c r="N4603" s="12" t="n">
        <v>1</v>
      </c>
      <c r="O4603" s="12" t="n">
        <v>1</v>
      </c>
      <c r="P4603" s="12" t="n"/>
      <c r="Q4603" s="12" t="n"/>
      <c r="R4603" s="12" t="n"/>
      <c r="S4603" s="12" t="inlineStr">
        <is>
          <t>Buried</t>
        </is>
      </c>
      <c r="T4603" s="15" t="n">
        <v>236</v>
      </c>
      <c r="U4603" s="15" t="n">
        <v>0</v>
      </c>
      <c r="V4603" s="15">
        <f>ROUNDUP((T4603+U4603+2*'Read Me'!$B$13)*(1+'Read Me'!$B$12),-1)</f>
        <v/>
      </c>
      <c r="W4603" s="15">
        <f>V4603*N4603*O4603</f>
        <v/>
      </c>
      <c r="X4603" s="12">
        <f>IF(LEFT(I4603,2)="MV",2*N4603*IF(L4603="1/C",O4603,1),0)</f>
        <v/>
      </c>
      <c r="Y4603" s="12">
        <f>IF(OR(LEFT(K4603,4)="LVAX",LEFT(K4603,6)="MV15AX",LEFT(K4603,4)="CTAX",LEFT(K4603,2)="W|"),2*N4603*O4603,0)</f>
        <v/>
      </c>
      <c r="Z4603" s="12" t="inlineStr">
        <is>
          <t>ring 2 x (74 + 23) ft + 7 taps x 6 ft</t>
        </is>
      </c>
      <c r="AA4603" s="12">
        <f>N4603*O4603</f>
        <v/>
      </c>
    </row>
    <row r="4604">
      <c r="A4604" s="12" t="inlineStr">
        <is>
          <t>I-I-0001</t>
        </is>
      </c>
      <c r="B4604" s="12" t="inlineStr">
        <is>
          <t>I</t>
        </is>
      </c>
      <c r="C4604" s="12" t="inlineStr">
        <is>
          <t>Modular / portable power</t>
        </is>
      </c>
      <c r="D4604" s="12" t="inlineStr">
        <is>
          <t>AX-GSU monitoring: temperatures, gas relay, oil level</t>
        </is>
      </c>
      <c r="E4604" s="12" t="inlineStr">
        <is>
          <t>AX-1</t>
        </is>
      </c>
      <c r="F4604" s="12" t="inlineStr">
        <is>
          <t xml:space="preserve">AX-1: compact modular aeroderivative installation, LM2500XPRESS class </t>
        </is>
      </c>
      <c r="G4604" s="12" t="inlineStr">
        <is>
          <t>AX-GSU</t>
        </is>
      </c>
      <c r="H4604" s="12" t="inlineStr">
        <is>
          <t>AX-GSU: 13.8 / 34.5 kV step-up, ~45 MVA (AX-1 unit step-up)</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Duct bank</t>
        </is>
      </c>
      <c r="T4604" s="15" t="n">
        <v>28</v>
      </c>
      <c r="U4604" s="15" t="n">
        <v>32</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I-I-0002</t>
        </is>
      </c>
      <c r="B4605" s="12" t="inlineStr">
        <is>
          <t>I</t>
        </is>
      </c>
      <c r="C4605" s="12" t="inlineStr">
        <is>
          <t>Modular / portable power</t>
        </is>
      </c>
      <c r="D4605" s="12" t="inlineStr">
        <is>
          <t>Analog instrument to JB JB-Aqueous ammonia (S-AI01: 6 x 1 pr (field cables)</t>
        </is>
      </c>
      <c r="E4605" s="12" t="inlineStr"/>
      <c r="F4605" s="12" t="inlineStr">
        <is>
          <t>Aqueous ammonia (SC units)</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6</v>
      </c>
      <c r="O4605" s="12" t="n">
        <v>1</v>
      </c>
      <c r="P4605" s="12" t="n"/>
      <c r="Q4605" s="12" t="n"/>
      <c r="R4605" s="12" t="n"/>
      <c r="S4605" s="12" t="inlineStr">
        <is>
          <t>Tray / conduit</t>
        </is>
      </c>
      <c r="T4605" s="15" t="n">
        <v>55</v>
      </c>
      <c r="U4605" s="15" t="n">
        <v>10</v>
      </c>
      <c r="V4605" s="15">
        <f>ROUNDUP((T4605+U4605+2*'Read Me'!$B$13)*(1+'Read Me'!$B$12),-1)</f>
        <v/>
      </c>
      <c r="W4605" s="15">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I-I-0003</t>
        </is>
      </c>
      <c r="B4606" s="12" t="inlineStr">
        <is>
          <t>I</t>
        </is>
      </c>
      <c r="C4606" s="12" t="inlineStr">
        <is>
          <t>Modular / portable power</t>
        </is>
      </c>
      <c r="D4606" s="12" t="inlineStr">
        <is>
          <t>Home run JB-Aqueous ammonia (S-AI01 to the control / marshalling room</t>
        </is>
      </c>
      <c r="E4606" s="12" t="inlineStr"/>
      <c r="F4606" s="12" t="inlineStr">
        <is>
          <t>SC-2 PCM + 15 kV GCB</t>
        </is>
      </c>
      <c r="G4606" s="12" t="inlineStr">
        <is>
          <t>JB-Aqueous ammonia (S-AI01</t>
        </is>
      </c>
      <c r="H4606" s="12" t="inlineStr">
        <is>
          <t>Aqueous ammonia (SC units)</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5" t="n">
        <v>0</v>
      </c>
      <c r="U4606" s="15" t="n">
        <v>98</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I-I-0004</t>
        </is>
      </c>
      <c r="B4607" s="12" t="inlineStr">
        <is>
          <t>I</t>
        </is>
      </c>
      <c r="C4607" s="12" t="inlineStr">
        <is>
          <t>Modular / portable power</t>
        </is>
      </c>
      <c r="D4607" s="12" t="inlineStr">
        <is>
          <t>Discrete device to JB JB-Aqueous ammonia (S-DI01: 6 x 1 pr (field cables)</t>
        </is>
      </c>
      <c r="E4607" s="12" t="inlineStr"/>
      <c r="F4607" s="12" t="inlineStr">
        <is>
          <t>Aqueous ammonia (SC units)</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6</v>
      </c>
      <c r="O4607" s="12" t="n">
        <v>1</v>
      </c>
      <c r="P4607" s="12" t="n"/>
      <c r="Q4607" s="12" t="n"/>
      <c r="R4607" s="12" t="n"/>
      <c r="S4607" s="12" t="inlineStr">
        <is>
          <t>Tray / conduit</t>
        </is>
      </c>
      <c r="T4607" s="15" t="n">
        <v>55</v>
      </c>
      <c r="U4607" s="15" t="n">
        <v>10</v>
      </c>
      <c r="V4607" s="15">
        <f>ROUNDUP((T4607+U4607+2*'Read Me'!$B$13)*(1+'Read Me'!$B$12),-1)</f>
        <v/>
      </c>
      <c r="W4607" s="15">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I-I-0005</t>
        </is>
      </c>
      <c r="B4608" s="12" t="inlineStr">
        <is>
          <t>I</t>
        </is>
      </c>
      <c r="C4608" s="12" t="inlineStr">
        <is>
          <t>Modular / portable power</t>
        </is>
      </c>
      <c r="D4608" s="12" t="inlineStr">
        <is>
          <t>Home run JB-Aqueous ammonia (S-DI01 to the control / marshalling room</t>
        </is>
      </c>
      <c r="E4608" s="12" t="inlineStr"/>
      <c r="F4608" s="12" t="inlineStr">
        <is>
          <t>SC-2 PCM + 15 kV GCB</t>
        </is>
      </c>
      <c r="G4608" s="12" t="inlineStr">
        <is>
          <t>JB-Aqueous ammonia (S-DI01</t>
        </is>
      </c>
      <c r="H4608" s="12" t="inlineStr">
        <is>
          <t>Aqueous ammonia (SC units)</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5" t="n">
        <v>0</v>
      </c>
      <c r="U4608" s="15" t="n">
        <v>98</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I-I-0006</t>
        </is>
      </c>
      <c r="B4609" s="12" t="inlineStr">
        <is>
          <t>I</t>
        </is>
      </c>
      <c r="C4609" s="12" t="inlineStr">
        <is>
          <t>Modular / portable power</t>
        </is>
      </c>
      <c r="D4609" s="12" t="inlineStr">
        <is>
          <t>Analog instrument to JB JB-Black-start genset-AI01: 20 x 1 pr (field cables)</t>
        </is>
      </c>
      <c r="E4609" s="12" t="inlineStr"/>
      <c r="F4609" s="12" t="inlineStr">
        <is>
          <t>Black-start genset (proposed; requires study)</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5" t="n">
        <v>59</v>
      </c>
      <c r="U4609" s="15" t="n">
        <v>10</v>
      </c>
      <c r="V4609" s="15">
        <f>ROUNDUP((T4609+U4609+2*'Read Me'!$B$13)*(1+'Read Me'!$B$12),-1)</f>
        <v/>
      </c>
      <c r="W4609" s="15">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I-I-0007</t>
        </is>
      </c>
      <c r="B4610" s="12" t="inlineStr">
        <is>
          <t>I</t>
        </is>
      </c>
      <c r="C4610" s="12" t="inlineStr">
        <is>
          <t>Modular / portable power</t>
        </is>
      </c>
      <c r="D4610" s="12" t="inlineStr">
        <is>
          <t>Home run JB-Black-start genset-AI01 to the control / marshalling room</t>
        </is>
      </c>
      <c r="E4610" s="12" t="inlineStr"/>
      <c r="F4610" s="12" t="inlineStr">
        <is>
          <t>PCM: power control module</t>
        </is>
      </c>
      <c r="G4610" s="12" t="inlineStr">
        <is>
          <t>JB-Black-start genset-AI01</t>
        </is>
      </c>
      <c r="H4610" s="12" t="inlineStr">
        <is>
          <t>Black-start genset (proposed; requires study)</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5" t="n">
        <v>590</v>
      </c>
      <c r="U4610" s="15" t="n">
        <v>32</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I-I-0008</t>
        </is>
      </c>
      <c r="B4611" s="12" t="inlineStr">
        <is>
          <t>I</t>
        </is>
      </c>
      <c r="C4611" s="12" t="inlineStr">
        <is>
          <t>Modular / portable power</t>
        </is>
      </c>
      <c r="D4611" s="12" t="inlineStr">
        <is>
          <t>Discrete device to JB JB-Black-start genset-DI01: 20 x 1 pr (field cables)</t>
        </is>
      </c>
      <c r="E4611" s="12" t="inlineStr"/>
      <c r="F4611" s="12" t="inlineStr">
        <is>
          <t>Black-start genset (proposed; requires study)</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20</v>
      </c>
      <c r="O4611" s="12" t="n">
        <v>1</v>
      </c>
      <c r="P4611" s="12" t="n"/>
      <c r="Q4611" s="12" t="n"/>
      <c r="R4611" s="12" t="n"/>
      <c r="S4611" s="12" t="inlineStr">
        <is>
          <t>Tray / conduit</t>
        </is>
      </c>
      <c r="T4611" s="15" t="n">
        <v>59</v>
      </c>
      <c r="U4611" s="15" t="n">
        <v>10</v>
      </c>
      <c r="V4611" s="15">
        <f>ROUNDUP((T4611+U4611+2*'Read Me'!$B$13)*(1+'Read Me'!$B$12),-1)</f>
        <v/>
      </c>
      <c r="W4611" s="15">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I-I-0009</t>
        </is>
      </c>
      <c r="B4612" s="12" t="inlineStr">
        <is>
          <t>I</t>
        </is>
      </c>
      <c r="C4612" s="12" t="inlineStr">
        <is>
          <t>Modular / portable power</t>
        </is>
      </c>
      <c r="D4612" s="12" t="inlineStr">
        <is>
          <t>Home run JB-Black-start genset-DI01 to the control / marshalling room</t>
        </is>
      </c>
      <c r="E4612" s="12" t="inlineStr"/>
      <c r="F4612" s="12" t="inlineStr">
        <is>
          <t>PCM: power control module</t>
        </is>
      </c>
      <c r="G4612" s="12" t="inlineStr">
        <is>
          <t>JB-Black-start genset-DI01</t>
        </is>
      </c>
      <c r="H4612" s="12" t="inlineStr">
        <is>
          <t>Black-start genset (proposed; requires study)</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5" t="n">
        <v>590</v>
      </c>
      <c r="U4612" s="15" t="n">
        <v>32</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I-I-0010</t>
        </is>
      </c>
      <c r="B4613" s="12" t="inlineStr">
        <is>
          <t>I</t>
        </is>
      </c>
      <c r="C4613" s="12" t="inlineStr">
        <is>
          <t>Modular / portable power</t>
        </is>
      </c>
      <c r="D4613" s="12" t="inlineStr">
        <is>
          <t>Analog instrument to JB JB-Black-start genset-AI01: 20 x 1 pr (field cables)</t>
        </is>
      </c>
      <c r="E4613" s="12" t="inlineStr"/>
      <c r="F4613" s="12" t="inlineStr">
        <is>
          <t>Black-start genset (proposed; requires study)</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5" t="n">
        <v>59</v>
      </c>
      <c r="U4613" s="15" t="n">
        <v>10</v>
      </c>
      <c r="V4613" s="15">
        <f>ROUNDUP((T4613+U4613+2*'Read Me'!$B$13)*(1+'Read Me'!$B$12),-1)</f>
        <v/>
      </c>
      <c r="W4613" s="15">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I-I-0011</t>
        </is>
      </c>
      <c r="B4614" s="12" t="inlineStr">
        <is>
          <t>I</t>
        </is>
      </c>
      <c r="C4614" s="12" t="inlineStr">
        <is>
          <t>Modular / portable power</t>
        </is>
      </c>
      <c r="D4614" s="12" t="inlineStr">
        <is>
          <t>Home run JB-Black-start genset-AI01 to the control / marshalling room</t>
        </is>
      </c>
      <c r="E4614" s="12" t="inlineStr"/>
      <c r="F4614" s="12" t="inlineStr">
        <is>
          <t>PCM: power control module</t>
        </is>
      </c>
      <c r="G4614" s="12" t="inlineStr">
        <is>
          <t>JB-Black-start genset-AI01</t>
        </is>
      </c>
      <c r="H4614" s="12" t="inlineStr">
        <is>
          <t>Black-start genset (proposed; requires study)</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5" t="n">
        <v>590</v>
      </c>
      <c r="U4614" s="15" t="n">
        <v>40</v>
      </c>
      <c r="V4614" s="15">
        <f>ROUNDUP((T4614+U4614+2*'Read Me'!$B$13)*(1+'Read Me'!$B$12),-1)</f>
        <v/>
      </c>
      <c r="W4614" s="15">
        <f>V4614*N4614*O4614</f>
        <v/>
      </c>
      <c r="X4614" s="12">
        <f>IF(LEFT(I4614,2)="MV",2*N4614*IF(L4614="1/C",O4614,1),0)</f>
        <v/>
      </c>
      <c r="Y4614" s="12">
        <f>IF(OR(LEFT(K4614,4)="LVAX",LEFT(K4614,6)="MV15AX",LEFT(K4614,4)="CTAX",LEFT(K4614,2)="W|"),2*N4614*O4614,0)</f>
        <v/>
      </c>
      <c r="Z4614" s="12" t="inlineStr"/>
      <c r="AA4614" s="12">
        <f>N4614*O4614</f>
        <v/>
      </c>
    </row>
    <row r="4615">
      <c r="A4615" s="12" t="inlineStr">
        <is>
          <t>I-I-0012</t>
        </is>
      </c>
      <c r="B4615" s="12" t="inlineStr">
        <is>
          <t>I</t>
        </is>
      </c>
      <c r="C4615" s="12" t="inlineStr">
        <is>
          <t>Modular / portable power</t>
        </is>
      </c>
      <c r="D4615" s="12" t="inlineStr">
        <is>
          <t>Discrete device to JB JB-Black-start genset-DI01: 20 x 1 pr (field cables)</t>
        </is>
      </c>
      <c r="E4615" s="12" t="inlineStr"/>
      <c r="F4615" s="12" t="inlineStr">
        <is>
          <t>Black-start genset (proposed; requires study)</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5" t="n">
        <v>59</v>
      </c>
      <c r="U4615" s="15" t="n">
        <v>10</v>
      </c>
      <c r="V4615" s="15">
        <f>ROUNDUP((T4615+U4615+2*'Read Me'!$B$13)*(1+'Read Me'!$B$12),-1)</f>
        <v/>
      </c>
      <c r="W4615" s="15">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I-I-0013</t>
        </is>
      </c>
      <c r="B4616" s="12" t="inlineStr">
        <is>
          <t>I</t>
        </is>
      </c>
      <c r="C4616" s="12" t="inlineStr">
        <is>
          <t>Modular / portable power</t>
        </is>
      </c>
      <c r="D4616" s="12" t="inlineStr">
        <is>
          <t>Home run JB-Black-start genset-DI01 to the control / marshalling room</t>
        </is>
      </c>
      <c r="E4616" s="12" t="inlineStr"/>
      <c r="F4616" s="12" t="inlineStr">
        <is>
          <t>PCM: power control module</t>
        </is>
      </c>
      <c r="G4616" s="12" t="inlineStr">
        <is>
          <t>JB-Black-start genset-DI01</t>
        </is>
      </c>
      <c r="H4616" s="12" t="inlineStr">
        <is>
          <t>Black-start genset (proposed; requires study)</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5" t="n">
        <v>590</v>
      </c>
      <c r="U4616" s="15" t="n">
        <v>40</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I-I-0014</t>
        </is>
      </c>
      <c r="B4617" s="12" t="inlineStr">
        <is>
          <t>I</t>
        </is>
      </c>
      <c r="C4617" s="12" t="inlineStr">
        <is>
          <t>Modular / portable power</t>
        </is>
      </c>
      <c r="D4617" s="12" t="inlineStr">
        <is>
          <t>CGE-1 instrumentation</t>
        </is>
      </c>
      <c r="E4617" s="12" t="inlineStr">
        <is>
          <t>CGE-SWG</t>
        </is>
      </c>
      <c r="F4617" s="12" t="inlineStr">
        <is>
          <t>CGE-SWG: 13.8 kV switchgear container (engine breakers, site feeder)</t>
        </is>
      </c>
      <c r="G4617" s="12" t="inlineStr">
        <is>
          <t>CGE-1</t>
        </is>
      </c>
      <c r="H4617" s="12" t="inlineStr">
        <is>
          <t>CGE-1: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65</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I-I-0015</t>
        </is>
      </c>
      <c r="B4618" s="12" t="inlineStr">
        <is>
          <t>I</t>
        </is>
      </c>
      <c r="C4618" s="12" t="inlineStr">
        <is>
          <t>Modular / portable power</t>
        </is>
      </c>
      <c r="D4618" s="12" t="inlineStr">
        <is>
          <t>CGE-2 instrumentation</t>
        </is>
      </c>
      <c r="E4618" s="12" t="inlineStr">
        <is>
          <t>CGE-SWG</t>
        </is>
      </c>
      <c r="F4618" s="12" t="inlineStr">
        <is>
          <t>CGE-SWG: 13.8 kV switchgear container (engine breakers, site feeder)</t>
        </is>
      </c>
      <c r="G4618" s="12" t="inlineStr">
        <is>
          <t>CGE-2</t>
        </is>
      </c>
      <c r="H4618" s="12" t="inlineStr">
        <is>
          <t>CGE-2: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47</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I-I-0016</t>
        </is>
      </c>
      <c r="B4619" s="12" t="inlineStr">
        <is>
          <t>I</t>
        </is>
      </c>
      <c r="C4619" s="12" t="inlineStr">
        <is>
          <t>Modular / portable power</t>
        </is>
      </c>
      <c r="D4619" s="12" t="inlineStr">
        <is>
          <t>CGE-3 instrumentation</t>
        </is>
      </c>
      <c r="E4619" s="12" t="inlineStr">
        <is>
          <t>CGE-SWG</t>
        </is>
      </c>
      <c r="F4619" s="12" t="inlineStr">
        <is>
          <t>CGE-SWG: 13.8 kV switchgear container (engine breakers, site feeder)</t>
        </is>
      </c>
      <c r="G4619" s="12" t="inlineStr">
        <is>
          <t>CGE-3</t>
        </is>
      </c>
      <c r="H4619" s="12" t="inlineStr">
        <is>
          <t>CGE-3: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46</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I-I-0017</t>
        </is>
      </c>
      <c r="B4620" s="12" t="inlineStr">
        <is>
          <t>I</t>
        </is>
      </c>
      <c r="C4620" s="12" t="inlineStr">
        <is>
          <t>Modular / portable power</t>
        </is>
      </c>
      <c r="D4620" s="12" t="inlineStr">
        <is>
          <t>CGE-4 instrumentation</t>
        </is>
      </c>
      <c r="E4620" s="12" t="inlineStr">
        <is>
          <t>CGE-SWG</t>
        </is>
      </c>
      <c r="F4620" s="12" t="inlineStr">
        <is>
          <t>CGE-SWG: 13.8 kV switchgear container (engine breakers, site feeder)</t>
        </is>
      </c>
      <c r="G4620" s="12" t="inlineStr">
        <is>
          <t>CGE-4</t>
        </is>
      </c>
      <c r="H4620" s="12" t="inlineStr">
        <is>
          <t>CGE-4: containerized gas-engine generator ~4.4 MW, 13.8 kV (40 ft engi</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29</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I-I-0018</t>
        </is>
      </c>
      <c r="B4621" s="12" t="inlineStr">
        <is>
          <t>I</t>
        </is>
      </c>
      <c r="C4621" s="12" t="inlineStr">
        <is>
          <t>Modular / portable power</t>
        </is>
      </c>
      <c r="D4621" s="12" t="inlineStr">
        <is>
          <t>CGE-AUX monitoring: temperatures, gas relay, oil level</t>
        </is>
      </c>
      <c r="E4621" s="12" t="inlineStr">
        <is>
          <t>CGE-SWG</t>
        </is>
      </c>
      <c r="F4621" s="12" t="inlineStr">
        <is>
          <t>CGE-SWG: 13.8 kV switchgear container (engine breakers, site feeder)</t>
        </is>
      </c>
      <c r="G4621" s="12" t="inlineStr">
        <is>
          <t>CGE-AUX</t>
        </is>
      </c>
      <c r="H4621" s="12" t="inlineStr">
        <is>
          <t>CGE-AUX: 13.8 / 0.48 kV auxiliary transformer (cooling containers, rad</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12</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I-I-0019</t>
        </is>
      </c>
      <c r="B4622" s="12" t="inlineStr">
        <is>
          <t>I</t>
        </is>
      </c>
      <c r="C4622" s="12" t="inlineStr">
        <is>
          <t>Modular / portable power</t>
        </is>
      </c>
      <c r="D4622" s="12" t="inlineStr">
        <is>
          <t>CGE-GSU monitoring: temperatures, gas relay, oil level</t>
        </is>
      </c>
      <c r="E4622" s="12" t="inlineStr">
        <is>
          <t>CGE-SWG</t>
        </is>
      </c>
      <c r="F4622" s="12" t="inlineStr">
        <is>
          <t>CGE-SWG: 13.8 kV switchgear container (engine breakers, site feeder)</t>
        </is>
      </c>
      <c r="G4622" s="12" t="inlineStr">
        <is>
          <t>CGE-GSU</t>
        </is>
      </c>
      <c r="H4622" s="12" t="inlineStr">
        <is>
          <t>CGE-GSU: 13.8 / 34.5 kV step-up, ~20 MVA (containerized engines)</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10</v>
      </c>
      <c r="U4622" s="15" t="n">
        <v>32</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I-I-0020</t>
        </is>
      </c>
      <c r="B4623" s="12" t="inlineStr">
        <is>
          <t>I</t>
        </is>
      </c>
      <c r="C4623" s="12" t="inlineStr">
        <is>
          <t>Modular / portable power</t>
        </is>
      </c>
      <c r="D4623" s="12" t="inlineStr">
        <is>
          <t>CHP-1 instrumentation (incl. heat-recovery temperatures)</t>
        </is>
      </c>
      <c r="E4623" s="12" t="inlineStr">
        <is>
          <t>CHP-SWG</t>
        </is>
      </c>
      <c r="F4623" s="12" t="inlineStr">
        <is>
          <t>CHP-SWG: 13.8 kV switchgear container (4 engine breakers, site feeder)</t>
        </is>
      </c>
      <c r="G4623" s="12" t="inlineStr">
        <is>
          <t>CHP-1</t>
        </is>
      </c>
      <c r="H4623" s="12" t="inlineStr">
        <is>
          <t>CHP-1: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77</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I-I-0021</t>
        </is>
      </c>
      <c r="B4624" s="12" t="inlineStr">
        <is>
          <t>I</t>
        </is>
      </c>
      <c r="C4624" s="12" t="inlineStr">
        <is>
          <t>Modular / portable power</t>
        </is>
      </c>
      <c r="D4624" s="12" t="inlineStr">
        <is>
          <t>CHP-2 instrumentation (incl. heat-recovery temperatures)</t>
        </is>
      </c>
      <c r="E4624" s="12" t="inlineStr">
        <is>
          <t>CHP-SWG</t>
        </is>
      </c>
      <c r="F4624" s="12" t="inlineStr">
        <is>
          <t>CHP-SWG: 13.8 kV switchgear container (4 engine breakers, site feeder)</t>
        </is>
      </c>
      <c r="G4624" s="12" t="inlineStr">
        <is>
          <t>CHP-2</t>
        </is>
      </c>
      <c r="H4624" s="12" t="inlineStr">
        <is>
          <t>CHP-2: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58</v>
      </c>
      <c r="U4624" s="15" t="n">
        <v>32</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I-I-0022</t>
        </is>
      </c>
      <c r="B4625" s="12" t="inlineStr">
        <is>
          <t>I</t>
        </is>
      </c>
      <c r="C4625" s="12" t="inlineStr">
        <is>
          <t>Modular / portable power</t>
        </is>
      </c>
      <c r="D4625" s="12" t="inlineStr">
        <is>
          <t>CHP-3 instrumentation (incl. heat-recovery temperatures)</t>
        </is>
      </c>
      <c r="E4625" s="12" t="inlineStr">
        <is>
          <t>CHP-SWG</t>
        </is>
      </c>
      <c r="F4625" s="12" t="inlineStr">
        <is>
          <t>CHP-SWG: 13.8 kV switchgear container (4 engine breakers, site feeder)</t>
        </is>
      </c>
      <c r="G4625" s="12" t="inlineStr">
        <is>
          <t>CHP-3</t>
        </is>
      </c>
      <c r="H4625" s="12" t="inlineStr">
        <is>
          <t>CHP-3: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33</v>
      </c>
      <c r="U4625" s="15" t="n">
        <v>33</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I-I-0023</t>
        </is>
      </c>
      <c r="B4626" s="12" t="inlineStr">
        <is>
          <t>I</t>
        </is>
      </c>
      <c r="C4626" s="12" t="inlineStr">
        <is>
          <t>Modular / portable power</t>
        </is>
      </c>
      <c r="D4626" s="12" t="inlineStr">
        <is>
          <t>CHP-4 instrumentation (incl. heat-recovery temperatures)</t>
        </is>
      </c>
      <c r="E4626" s="12" t="inlineStr">
        <is>
          <t>CHP-SWG</t>
        </is>
      </c>
      <c r="F4626" s="12" t="inlineStr">
        <is>
          <t>CHP-SWG: 13.8 kV switchgear container (4 engine breakers, site feeder)</t>
        </is>
      </c>
      <c r="G4626" s="12" t="inlineStr">
        <is>
          <t>CHP-4</t>
        </is>
      </c>
      <c r="H4626" s="12" t="inlineStr">
        <is>
          <t>CHP-4: gas-engine generator ~2.5 MW with exhaust heat recovery, 13.8 k</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20</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I-I-0024</t>
        </is>
      </c>
      <c r="B4627" s="12" t="inlineStr">
        <is>
          <t>I</t>
        </is>
      </c>
      <c r="C4627" s="12" t="inlineStr">
        <is>
          <t>Modular / portable power</t>
        </is>
      </c>
      <c r="D4627" s="12" t="inlineStr">
        <is>
          <t>CHP-AUX monitoring: temperatures, gas relay, oil level</t>
        </is>
      </c>
      <c r="E4627" s="12" t="inlineStr">
        <is>
          <t>CHP-SWG</t>
        </is>
      </c>
      <c r="F4627" s="12" t="inlineStr">
        <is>
          <t>CHP-SWG: 13.8 kV switchgear container (4 engine breakers, site feeder)</t>
        </is>
      </c>
      <c r="G4627" s="12" t="inlineStr">
        <is>
          <t>CHP-AUX</t>
        </is>
      </c>
      <c r="H4627" s="12" t="inlineStr">
        <is>
          <t>CHP-AUX: 13.8 / 0.48 kV, 750 kVA auxiliary pad-mount (engine auxiliari</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I-I-0025</t>
        </is>
      </c>
      <c r="B4628" s="12" t="inlineStr">
        <is>
          <t>I</t>
        </is>
      </c>
      <c r="C4628" s="12" t="inlineStr">
        <is>
          <t>Modular / portable power</t>
        </is>
      </c>
      <c r="D4628" s="12" t="inlineStr">
        <is>
          <t>CHP-HR heat-recovery instrumentation (flows, temperatures, valves)</t>
        </is>
      </c>
      <c r="E4628" s="12" t="inlineStr">
        <is>
          <t>CHP-SWG</t>
        </is>
      </c>
      <c r="F4628" s="12" t="inlineStr">
        <is>
          <t>CHP-SWG: 13.8 kV switchgear container (4 engine breakers, site feeder)</t>
        </is>
      </c>
      <c r="G4628" s="12" t="inlineStr">
        <is>
          <t>CHP-HR</t>
        </is>
      </c>
      <c r="H4628" s="12" t="inlineStr">
        <is>
          <t>CHP-HR: exhaust heat-recovery rack (4 exhaust heat exchangers and stac</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40</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I-I-0026</t>
        </is>
      </c>
      <c r="B4629" s="12" t="inlineStr">
        <is>
          <t>I</t>
        </is>
      </c>
      <c r="C4629" s="12" t="inlineStr">
        <is>
          <t>Modular / portable power</t>
        </is>
      </c>
      <c r="D4629" s="12" t="inlineStr">
        <is>
          <t>Instrumentation</t>
        </is>
      </c>
      <c r="E4629" s="12" t="inlineStr"/>
      <c r="F4629" s="12" t="inlineStr">
        <is>
          <t>PCM: power control module</t>
        </is>
      </c>
      <c r="G4629" s="12" t="inlineStr"/>
      <c r="H4629" s="12" t="inlineStr">
        <is>
          <t>CONDITIONAL: BESS black-start alternative</t>
        </is>
      </c>
      <c r="I4629" s="12" t="inlineStr">
        <is>
          <t>Instrumentation</t>
        </is>
      </c>
      <c r="J4629" s="12" t="inlineStr">
        <is>
          <t>Instrumentation PLTC / TC-ER 300 V, #18 twisted shielded pairs, overall shield</t>
        </is>
      </c>
      <c r="K4629" s="12" t="inlineStr">
        <is>
          <t>PLTC|4 pr|18</t>
        </is>
      </c>
      <c r="L4629" s="12" t="inlineStr">
        <is>
          <t>4 pr</t>
        </is>
      </c>
      <c r="M4629" s="12" t="inlineStr">
        <is>
          <t>18</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I-I-0027</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I-I-0028</t>
        </is>
      </c>
      <c r="B4631" s="12" t="inlineStr">
        <is>
          <t>I</t>
        </is>
      </c>
      <c r="C4631" s="12" t="inlineStr">
        <is>
          <t>Modular / portable power</t>
        </is>
      </c>
      <c r="D4631" s="12" t="inlineStr">
        <is>
          <t>Thermocouples</t>
        </is>
      </c>
      <c r="E4631" s="12" t="inlineStr"/>
      <c r="F4631" s="12" t="inlineStr">
        <is>
          <t>PCM: power control module</t>
        </is>
      </c>
      <c r="G4631" s="12" t="inlineStr"/>
      <c r="H4631" s="12" t="inlineStr">
        <is>
          <t>CONDITIONAL: BESS black-start alternative</t>
        </is>
      </c>
      <c r="I4631" s="12" t="inlineStr">
        <is>
          <t>Instrumentation</t>
        </is>
      </c>
      <c r="J4631" s="12" t="inlineStr">
        <is>
          <t>Thermocouple extension KX, #16 shielded pairs, PLTC</t>
        </is>
      </c>
      <c r="K4631" s="12" t="inlineStr">
        <is>
          <t>TCX|12 pr|16</t>
        </is>
      </c>
      <c r="L4631" s="12" t="inlineStr">
        <is>
          <t>12 pr</t>
        </is>
      </c>
      <c r="M4631" s="12" t="inlineStr">
        <is>
          <t>16</t>
        </is>
      </c>
      <c r="N4631" s="12" t="n">
        <v>1</v>
      </c>
      <c r="O4631" s="12" t="n">
        <v>1</v>
      </c>
      <c r="P4631" s="12" t="n"/>
      <c r="Q4631" s="12" t="n"/>
      <c r="R4631" s="12" t="n"/>
      <c r="S4631" s="12" t="inlineStr">
        <is>
          <t>Duct bank</t>
        </is>
      </c>
      <c r="T4631" s="15" t="n">
        <v>516</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I-I-0029</t>
        </is>
      </c>
      <c r="B4632" s="12" t="inlineStr">
        <is>
          <t>I</t>
        </is>
      </c>
      <c r="C4632" s="12" t="inlineStr">
        <is>
          <t>Modular / portable power</t>
        </is>
      </c>
      <c r="D4632" s="12" t="inlineStr">
        <is>
          <t>Instrumentation</t>
        </is>
      </c>
      <c r="E4632" s="12" t="inlineStr"/>
      <c r="F4632" s="12" t="inlineStr">
        <is>
          <t>SC-1 PCM + 15 kV GCB</t>
        </is>
      </c>
      <c r="G4632" s="12" t="inlineStr"/>
      <c r="H4632" s="12" t="inlineStr">
        <is>
          <t>CONDITIONAL: SC-1 inlet chiller / evaporative cooler</t>
        </is>
      </c>
      <c r="I4632" s="12" t="inlineStr">
        <is>
          <t>Instrumentation</t>
        </is>
      </c>
      <c r="J4632" s="12" t="inlineStr">
        <is>
          <t>Instrumentation PLTC / TC-ER 300 V, #18 twisted shielded pairs, overall shield</t>
        </is>
      </c>
      <c r="K4632" s="12" t="inlineStr">
        <is>
          <t>PLTC|4 pr|18</t>
        </is>
      </c>
      <c r="L4632" s="12" t="inlineStr">
        <is>
          <t>4 pr</t>
        </is>
      </c>
      <c r="M4632" s="12" t="inlineStr">
        <is>
          <t>18</t>
        </is>
      </c>
      <c r="N4632" s="12" t="n">
        <v>1</v>
      </c>
      <c r="O4632" s="12" t="n">
        <v>1</v>
      </c>
      <c r="P4632" s="12" t="n"/>
      <c r="Q4632" s="12" t="n"/>
      <c r="R4632" s="12" t="n"/>
      <c r="S4632" s="12" t="inlineStr">
        <is>
          <t>Duct bank</t>
        </is>
      </c>
      <c r="T4632" s="15" t="n">
        <v>246</v>
      </c>
      <c r="U4632" s="15" t="n">
        <v>61</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I-I-0030</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246</v>
      </c>
      <c r="U4633" s="15" t="n">
        <v>61</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I-I-0031</t>
        </is>
      </c>
      <c r="B4634" s="12" t="inlineStr">
        <is>
          <t>I</t>
        </is>
      </c>
      <c r="C4634" s="12" t="inlineStr">
        <is>
          <t>Modular / portable power</t>
        </is>
      </c>
      <c r="D4634" s="12" t="inlineStr">
        <is>
          <t>Thermocouples</t>
        </is>
      </c>
      <c r="E4634" s="12" t="inlineStr"/>
      <c r="F4634" s="12" t="inlineStr">
        <is>
          <t>SC-1 PCM + 15 kV GCB</t>
        </is>
      </c>
      <c r="G4634" s="12" t="inlineStr"/>
      <c r="H4634" s="12" t="inlineStr">
        <is>
          <t>CONDITIONAL: SC-1 inlet chiller / evaporative cooler</t>
        </is>
      </c>
      <c r="I4634" s="12" t="inlineStr">
        <is>
          <t>Instrumentation</t>
        </is>
      </c>
      <c r="J4634" s="12" t="inlineStr">
        <is>
          <t>Thermocouple extension KX, #16 shielded pairs, PLTC</t>
        </is>
      </c>
      <c r="K4634" s="12" t="inlineStr">
        <is>
          <t>TCX|12 pr|16</t>
        </is>
      </c>
      <c r="L4634" s="12" t="inlineStr">
        <is>
          <t>12 pr</t>
        </is>
      </c>
      <c r="M4634" s="12" t="inlineStr">
        <is>
          <t>16</t>
        </is>
      </c>
      <c r="N4634" s="12" t="n">
        <v>1</v>
      </c>
      <c r="O4634" s="12" t="n">
        <v>1</v>
      </c>
      <c r="P4634" s="12" t="n"/>
      <c r="Q4634" s="12" t="n"/>
      <c r="R4634" s="12" t="n"/>
      <c r="S4634" s="12" t="inlineStr">
        <is>
          <t>Duct bank</t>
        </is>
      </c>
      <c r="T4634" s="15" t="n">
        <v>246</v>
      </c>
      <c r="U4634" s="15" t="n">
        <v>61</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I-I-0032</t>
        </is>
      </c>
      <c r="B4635" s="12" t="inlineStr">
        <is>
          <t>I</t>
        </is>
      </c>
      <c r="C4635" s="12" t="inlineStr">
        <is>
          <t>Modular / portable power</t>
        </is>
      </c>
      <c r="D4635" s="12" t="inlineStr">
        <is>
          <t>Instrumentation</t>
        </is>
      </c>
      <c r="E4635" s="12" t="inlineStr"/>
      <c r="F4635" s="12" t="inlineStr">
        <is>
          <t>SC-2 PCM + 15 kV GCB</t>
        </is>
      </c>
      <c r="G4635" s="12" t="inlineStr"/>
      <c r="H4635" s="12" t="inlineStr">
        <is>
          <t>CONDITIONAL: SC-2 inlet chiller / evaporative cooler</t>
        </is>
      </c>
      <c r="I4635" s="12" t="inlineStr">
        <is>
          <t>Instrumentation</t>
        </is>
      </c>
      <c r="J4635" s="12" t="inlineStr">
        <is>
          <t>Instrumentation PLTC / TC-ER 300 V, #18 twisted shielded pairs, overall shield</t>
        </is>
      </c>
      <c r="K4635" s="12" t="inlineStr">
        <is>
          <t>PLTC|4 pr|18</t>
        </is>
      </c>
      <c r="L4635" s="12" t="inlineStr">
        <is>
          <t>4 pr</t>
        </is>
      </c>
      <c r="M4635" s="12" t="inlineStr">
        <is>
          <t>18</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I-I-0033</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I-I-0034</t>
        </is>
      </c>
      <c r="B4637" s="12" t="inlineStr">
        <is>
          <t>I</t>
        </is>
      </c>
      <c r="C4637" s="12" t="inlineStr">
        <is>
          <t>Modular / portable power</t>
        </is>
      </c>
      <c r="D4637" s="12" t="inlineStr">
        <is>
          <t>Thermocouples</t>
        </is>
      </c>
      <c r="E4637" s="12" t="inlineStr"/>
      <c r="F4637" s="12" t="inlineStr">
        <is>
          <t>SC-2 PCM + 15 kV GCB</t>
        </is>
      </c>
      <c r="G4637" s="12" t="inlineStr"/>
      <c r="H4637" s="12" t="inlineStr">
        <is>
          <t>CONDITIONAL: SC-2 inlet chiller / evaporative cooler</t>
        </is>
      </c>
      <c r="I4637" s="12" t="inlineStr">
        <is>
          <t>Instrumentation</t>
        </is>
      </c>
      <c r="J4637" s="12" t="inlineStr">
        <is>
          <t>Thermocouple extension KX, #16 shielded pairs, PLTC</t>
        </is>
      </c>
      <c r="K4637" s="12" t="inlineStr">
        <is>
          <t>TCX|12 pr|16</t>
        </is>
      </c>
      <c r="L4637" s="12" t="inlineStr">
        <is>
          <t>12 pr</t>
        </is>
      </c>
      <c r="M4637" s="12" t="inlineStr">
        <is>
          <t>16</t>
        </is>
      </c>
      <c r="N4637" s="12" t="n">
        <v>1</v>
      </c>
      <c r="O4637" s="12" t="n">
        <v>1</v>
      </c>
      <c r="P4637" s="12" t="n"/>
      <c r="Q4637" s="12" t="n"/>
      <c r="R4637" s="12" t="n"/>
      <c r="S4637" s="12" t="inlineStr">
        <is>
          <t>Duct bank</t>
        </is>
      </c>
      <c r="T4637" s="15" t="n">
        <v>10</v>
      </c>
      <c r="U4637" s="15" t="n">
        <v>106</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I-I-0035</t>
        </is>
      </c>
      <c r="B4638" s="12" t="inlineStr">
        <is>
          <t>I</t>
        </is>
      </c>
      <c r="C4638" s="12" t="inlineStr">
        <is>
          <t>Modular / portable power</t>
        </is>
      </c>
      <c r="D4638" s="12" t="inlineStr">
        <is>
          <t>Analog instrument to JB JB-Demin tank + trail-AI01: 4 x 1 pr (field cables)</t>
        </is>
      </c>
      <c r="E4638" s="12" t="inlineStr"/>
      <c r="F4638" s="12" t="inlineStr">
        <is>
          <t>Demin tank + trailer pad</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4</v>
      </c>
      <c r="O4638" s="12" t="n">
        <v>1</v>
      </c>
      <c r="P4638" s="12" t="n"/>
      <c r="Q4638" s="12" t="n"/>
      <c r="R4638" s="12" t="n"/>
      <c r="S4638" s="12" t="inlineStr">
        <is>
          <t>Tray / conduit</t>
        </is>
      </c>
      <c r="T4638" s="15" t="n">
        <v>78</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I-I-0036</t>
        </is>
      </c>
      <c r="B4639" s="12" t="inlineStr">
        <is>
          <t>I</t>
        </is>
      </c>
      <c r="C4639" s="12" t="inlineStr">
        <is>
          <t>Modular / portable power</t>
        </is>
      </c>
      <c r="D4639" s="12" t="inlineStr">
        <is>
          <t>Home run JB-Demin tank + trail-AI01 to the control / marshalling room</t>
        </is>
      </c>
      <c r="E4639" s="12" t="inlineStr"/>
      <c r="F4639" s="12" t="inlineStr">
        <is>
          <t>SC-2 PCM + 15 kV GCB</t>
        </is>
      </c>
      <c r="G4639" s="12" t="inlineStr">
        <is>
          <t>JB-Demin tank + trail-AI01</t>
        </is>
      </c>
      <c r="H4639" s="12" t="inlineStr">
        <is>
          <t>Demin tank + trailer pad</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5" t="n">
        <v>8</v>
      </c>
      <c r="U4639" s="15" t="n">
        <v>64</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I-I-0037</t>
        </is>
      </c>
      <c r="B4640" s="12" t="inlineStr">
        <is>
          <t>I</t>
        </is>
      </c>
      <c r="C4640" s="12" t="inlineStr">
        <is>
          <t>Modular / portable power</t>
        </is>
      </c>
      <c r="D4640" s="12" t="inlineStr">
        <is>
          <t>Discrete device to JB JB-Demin tank + trail-DI01: 4 x 1 pr (field cables)</t>
        </is>
      </c>
      <c r="E4640" s="12" t="inlineStr"/>
      <c r="F4640" s="12" t="inlineStr">
        <is>
          <t>Demin tank + trailer pad</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4</v>
      </c>
      <c r="O4640" s="12" t="n">
        <v>1</v>
      </c>
      <c r="P4640" s="12" t="n"/>
      <c r="Q4640" s="12" t="n"/>
      <c r="R4640" s="12" t="n"/>
      <c r="S4640" s="12" t="inlineStr">
        <is>
          <t>Tray / conduit</t>
        </is>
      </c>
      <c r="T4640" s="15" t="n">
        <v>78</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I-I-0038</t>
        </is>
      </c>
      <c r="B4641" s="12" t="inlineStr">
        <is>
          <t>I</t>
        </is>
      </c>
      <c r="C4641" s="12" t="inlineStr">
        <is>
          <t>Modular / portable power</t>
        </is>
      </c>
      <c r="D4641" s="12" t="inlineStr">
        <is>
          <t>Home run JB-Demin tank + trail-DI01 to the control / marshalling room</t>
        </is>
      </c>
      <c r="E4641" s="12" t="inlineStr"/>
      <c r="F4641" s="12" t="inlineStr">
        <is>
          <t>SC-2 PCM + 15 kV GCB</t>
        </is>
      </c>
      <c r="G4641" s="12" t="inlineStr">
        <is>
          <t>JB-Demin tank + trail-DI01</t>
        </is>
      </c>
      <c r="H4641" s="12" t="inlineStr">
        <is>
          <t>Demin tank + trailer pad</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5" t="n">
        <v>8</v>
      </c>
      <c r="U4641" s="15" t="n">
        <v>64</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I-I-0039</t>
        </is>
      </c>
      <c r="B4642" s="12" t="inlineStr">
        <is>
          <t>I</t>
        </is>
      </c>
      <c r="C4642" s="12" t="inlineStr">
        <is>
          <t>Modular / portable power</t>
        </is>
      </c>
      <c r="D4642" s="12" t="inlineStr">
        <is>
          <t>Instrumentation</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Instrumentation PLTC / TC-ER 300 V, #18 twisted shielded pairs, overall shield</t>
        </is>
      </c>
      <c r="K4642" s="12" t="inlineStr">
        <is>
          <t>PLTC|4 pr|18</t>
        </is>
      </c>
      <c r="L4642" s="12" t="inlineStr">
        <is>
          <t>4 pr</t>
        </is>
      </c>
      <c r="M4642" s="12" t="inlineStr">
        <is>
          <t>18</t>
        </is>
      </c>
      <c r="N4642" s="12" t="n">
        <v>1</v>
      </c>
      <c r="O4642" s="12" t="n">
        <v>1</v>
      </c>
      <c r="P4642" s="12" t="n"/>
      <c r="Q4642" s="12" t="n"/>
      <c r="R4642" s="12" t="n"/>
      <c r="S4642" s="12" t="inlineStr">
        <is>
          <t>Surface</t>
        </is>
      </c>
      <c r="T4642" s="15" t="n">
        <v>230</v>
      </c>
      <c r="U4642" s="15" t="n">
        <v>27</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I-I-0040</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230</v>
      </c>
      <c r="U4643" s="15" t="n">
        <v>27</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I-I-0041</t>
        </is>
      </c>
      <c r="B4644" s="12" t="inlineStr">
        <is>
          <t>I</t>
        </is>
      </c>
      <c r="C4644" s="12" t="inlineStr">
        <is>
          <t>Modular / portable power</t>
        </is>
      </c>
      <c r="D4644" s="12" t="inlineStr">
        <is>
          <t>Thermocouples</t>
        </is>
      </c>
      <c r="E4644" s="12" t="inlineStr">
        <is>
          <t>PAD-EH</t>
        </is>
      </c>
      <c r="F4644" s="12" t="inlineStr">
        <is>
          <t>PAD-EH 13.8 kV switchgear e-house</t>
        </is>
      </c>
      <c r="G4644" s="12" t="inlineStr"/>
      <c r="H4644" s="12" t="inlineStr">
        <is>
          <t>FC-5..8 inverter / AC cabinet / desulfurizer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Surface</t>
        </is>
      </c>
      <c r="T4644" s="15" t="n">
        <v>230</v>
      </c>
      <c r="U4644" s="15" t="n">
        <v>27</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I-I-0042</t>
        </is>
      </c>
      <c r="B4645" s="12" t="inlineStr">
        <is>
          <t>I</t>
        </is>
      </c>
      <c r="C4645" s="12" t="inlineStr">
        <is>
          <t>Modular / portable power</t>
        </is>
      </c>
      <c r="D4645" s="12" t="inlineStr">
        <is>
          <t>Analog instrument to JB JB-FC-5-AI01: 10 x 1 pr (field cables)</t>
        </is>
      </c>
      <c r="E4645" s="12" t="inlineStr">
        <is>
          <t>FC-5</t>
        </is>
      </c>
      <c r="F4645" s="12" t="inlineStr">
        <is>
          <t>FC-5: SOFC module (200-300 kW class)</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PLTC|1 pr|16</t>
        </is>
      </c>
      <c r="L4645" s="12" t="inlineStr">
        <is>
          <t>1 pr</t>
        </is>
      </c>
      <c r="M4645" s="12" t="inlineStr">
        <is>
          <t>16</t>
        </is>
      </c>
      <c r="N4645" s="12" t="n">
        <v>10</v>
      </c>
      <c r="O4645" s="12" t="n">
        <v>1</v>
      </c>
      <c r="P4645" s="12" t="n"/>
      <c r="Q4645" s="12" t="n"/>
      <c r="R4645" s="12" t="n"/>
      <c r="S4645" s="12" t="inlineStr">
        <is>
          <t>Tray / conduit</t>
        </is>
      </c>
      <c r="T4645" s="15" t="n">
        <v>45</v>
      </c>
      <c r="U4645" s="15" t="n">
        <v>10</v>
      </c>
      <c r="V4645" s="15">
        <f>ROUNDUP((T4645+U4645+2*'Read Me'!$B$13)*(1+'Read Me'!$B$12),-1)</f>
        <v/>
      </c>
      <c r="W4645" s="15">
        <f>V4645*N4645*O4645</f>
        <v/>
      </c>
      <c r="X4645" s="12">
        <f>IF(LEFT(I4645,2)="MV",2*N4645*IF(L4645="1/C",O4645,1),0)</f>
        <v/>
      </c>
      <c r="Y4645" s="12">
        <f>IF(OR(LEFT(K4645,4)="LVAX",LEFT(K4645,6)="MV15AX",LEFT(K4645,4)="CTAX",LEFT(K4645,2)="W|"),2*N4645*O4645,0)</f>
        <v/>
      </c>
      <c r="Z4645" s="12" t="inlineStr">
        <is>
          <t>device-to-JB field wiring, one cable per device</t>
        </is>
      </c>
      <c r="AA4645" s="12">
        <f>N4645*O4645</f>
        <v/>
      </c>
    </row>
    <row r="4646">
      <c r="A4646" s="12" t="inlineStr">
        <is>
          <t>I-I-0043</t>
        </is>
      </c>
      <c r="B4646" s="12" t="inlineStr">
        <is>
          <t>I</t>
        </is>
      </c>
      <c r="C4646" s="12" t="inlineStr">
        <is>
          <t>Modular / portable power</t>
        </is>
      </c>
      <c r="D4646" s="12" t="inlineStr">
        <is>
          <t>Home run JB-FC-5-AI01 to the control / marshalling room</t>
        </is>
      </c>
      <c r="E4646" s="12" t="inlineStr">
        <is>
          <t>PAD-EH</t>
        </is>
      </c>
      <c r="F4646" s="12" t="inlineStr">
        <is>
          <t>PAD-EH 13.8 kV switchgear e-house</t>
        </is>
      </c>
      <c r="G4646" s="12" t="inlineStr">
        <is>
          <t>JB-FC-5-AI01</t>
        </is>
      </c>
      <c r="H4646" s="12" t="inlineStr">
        <is>
          <t>FC-5: SOFC module (200-300 kW class)</t>
        </is>
      </c>
      <c r="I4646" s="12" t="inlineStr">
        <is>
          <t>Instrumentation</t>
        </is>
      </c>
      <c r="J4646" s="12" t="inlineStr">
        <is>
          <t>Instrumentation PLTC / TC-ER 300 V, #18 twisted shielded pairs, overall shield</t>
        </is>
      </c>
      <c r="K4646" s="12" t="inlineStr">
        <is>
          <t>PLTC|24 pr|18</t>
        </is>
      </c>
      <c r="L4646" s="12" t="inlineStr">
        <is>
          <t>24 pr</t>
        </is>
      </c>
      <c r="M4646" s="12" t="inlineStr">
        <is>
          <t>18</t>
        </is>
      </c>
      <c r="N4646" s="12" t="n">
        <v>1</v>
      </c>
      <c r="O4646" s="12" t="n">
        <v>1</v>
      </c>
      <c r="P4646" s="12" t="n"/>
      <c r="Q4646" s="12" t="n"/>
      <c r="R4646" s="12" t="n"/>
      <c r="S4646" s="12" t="inlineStr">
        <is>
          <t>Surface</t>
        </is>
      </c>
      <c r="T4646" s="15" t="n">
        <v>241</v>
      </c>
      <c r="U4646" s="15" t="n">
        <v>35</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I-I-0044</t>
        </is>
      </c>
      <c r="B4647" s="12" t="inlineStr">
        <is>
          <t>I</t>
        </is>
      </c>
      <c r="C4647" s="12" t="inlineStr">
        <is>
          <t>Modular / portable power</t>
        </is>
      </c>
      <c r="D4647" s="12" t="inlineStr">
        <is>
          <t>Discrete device to JB JB-FC-5-DI01: 10 x 1 pr (field cables)</t>
        </is>
      </c>
      <c r="E4647" s="12" t="inlineStr">
        <is>
          <t>FC-5</t>
        </is>
      </c>
      <c r="F4647" s="12" t="inlineStr">
        <is>
          <t>FC-5: SOFC module (200-300 kW class)</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PLTC|1 pr|16</t>
        </is>
      </c>
      <c r="L4647" s="12" t="inlineStr">
        <is>
          <t>1 pr</t>
        </is>
      </c>
      <c r="M4647" s="12" t="inlineStr">
        <is>
          <t>16</t>
        </is>
      </c>
      <c r="N4647" s="12" t="n">
        <v>10</v>
      </c>
      <c r="O4647" s="12" t="n">
        <v>1</v>
      </c>
      <c r="P4647" s="12" t="n"/>
      <c r="Q4647" s="12" t="n"/>
      <c r="R4647" s="12" t="n"/>
      <c r="S4647" s="12" t="inlineStr">
        <is>
          <t>Tray / conduit</t>
        </is>
      </c>
      <c r="T4647" s="15" t="n">
        <v>45</v>
      </c>
      <c r="U4647" s="15" t="n">
        <v>10</v>
      </c>
      <c r="V4647" s="15">
        <f>ROUNDUP((T4647+U4647+2*'Read Me'!$B$13)*(1+'Read Me'!$B$12),-1)</f>
        <v/>
      </c>
      <c r="W4647" s="15">
        <f>V4647*N4647*O4647</f>
        <v/>
      </c>
      <c r="X4647" s="12">
        <f>IF(LEFT(I4647,2)="MV",2*N4647*IF(L4647="1/C",O4647,1),0)</f>
        <v/>
      </c>
      <c r="Y4647" s="12">
        <f>IF(OR(LEFT(K4647,4)="LVAX",LEFT(K4647,6)="MV15AX",LEFT(K4647,4)="CTAX",LEFT(K4647,2)="W|"),2*N4647*O4647,0)</f>
        <v/>
      </c>
      <c r="Z4647" s="12" t="inlineStr">
        <is>
          <t>device-to-JB field wiring, one cable per device</t>
        </is>
      </c>
      <c r="AA4647" s="12">
        <f>N4647*O4647</f>
        <v/>
      </c>
    </row>
    <row r="4648">
      <c r="A4648" s="12" t="inlineStr">
        <is>
          <t>I-I-0045</t>
        </is>
      </c>
      <c r="B4648" s="12" t="inlineStr">
        <is>
          <t>I</t>
        </is>
      </c>
      <c r="C4648" s="12" t="inlineStr">
        <is>
          <t>Modular / portable power</t>
        </is>
      </c>
      <c r="D4648" s="12" t="inlineStr">
        <is>
          <t>Home run JB-FC-5-DI01 to the control / marshalling room</t>
        </is>
      </c>
      <c r="E4648" s="12" t="inlineStr">
        <is>
          <t>PAD-EH</t>
        </is>
      </c>
      <c r="F4648" s="12" t="inlineStr">
        <is>
          <t>PAD-EH 13.8 kV switchgear e-house</t>
        </is>
      </c>
      <c r="G4648" s="12" t="inlineStr">
        <is>
          <t>JB-FC-5-DI01</t>
        </is>
      </c>
      <c r="H4648" s="12" t="inlineStr">
        <is>
          <t>FC-5: SOFC module (200-300 kW class)</t>
        </is>
      </c>
      <c r="I4648" s="12" t="inlineStr">
        <is>
          <t>Instrumentation</t>
        </is>
      </c>
      <c r="J4648" s="12" t="inlineStr">
        <is>
          <t>Instrumentation PLTC / TC-ER 300 V, #18 twisted shielded pairs, overall shield</t>
        </is>
      </c>
      <c r="K4648" s="12" t="inlineStr">
        <is>
          <t>PLTC|24 pr|18</t>
        </is>
      </c>
      <c r="L4648" s="12" t="inlineStr">
        <is>
          <t>24 pr</t>
        </is>
      </c>
      <c r="M4648" s="12" t="inlineStr">
        <is>
          <t>18</t>
        </is>
      </c>
      <c r="N4648" s="12" t="n">
        <v>1</v>
      </c>
      <c r="O4648" s="12" t="n">
        <v>1</v>
      </c>
      <c r="P4648" s="12" t="n"/>
      <c r="Q4648" s="12" t="n"/>
      <c r="R4648" s="12" t="n"/>
      <c r="S4648" s="12" t="inlineStr">
        <is>
          <t>Surface</t>
        </is>
      </c>
      <c r="T4648" s="15" t="n">
        <v>241</v>
      </c>
      <c r="U4648" s="15" t="n">
        <v>35</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I-I-0046</t>
        </is>
      </c>
      <c r="B4649" s="12" t="inlineStr">
        <is>
          <t>I</t>
        </is>
      </c>
      <c r="C4649" s="12" t="inlineStr">
        <is>
          <t>Modular / portable power</t>
        </is>
      </c>
      <c r="D4649" s="12" t="inlineStr">
        <is>
          <t>Analog instrument to JB JB-FC-6-AI01: 10 x 1 pr (field cables)</t>
        </is>
      </c>
      <c r="E4649" s="12" t="inlineStr">
        <is>
          <t>FC-6</t>
        </is>
      </c>
      <c r="F4649" s="12" t="inlineStr">
        <is>
          <t>FC-6: SOFC module (200-300 kW class)</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10</v>
      </c>
      <c r="O4649" s="12" t="n">
        <v>1</v>
      </c>
      <c r="P4649" s="12" t="n"/>
      <c r="Q4649" s="12" t="n"/>
      <c r="R4649" s="12" t="n"/>
      <c r="S4649" s="12" t="inlineStr">
        <is>
          <t>Tray / conduit</t>
        </is>
      </c>
      <c r="T4649" s="15" t="n">
        <v>45</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I-I-0047</t>
        </is>
      </c>
      <c r="B4650" s="12" t="inlineStr">
        <is>
          <t>I</t>
        </is>
      </c>
      <c r="C4650" s="12" t="inlineStr">
        <is>
          <t>Modular / portable power</t>
        </is>
      </c>
      <c r="D4650" s="12" t="inlineStr">
        <is>
          <t>Home run JB-FC-6-AI01 to the control / marshalling room</t>
        </is>
      </c>
      <c r="E4650" s="12" t="inlineStr">
        <is>
          <t>PAD-EH</t>
        </is>
      </c>
      <c r="F4650" s="12" t="inlineStr">
        <is>
          <t>PAD-EH 13.8 kV switchgear e-house</t>
        </is>
      </c>
      <c r="G4650" s="12" t="inlineStr">
        <is>
          <t>JB-FC-6-AI01</t>
        </is>
      </c>
      <c r="H4650" s="12" t="inlineStr">
        <is>
          <t>FC-6: SOFC module (200-300 kW class)</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Surface</t>
        </is>
      </c>
      <c r="T4650" s="15" t="n">
        <v>241</v>
      </c>
      <c r="U4650" s="15" t="n">
        <v>27</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I-I-0048</t>
        </is>
      </c>
      <c r="B4651" s="12" t="inlineStr">
        <is>
          <t>I</t>
        </is>
      </c>
      <c r="C4651" s="12" t="inlineStr">
        <is>
          <t>Modular / portable power</t>
        </is>
      </c>
      <c r="D4651" s="12" t="inlineStr">
        <is>
          <t>Discrete device to JB JB-FC-6-DI01: 10 x 1 pr (field cables)</t>
        </is>
      </c>
      <c r="E4651" s="12" t="inlineStr">
        <is>
          <t>FC-6</t>
        </is>
      </c>
      <c r="F4651" s="12" t="inlineStr">
        <is>
          <t>FC-6: SOFC module (200-300 kW class)</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10</v>
      </c>
      <c r="O4651" s="12" t="n">
        <v>1</v>
      </c>
      <c r="P4651" s="12" t="n"/>
      <c r="Q4651" s="12" t="n"/>
      <c r="R4651" s="12" t="n"/>
      <c r="S4651" s="12" t="inlineStr">
        <is>
          <t>Tray / conduit</t>
        </is>
      </c>
      <c r="T4651" s="15" t="n">
        <v>45</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I-I-0049</t>
        </is>
      </c>
      <c r="B4652" s="12" t="inlineStr">
        <is>
          <t>I</t>
        </is>
      </c>
      <c r="C4652" s="12" t="inlineStr">
        <is>
          <t>Modular / portable power</t>
        </is>
      </c>
      <c r="D4652" s="12" t="inlineStr">
        <is>
          <t>Home run JB-FC-6-DI01 to the control / marshalling room</t>
        </is>
      </c>
      <c r="E4652" s="12" t="inlineStr">
        <is>
          <t>PAD-EH</t>
        </is>
      </c>
      <c r="F4652" s="12" t="inlineStr">
        <is>
          <t>PAD-EH 13.8 kV switchgear e-house</t>
        </is>
      </c>
      <c r="G4652" s="12" t="inlineStr">
        <is>
          <t>JB-FC-6-DI01</t>
        </is>
      </c>
      <c r="H4652" s="12" t="inlineStr">
        <is>
          <t>FC-6: SOFC module (200-300 kW class)</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Surface</t>
        </is>
      </c>
      <c r="T4652" s="15" t="n">
        <v>241</v>
      </c>
      <c r="U4652" s="15" t="n">
        <v>27</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I-I-0050</t>
        </is>
      </c>
      <c r="B4653" s="12" t="inlineStr">
        <is>
          <t>I</t>
        </is>
      </c>
      <c r="C4653" s="12" t="inlineStr">
        <is>
          <t>Modular / portable power</t>
        </is>
      </c>
      <c r="D4653" s="12" t="inlineStr">
        <is>
          <t>Analog instrument to JB JB-FC-7-AI01: 10 x 1 pr (field cables)</t>
        </is>
      </c>
      <c r="E4653" s="12" t="inlineStr">
        <is>
          <t>FC-7</t>
        </is>
      </c>
      <c r="F4653" s="12" t="inlineStr">
        <is>
          <t>FC-7: SOFC module (200-300 kW class)</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10</v>
      </c>
      <c r="O4653" s="12" t="n">
        <v>1</v>
      </c>
      <c r="P4653" s="12" t="n"/>
      <c r="Q4653" s="12" t="n"/>
      <c r="R4653" s="12" t="n"/>
      <c r="S4653" s="12" t="inlineStr">
        <is>
          <t>Tray / conduit</t>
        </is>
      </c>
      <c r="T4653" s="15" t="n">
        <v>45</v>
      </c>
      <c r="U4653" s="15" t="n">
        <v>10</v>
      </c>
      <c r="V4653" s="15">
        <f>ROUNDUP((T4653+U4653+2*'Read Me'!$B$13)*(1+'Read Me'!$B$12),-1)</f>
        <v/>
      </c>
      <c r="W4653" s="15">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I-I-0051</t>
        </is>
      </c>
      <c r="B4654" s="12" t="inlineStr">
        <is>
          <t>I</t>
        </is>
      </c>
      <c r="C4654" s="12" t="inlineStr">
        <is>
          <t>Modular / portable power</t>
        </is>
      </c>
      <c r="D4654" s="12" t="inlineStr">
        <is>
          <t>Home run JB-FC-7-AI01 to the control / marshalling room</t>
        </is>
      </c>
      <c r="E4654" s="12" t="inlineStr">
        <is>
          <t>PAD-EH</t>
        </is>
      </c>
      <c r="F4654" s="12" t="inlineStr">
        <is>
          <t>PAD-EH 13.8 kV switchgear e-house</t>
        </is>
      </c>
      <c r="G4654" s="12" t="inlineStr">
        <is>
          <t>JB-FC-7-AI01</t>
        </is>
      </c>
      <c r="H4654" s="12" t="inlineStr">
        <is>
          <t>FC-7: SOFC module (200-300 kW class)</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Surface</t>
        </is>
      </c>
      <c r="T4654" s="15" t="n">
        <v>229</v>
      </c>
      <c r="U4654" s="15" t="n">
        <v>27</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I-I-0052</t>
        </is>
      </c>
      <c r="B4655" s="12" t="inlineStr">
        <is>
          <t>I</t>
        </is>
      </c>
      <c r="C4655" s="12" t="inlineStr">
        <is>
          <t>Modular / portable power</t>
        </is>
      </c>
      <c r="D4655" s="12" t="inlineStr">
        <is>
          <t>Discrete device to JB JB-FC-7-DI01: 10 x 1 pr (field cables)</t>
        </is>
      </c>
      <c r="E4655" s="12" t="inlineStr">
        <is>
          <t>FC-7</t>
        </is>
      </c>
      <c r="F4655" s="12" t="inlineStr">
        <is>
          <t>FC-7: SOFC module (200-300 kW class)</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10</v>
      </c>
      <c r="O4655" s="12" t="n">
        <v>1</v>
      </c>
      <c r="P4655" s="12" t="n"/>
      <c r="Q4655" s="12" t="n"/>
      <c r="R4655" s="12" t="n"/>
      <c r="S4655" s="12" t="inlineStr">
        <is>
          <t>Tray / conduit</t>
        </is>
      </c>
      <c r="T4655" s="15" t="n">
        <v>45</v>
      </c>
      <c r="U4655" s="15" t="n">
        <v>10</v>
      </c>
      <c r="V4655" s="15">
        <f>ROUNDUP((T4655+U4655+2*'Read Me'!$B$13)*(1+'Read Me'!$B$12),-1)</f>
        <v/>
      </c>
      <c r="W4655" s="15">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I-I-0053</t>
        </is>
      </c>
      <c r="B4656" s="12" t="inlineStr">
        <is>
          <t>I</t>
        </is>
      </c>
      <c r="C4656" s="12" t="inlineStr">
        <is>
          <t>Modular / portable power</t>
        </is>
      </c>
      <c r="D4656" s="12" t="inlineStr">
        <is>
          <t>Home run JB-FC-7-DI01 to the control / marshalling room</t>
        </is>
      </c>
      <c r="E4656" s="12" t="inlineStr">
        <is>
          <t>PAD-EH</t>
        </is>
      </c>
      <c r="F4656" s="12" t="inlineStr">
        <is>
          <t>PAD-EH 13.8 kV switchgear e-house</t>
        </is>
      </c>
      <c r="G4656" s="12" t="inlineStr">
        <is>
          <t>JB-FC-7-DI01</t>
        </is>
      </c>
      <c r="H4656" s="12" t="inlineStr">
        <is>
          <t>FC-7: SOFC module (200-300 kW class)</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Surface</t>
        </is>
      </c>
      <c r="T4656" s="15" t="n">
        <v>229</v>
      </c>
      <c r="U4656" s="15" t="n">
        <v>27</v>
      </c>
      <c r="V4656" s="15">
        <f>ROUNDUP((T4656+U4656+2*'Read Me'!$B$13)*(1+'Read Me'!$B$12),-1)</f>
        <v/>
      </c>
      <c r="W4656" s="15">
        <f>V4656*N4656*O4656</f>
        <v/>
      </c>
      <c r="X4656" s="12">
        <f>IF(LEFT(I4656,2)="MV",2*N4656*IF(L4656="1/C",O4656,1),0)</f>
        <v/>
      </c>
      <c r="Y4656" s="12">
        <f>IF(OR(LEFT(K4656,4)="LVAX",LEFT(K4656,6)="MV15AX",LEFT(K4656,4)="CTAX",LEFT(K4656,2)="W|"),2*N4656*O4656,0)</f>
        <v/>
      </c>
      <c r="Z4656" s="12" t="inlineStr"/>
      <c r="AA4656" s="12">
        <f>N4656*O4656</f>
        <v/>
      </c>
    </row>
    <row r="4657">
      <c r="A4657" s="12" t="inlineStr">
        <is>
          <t>I-I-0054</t>
        </is>
      </c>
      <c r="B4657" s="12" t="inlineStr">
        <is>
          <t>I</t>
        </is>
      </c>
      <c r="C4657" s="12" t="inlineStr">
        <is>
          <t>Modular / portable power</t>
        </is>
      </c>
      <c r="D4657" s="12" t="inlineStr">
        <is>
          <t>Analog instrument to JB JB-FC-8-AI01: 10 x 1 pr (field cables)</t>
        </is>
      </c>
      <c r="E4657" s="12" t="inlineStr">
        <is>
          <t>FC-8</t>
        </is>
      </c>
      <c r="F4657" s="12" t="inlineStr">
        <is>
          <t>FC-8: SOFC module (200-300 kW class)</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10</v>
      </c>
      <c r="O4657" s="12" t="n">
        <v>1</v>
      </c>
      <c r="P4657" s="12" t="n"/>
      <c r="Q4657" s="12" t="n"/>
      <c r="R4657" s="12" t="n"/>
      <c r="S4657" s="12" t="inlineStr">
        <is>
          <t>Tray / conduit</t>
        </is>
      </c>
      <c r="T4657" s="15" t="n">
        <v>45</v>
      </c>
      <c r="U4657" s="15" t="n">
        <v>10</v>
      </c>
      <c r="V4657" s="15">
        <f>ROUNDUP((T4657+U4657+2*'Read Me'!$B$13)*(1+'Read Me'!$B$12),-1)</f>
        <v/>
      </c>
      <c r="W4657" s="15">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I-I-0055</t>
        </is>
      </c>
      <c r="B4658" s="12" t="inlineStr">
        <is>
          <t>I</t>
        </is>
      </c>
      <c r="C4658" s="12" t="inlineStr">
        <is>
          <t>Modular / portable power</t>
        </is>
      </c>
      <c r="D4658" s="12" t="inlineStr">
        <is>
          <t>Home run JB-FC-8-AI01 to the control / marshalling room</t>
        </is>
      </c>
      <c r="E4658" s="12" t="inlineStr">
        <is>
          <t>PAD-EH</t>
        </is>
      </c>
      <c r="F4658" s="12" t="inlineStr">
        <is>
          <t>PAD-EH 13.8 kV switchgear e-house</t>
        </is>
      </c>
      <c r="G4658" s="12" t="inlineStr">
        <is>
          <t>JB-FC-8-AI01</t>
        </is>
      </c>
      <c r="H4658" s="12" t="inlineStr">
        <is>
          <t>FC-8: SOFC module (200-300 kW class)</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Surface</t>
        </is>
      </c>
      <c r="T4658" s="15" t="n">
        <v>224</v>
      </c>
      <c r="U4658" s="15" t="n">
        <v>27</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I-I-0056</t>
        </is>
      </c>
      <c r="B4659" s="12" t="inlineStr">
        <is>
          <t>I</t>
        </is>
      </c>
      <c r="C4659" s="12" t="inlineStr">
        <is>
          <t>Modular / portable power</t>
        </is>
      </c>
      <c r="D4659" s="12" t="inlineStr">
        <is>
          <t>Discrete device to JB JB-FC-8-DI01: 10 x 1 pr (field cables)</t>
        </is>
      </c>
      <c r="E4659" s="12" t="inlineStr">
        <is>
          <t>FC-8</t>
        </is>
      </c>
      <c r="F4659" s="12" t="inlineStr">
        <is>
          <t>FC-8: SOFC module (200-300 kW class)</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10</v>
      </c>
      <c r="O4659" s="12" t="n">
        <v>1</v>
      </c>
      <c r="P4659" s="12" t="n"/>
      <c r="Q4659" s="12" t="n"/>
      <c r="R4659" s="12" t="n"/>
      <c r="S4659" s="12" t="inlineStr">
        <is>
          <t>Tray / conduit</t>
        </is>
      </c>
      <c r="T4659" s="15" t="n">
        <v>45</v>
      </c>
      <c r="U4659" s="15" t="n">
        <v>10</v>
      </c>
      <c r="V4659" s="15">
        <f>ROUNDUP((T4659+U4659+2*'Read Me'!$B$13)*(1+'Read Me'!$B$12),-1)</f>
        <v/>
      </c>
      <c r="W4659" s="15">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I-I-0057</t>
        </is>
      </c>
      <c r="B4660" s="12" t="inlineStr">
        <is>
          <t>I</t>
        </is>
      </c>
      <c r="C4660" s="12" t="inlineStr">
        <is>
          <t>Modular / portable power</t>
        </is>
      </c>
      <c r="D4660" s="12" t="inlineStr">
        <is>
          <t>Home run JB-FC-8-DI01 to the control / marshalling room</t>
        </is>
      </c>
      <c r="E4660" s="12" t="inlineStr">
        <is>
          <t>PAD-EH</t>
        </is>
      </c>
      <c r="F4660" s="12" t="inlineStr">
        <is>
          <t>PAD-EH 13.8 kV switchgear e-house</t>
        </is>
      </c>
      <c r="G4660" s="12" t="inlineStr">
        <is>
          <t>JB-FC-8-DI01</t>
        </is>
      </c>
      <c r="H4660" s="12" t="inlineStr">
        <is>
          <t>FC-8: SOFC module (200-300 kW class)</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Surface</t>
        </is>
      </c>
      <c r="T4660" s="15" t="n">
        <v>224</v>
      </c>
      <c r="U4660" s="15" t="n">
        <v>27</v>
      </c>
      <c r="V4660" s="15">
        <f>ROUNDUP((T4660+U4660+2*'Read Me'!$B$13)*(1+'Read Me'!$B$12),-1)</f>
        <v/>
      </c>
      <c r="W4660" s="15">
        <f>V4660*N4660*O4660</f>
        <v/>
      </c>
      <c r="X4660" s="12">
        <f>IF(LEFT(I4660,2)="MV",2*N4660*IF(L4660="1/C",O4660,1),0)</f>
        <v/>
      </c>
      <c r="Y4660" s="12">
        <f>IF(OR(LEFT(K4660,4)="LVAX",LEFT(K4660,6)="MV15AX",LEFT(K4660,4)="CTAX",LEFT(K4660,2)="W|"),2*N4660*O4660,0)</f>
        <v/>
      </c>
      <c r="Z4660" s="12" t="inlineStr"/>
      <c r="AA4660" s="12">
        <f>N4660*O4660</f>
        <v/>
      </c>
    </row>
    <row r="4661">
      <c r="A4661" s="12" t="inlineStr">
        <is>
          <t>I-I-0058</t>
        </is>
      </c>
      <c r="B4661" s="12" t="inlineStr">
        <is>
          <t>I</t>
        </is>
      </c>
      <c r="C4661" s="12" t="inlineStr">
        <is>
          <t>Modular / portable power</t>
        </is>
      </c>
      <c r="D4661" s="12" t="inlineStr">
        <is>
          <t>Analog instrument to JB JB-Fuel-gas compresso-AI01: 20 x 1 pr (field cables)</t>
        </is>
      </c>
      <c r="E4661" s="12" t="inlineStr"/>
      <c r="F4661" s="12" t="inlineStr">
        <is>
          <t>Fuel-gas compressors 3 x 100% electric</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ITC|1 pr|16</t>
        </is>
      </c>
      <c r="L4661" s="12" t="inlineStr">
        <is>
          <t>1 pr</t>
        </is>
      </c>
      <c r="M4661" s="12" t="inlineStr">
        <is>
          <t>16</t>
        </is>
      </c>
      <c r="N4661" s="12" t="n">
        <v>20</v>
      </c>
      <c r="O4661" s="12" t="n">
        <v>1</v>
      </c>
      <c r="P4661" s="12" t="n"/>
      <c r="Q4661" s="12" t="n"/>
      <c r="R4661" s="12" t="n"/>
      <c r="S4661" s="12" t="inlineStr">
        <is>
          <t>Tray / conduit</t>
        </is>
      </c>
      <c r="T4661" s="15" t="n">
        <v>103</v>
      </c>
      <c r="U4661" s="15" t="n">
        <v>10</v>
      </c>
      <c r="V4661" s="15">
        <f>ROUNDUP((T4661+U4661+2*'Read Me'!$B$13)*(1+'Read Me'!$B$12),-1)</f>
        <v/>
      </c>
      <c r="W4661" s="15">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I-I-0059</t>
        </is>
      </c>
      <c r="B4662" s="12" t="inlineStr">
        <is>
          <t>I</t>
        </is>
      </c>
      <c r="C4662" s="12" t="inlineStr">
        <is>
          <t>Modular / portable power</t>
        </is>
      </c>
      <c r="D4662" s="12" t="inlineStr">
        <is>
          <t>Home run JB-Fuel-gas compresso-AI01 to the control / marshalling room</t>
        </is>
      </c>
      <c r="E4662" s="12" t="inlineStr"/>
      <c r="F4662" s="12" t="inlineStr">
        <is>
          <t>SC-2 PCM + 15 kV GCB</t>
        </is>
      </c>
      <c r="G4662" s="12" t="inlineStr">
        <is>
          <t>JB-Fuel-gas compresso-AI01</t>
        </is>
      </c>
      <c r="H4662" s="12" t="inlineStr">
        <is>
          <t>Fuel-gas compressors 3 x 100% electric</t>
        </is>
      </c>
      <c r="I4662" s="12" t="inlineStr">
        <is>
          <t>Instrumentation</t>
        </is>
      </c>
      <c r="J4662" s="12" t="inlineStr">
        <is>
          <t>Instrumentation ITC / PLTC, IS, #18 shielded pairs, blue jacket</t>
        </is>
      </c>
      <c r="K4662" s="12" t="inlineStr">
        <is>
          <t>ITC|24 pr|18</t>
        </is>
      </c>
      <c r="L4662" s="12" t="inlineStr">
        <is>
          <t>24 pr</t>
        </is>
      </c>
      <c r="M4662" s="12" t="inlineStr">
        <is>
          <t>18</t>
        </is>
      </c>
      <c r="N4662" s="12" t="n">
        <v>1</v>
      </c>
      <c r="O4662" s="12" t="n">
        <v>1</v>
      </c>
      <c r="P4662" s="12" t="n"/>
      <c r="Q4662" s="12" t="n"/>
      <c r="R4662" s="12" t="n"/>
      <c r="S4662" s="12" t="inlineStr">
        <is>
          <t>Duct bank</t>
        </is>
      </c>
      <c r="T4662" s="15" t="n">
        <v>8</v>
      </c>
      <c r="U4662" s="15" t="n">
        <v>108</v>
      </c>
      <c r="V4662" s="15">
        <f>ROUNDUP((T4662+U4662+2*'Read Me'!$B$13)*(1+'Read Me'!$B$12),-1)</f>
        <v/>
      </c>
      <c r="W4662" s="15">
        <f>V4662*N4662*O4662</f>
        <v/>
      </c>
      <c r="X4662" s="12">
        <f>IF(LEFT(I4662,2)="MV",2*N4662*IF(L4662="1/C",O4662,1),0)</f>
        <v/>
      </c>
      <c r="Y4662" s="12">
        <f>IF(OR(LEFT(K4662,4)="LVAX",LEFT(K4662,6)="MV15AX",LEFT(K4662,4)="CTAX",LEFT(K4662,2)="W|"),2*N4662*O4662,0)</f>
        <v/>
      </c>
      <c r="Z4662" s="12" t="inlineStr"/>
      <c r="AA4662" s="12">
        <f>N4662*O4662</f>
        <v/>
      </c>
    </row>
    <row r="4663">
      <c r="A4663" s="12" t="inlineStr">
        <is>
          <t>I-I-0060</t>
        </is>
      </c>
      <c r="B4663" s="12" t="inlineStr">
        <is>
          <t>I</t>
        </is>
      </c>
      <c r="C4663" s="12" t="inlineStr">
        <is>
          <t>Modular / portable power</t>
        </is>
      </c>
      <c r="D4663" s="12" t="inlineStr">
        <is>
          <t>Analog instrument to JB JB-Fuel-gas compresso-AI02: 10 x 1 pr (field cables)</t>
        </is>
      </c>
      <c r="E4663" s="12" t="inlineStr"/>
      <c r="F4663" s="12" t="inlineStr">
        <is>
          <t>Fuel-gas compressors 3 x 100% electric</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ITC|1 pr|16</t>
        </is>
      </c>
      <c r="L4663" s="12" t="inlineStr">
        <is>
          <t>1 pr</t>
        </is>
      </c>
      <c r="M4663" s="12" t="inlineStr">
        <is>
          <t>16</t>
        </is>
      </c>
      <c r="N4663" s="12" t="n">
        <v>10</v>
      </c>
      <c r="O4663" s="12" t="n">
        <v>1</v>
      </c>
      <c r="P4663" s="12" t="n"/>
      <c r="Q4663" s="12" t="n"/>
      <c r="R4663" s="12" t="n"/>
      <c r="S4663" s="12" t="inlineStr">
        <is>
          <t>Tray / conduit</t>
        </is>
      </c>
      <c r="T4663" s="15" t="n">
        <v>103</v>
      </c>
      <c r="U4663" s="15" t="n">
        <v>10</v>
      </c>
      <c r="V4663" s="15">
        <f>ROUNDUP((T4663+U4663+2*'Read Me'!$B$13)*(1+'Read Me'!$B$12),-1)</f>
        <v/>
      </c>
      <c r="W4663" s="15">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I-I-0061</t>
        </is>
      </c>
      <c r="B4664" s="12" t="inlineStr">
        <is>
          <t>I</t>
        </is>
      </c>
      <c r="C4664" s="12" t="inlineStr">
        <is>
          <t>Modular / portable power</t>
        </is>
      </c>
      <c r="D4664" s="12" t="inlineStr">
        <is>
          <t>Home run JB-Fuel-gas compresso-AI02 to the control / marshalling room</t>
        </is>
      </c>
      <c r="E4664" s="12" t="inlineStr"/>
      <c r="F4664" s="12" t="inlineStr">
        <is>
          <t>SC-2 PCM + 15 kV GCB</t>
        </is>
      </c>
      <c r="G4664" s="12" t="inlineStr">
        <is>
          <t>JB-Fuel-gas compresso-AI02</t>
        </is>
      </c>
      <c r="H4664" s="12" t="inlineStr">
        <is>
          <t>Fuel-gas compressors 3 x 100% electric</t>
        </is>
      </c>
      <c r="I4664" s="12" t="inlineStr">
        <is>
          <t>Instrumentation</t>
        </is>
      </c>
      <c r="J4664" s="12" t="inlineStr">
        <is>
          <t>Instrumentation ITC / PLTC, IS, #18 shielded pairs, blue jacket</t>
        </is>
      </c>
      <c r="K4664" s="12" t="inlineStr">
        <is>
          <t>ITC|24 pr|18</t>
        </is>
      </c>
      <c r="L4664" s="12" t="inlineStr">
        <is>
          <t>24 pr</t>
        </is>
      </c>
      <c r="M4664" s="12" t="inlineStr">
        <is>
          <t>18</t>
        </is>
      </c>
      <c r="N4664" s="12" t="n">
        <v>1</v>
      </c>
      <c r="O4664" s="12" t="n">
        <v>1</v>
      </c>
      <c r="P4664" s="12" t="n"/>
      <c r="Q4664" s="12" t="n"/>
      <c r="R4664" s="12" t="n"/>
      <c r="S4664" s="12" t="inlineStr">
        <is>
          <t>Duct bank</t>
        </is>
      </c>
      <c r="T4664" s="15" t="n">
        <v>8</v>
      </c>
      <c r="U4664" s="15" t="n">
        <v>108</v>
      </c>
      <c r="V4664" s="15">
        <f>ROUNDUP((T4664+U4664+2*'Read Me'!$B$13)*(1+'Read Me'!$B$12),-1)</f>
        <v/>
      </c>
      <c r="W4664" s="15">
        <f>V4664*N4664*O4664</f>
        <v/>
      </c>
      <c r="X4664" s="12">
        <f>IF(LEFT(I4664,2)="MV",2*N4664*IF(L4664="1/C",O4664,1),0)</f>
        <v/>
      </c>
      <c r="Y4664" s="12">
        <f>IF(OR(LEFT(K4664,4)="LVAX",LEFT(K4664,6)="MV15AX",LEFT(K4664,4)="CTAX",LEFT(K4664,2)="W|"),2*N4664*O4664,0)</f>
        <v/>
      </c>
      <c r="Z4664" s="12" t="inlineStr"/>
      <c r="AA4664" s="12">
        <f>N4664*O4664</f>
        <v/>
      </c>
    </row>
    <row r="4665">
      <c r="A4665" s="12" t="inlineStr">
        <is>
          <t>I-I-0062</t>
        </is>
      </c>
      <c r="B4665" s="12" t="inlineStr">
        <is>
          <t>I</t>
        </is>
      </c>
      <c r="C4665" s="12" t="inlineStr">
        <is>
          <t>Modular / portable power</t>
        </is>
      </c>
      <c r="D4665" s="12" t="inlineStr">
        <is>
          <t>Discrete device to JB JB-Fuel-gas compresso-DI01: 20 x 1 pr (field cables)</t>
        </is>
      </c>
      <c r="E4665" s="12" t="inlineStr"/>
      <c r="F4665" s="12" t="inlineStr">
        <is>
          <t>Fuel-gas compressors 3 x 100% electric</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ITC|1 pr|16</t>
        </is>
      </c>
      <c r="L4665" s="12" t="inlineStr">
        <is>
          <t>1 pr</t>
        </is>
      </c>
      <c r="M4665" s="12" t="inlineStr">
        <is>
          <t>16</t>
        </is>
      </c>
      <c r="N4665" s="12" t="n">
        <v>20</v>
      </c>
      <c r="O4665" s="12" t="n">
        <v>1</v>
      </c>
      <c r="P4665" s="12" t="n"/>
      <c r="Q4665" s="12" t="n"/>
      <c r="R4665" s="12" t="n"/>
      <c r="S4665" s="12" t="inlineStr">
        <is>
          <t>Tray / conduit</t>
        </is>
      </c>
      <c r="T4665" s="15" t="n">
        <v>103</v>
      </c>
      <c r="U4665" s="15" t="n">
        <v>10</v>
      </c>
      <c r="V4665" s="15">
        <f>ROUNDUP((T4665+U4665+2*'Read Me'!$B$13)*(1+'Read Me'!$B$12),-1)</f>
        <v/>
      </c>
      <c r="W4665" s="15">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I-I-0063</t>
        </is>
      </c>
      <c r="B4666" s="12" t="inlineStr">
        <is>
          <t>I</t>
        </is>
      </c>
      <c r="C4666" s="12" t="inlineStr">
        <is>
          <t>Modular / portable power</t>
        </is>
      </c>
      <c r="D4666" s="12" t="inlineStr">
        <is>
          <t>Home run JB-Fuel-gas compresso-DI01 to the control / marshalling room</t>
        </is>
      </c>
      <c r="E4666" s="12" t="inlineStr"/>
      <c r="F4666" s="12" t="inlineStr">
        <is>
          <t>SC-2 PCM + 15 kV GCB</t>
        </is>
      </c>
      <c r="G4666" s="12" t="inlineStr">
        <is>
          <t>JB-Fuel-gas compresso-DI01</t>
        </is>
      </c>
      <c r="H4666" s="12" t="inlineStr">
        <is>
          <t>Fuel-gas compressors 3 x 100% electric</t>
        </is>
      </c>
      <c r="I4666" s="12" t="inlineStr">
        <is>
          <t>Instrumentation</t>
        </is>
      </c>
      <c r="J4666" s="12" t="inlineStr">
        <is>
          <t>Instrumentation ITC / PLTC, IS, #18 shielded pairs, blue jacket</t>
        </is>
      </c>
      <c r="K4666" s="12" t="inlineStr">
        <is>
          <t>ITC|24 pr|18</t>
        </is>
      </c>
      <c r="L4666" s="12" t="inlineStr">
        <is>
          <t>24 pr</t>
        </is>
      </c>
      <c r="M4666" s="12" t="inlineStr">
        <is>
          <t>18</t>
        </is>
      </c>
      <c r="N4666" s="12" t="n">
        <v>1</v>
      </c>
      <c r="O4666" s="12" t="n">
        <v>1</v>
      </c>
      <c r="P4666" s="12" t="n"/>
      <c r="Q4666" s="12" t="n"/>
      <c r="R4666" s="12" t="n"/>
      <c r="S4666" s="12" t="inlineStr">
        <is>
          <t>Duct bank</t>
        </is>
      </c>
      <c r="T4666" s="15" t="n">
        <v>8</v>
      </c>
      <c r="U4666" s="15" t="n">
        <v>108</v>
      </c>
      <c r="V4666" s="15">
        <f>ROUNDUP((T4666+U4666+2*'Read Me'!$B$13)*(1+'Read Me'!$B$12),-1)</f>
        <v/>
      </c>
      <c r="W4666" s="15">
        <f>V4666*N4666*O4666</f>
        <v/>
      </c>
      <c r="X4666" s="12">
        <f>IF(LEFT(I4666,2)="MV",2*N4666*IF(L4666="1/C",O4666,1),0)</f>
        <v/>
      </c>
      <c r="Y4666" s="12">
        <f>IF(OR(LEFT(K4666,4)="LVAX",LEFT(K4666,6)="MV15AX",LEFT(K4666,4)="CTAX",LEFT(K4666,2)="W|"),2*N4666*O4666,0)</f>
        <v/>
      </c>
      <c r="Z4666" s="12" t="inlineStr"/>
      <c r="AA4666" s="12">
        <f>N4666*O4666</f>
        <v/>
      </c>
    </row>
    <row r="4667">
      <c r="A4667" s="12" t="inlineStr">
        <is>
          <t>I-I-0064</t>
        </is>
      </c>
      <c r="B4667" s="12" t="inlineStr">
        <is>
          <t>I</t>
        </is>
      </c>
      <c r="C4667" s="12" t="inlineStr">
        <is>
          <t>Modular / portable power</t>
        </is>
      </c>
      <c r="D4667" s="12" t="inlineStr">
        <is>
          <t>RTD to JB JB-Fuel-gas compresso-RTD01: 10 x 1 tri (field cables)</t>
        </is>
      </c>
      <c r="E4667" s="12" t="inlineStr"/>
      <c r="F4667" s="12" t="inlineStr">
        <is>
          <t>Fuel-gas compressors 3 x 100% electric</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 tri|18</t>
        </is>
      </c>
      <c r="L4667" s="12" t="inlineStr">
        <is>
          <t>1 tri</t>
        </is>
      </c>
      <c r="M4667" s="12" t="inlineStr">
        <is>
          <t>18</t>
        </is>
      </c>
      <c r="N4667" s="12" t="n">
        <v>10</v>
      </c>
      <c r="O4667" s="12" t="n">
        <v>1</v>
      </c>
      <c r="P4667" s="12" t="n"/>
      <c r="Q4667" s="12" t="n"/>
      <c r="R4667" s="12" t="n"/>
      <c r="S4667" s="12" t="inlineStr">
        <is>
          <t>Tray / conduit</t>
        </is>
      </c>
      <c r="T4667" s="15" t="n">
        <v>103</v>
      </c>
      <c r="U4667" s="15" t="n">
        <v>10</v>
      </c>
      <c r="V4667" s="15">
        <f>ROUNDUP((T4667+U4667+2*'Read Me'!$B$13)*(1+'Read Me'!$B$12),-1)</f>
        <v/>
      </c>
      <c r="W4667" s="15">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I-I-0065</t>
        </is>
      </c>
      <c r="B4668" s="12" t="inlineStr">
        <is>
          <t>I</t>
        </is>
      </c>
      <c r="C4668" s="12" t="inlineStr">
        <is>
          <t>Modular / portable power</t>
        </is>
      </c>
      <c r="D4668" s="12" t="inlineStr">
        <is>
          <t>Home run JB-Fuel-gas compresso-RTD01 to the control / marshalling room</t>
        </is>
      </c>
      <c r="E4668" s="12" t="inlineStr"/>
      <c r="F4668" s="12" t="inlineStr">
        <is>
          <t>SC-2 PCM + 15 kV GCB</t>
        </is>
      </c>
      <c r="G4668" s="12" t="inlineStr">
        <is>
          <t>JB-Fuel-gas compresso-RTD01</t>
        </is>
      </c>
      <c r="H4668" s="12" t="inlineStr">
        <is>
          <t>Fuel-gas compressors 3 x 100% electric</t>
        </is>
      </c>
      <c r="I4668" s="12" t="inlineStr">
        <is>
          <t>Instrumentation</t>
        </is>
      </c>
      <c r="J4668" s="12" t="inlineStr">
        <is>
          <t>RTD cable, #18 shielded triads, PLTC</t>
        </is>
      </c>
      <c r="K4668" s="12" t="inlineStr">
        <is>
          <t>RTD|12 tri|18</t>
        </is>
      </c>
      <c r="L4668" s="12" t="inlineStr">
        <is>
          <t>12 tri</t>
        </is>
      </c>
      <c r="M4668" s="12" t="inlineStr">
        <is>
          <t>18</t>
        </is>
      </c>
      <c r="N4668" s="12" t="n">
        <v>1</v>
      </c>
      <c r="O4668" s="12" t="n">
        <v>1</v>
      </c>
      <c r="P4668" s="12" t="n"/>
      <c r="Q4668" s="12" t="n"/>
      <c r="R4668" s="12" t="n"/>
      <c r="S4668" s="12" t="inlineStr">
        <is>
          <t>Duct bank</t>
        </is>
      </c>
      <c r="T4668" s="15" t="n">
        <v>8</v>
      </c>
      <c r="U4668" s="15" t="n">
        <v>108</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I-I-0066</t>
        </is>
      </c>
      <c r="B4669" s="12" t="inlineStr">
        <is>
          <t>I</t>
        </is>
      </c>
      <c r="C4669" s="12" t="inlineStr">
        <is>
          <t>Modular / portable power</t>
        </is>
      </c>
      <c r="D4669" s="12" t="inlineStr">
        <is>
          <t>RTD to JB JB-Fuel-gas compresso-RTD02: 2 x 1 tri (field cables)</t>
        </is>
      </c>
      <c r="E4669" s="12" t="inlineStr"/>
      <c r="F4669" s="12" t="inlineStr">
        <is>
          <t>Fuel-gas compressors 3 x 100% electric</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 tri|18</t>
        </is>
      </c>
      <c r="L4669" s="12" t="inlineStr">
        <is>
          <t>1 tri</t>
        </is>
      </c>
      <c r="M4669" s="12" t="inlineStr">
        <is>
          <t>18</t>
        </is>
      </c>
      <c r="N4669" s="12" t="n">
        <v>2</v>
      </c>
      <c r="O4669" s="12" t="n">
        <v>1</v>
      </c>
      <c r="P4669" s="12" t="n"/>
      <c r="Q4669" s="12" t="n"/>
      <c r="R4669" s="12" t="n"/>
      <c r="S4669" s="12" t="inlineStr">
        <is>
          <t>Tray / conduit</t>
        </is>
      </c>
      <c r="T4669" s="15" t="n">
        <v>103</v>
      </c>
      <c r="U4669" s="15" t="n">
        <v>10</v>
      </c>
      <c r="V4669" s="15">
        <f>ROUNDUP((T4669+U4669+2*'Read Me'!$B$13)*(1+'Read Me'!$B$12),-1)</f>
        <v/>
      </c>
      <c r="W4669" s="15">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I-I-0067</t>
        </is>
      </c>
      <c r="B4670" s="12" t="inlineStr">
        <is>
          <t>I</t>
        </is>
      </c>
      <c r="C4670" s="12" t="inlineStr">
        <is>
          <t>Modular / portable power</t>
        </is>
      </c>
      <c r="D4670" s="12" t="inlineStr">
        <is>
          <t>Home run JB-Fuel-gas compresso-RTD02 to the control / marshalling room</t>
        </is>
      </c>
      <c r="E4670" s="12" t="inlineStr"/>
      <c r="F4670" s="12" t="inlineStr">
        <is>
          <t>SC-2 PCM + 15 kV GCB</t>
        </is>
      </c>
      <c r="G4670" s="12" t="inlineStr">
        <is>
          <t>JB-Fuel-gas compresso-RTD02</t>
        </is>
      </c>
      <c r="H4670" s="12" t="inlineStr">
        <is>
          <t>Fuel-gas compressors 3 x 100% electric</t>
        </is>
      </c>
      <c r="I4670" s="12" t="inlineStr">
        <is>
          <t>Instrumentation</t>
        </is>
      </c>
      <c r="J4670" s="12" t="inlineStr">
        <is>
          <t>RTD cable, #18 shielded triads, PLTC</t>
        </is>
      </c>
      <c r="K4670" s="12" t="inlineStr">
        <is>
          <t>RTD|12 tri|18</t>
        </is>
      </c>
      <c r="L4670" s="12" t="inlineStr">
        <is>
          <t>12 tri</t>
        </is>
      </c>
      <c r="M4670" s="12" t="inlineStr">
        <is>
          <t>18</t>
        </is>
      </c>
      <c r="N4670" s="12" t="n">
        <v>1</v>
      </c>
      <c r="O4670" s="12" t="n">
        <v>1</v>
      </c>
      <c r="P4670" s="12" t="n"/>
      <c r="Q4670" s="12" t="n"/>
      <c r="R4670" s="12" t="n"/>
      <c r="S4670" s="12" t="inlineStr">
        <is>
          <t>Duct bank</t>
        </is>
      </c>
      <c r="T4670" s="15" t="n">
        <v>8</v>
      </c>
      <c r="U4670" s="15" t="n">
        <v>108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I-I-0068</t>
        </is>
      </c>
      <c r="B4671" s="12" t="inlineStr">
        <is>
          <t>I</t>
        </is>
      </c>
      <c r="C4671" s="12" t="inlineStr">
        <is>
          <t>Modular / portable power</t>
        </is>
      </c>
      <c r="D4671" s="12" t="inlineStr">
        <is>
          <t>L7 GB-1.1 instrumentation: gas pressure, temperatures</t>
        </is>
      </c>
      <c r="E4671" s="12" t="inlineStr">
        <is>
          <t>GBC-1</t>
        </is>
      </c>
      <c r="F4671" s="12" t="inlineStr">
        <is>
          <t xml:space="preserve">GBC-1: block GB-1 generator collector box, 480 V outdoor switchboard, </t>
        </is>
      </c>
      <c r="G4671" s="12" t="inlineStr">
        <is>
          <t>GB-1.1</t>
        </is>
      </c>
      <c r="H4671" s="12" t="inlineStr">
        <is>
          <t>GB-1.1: modular gas genset 500 kW, 480 V (block GB-1, unit 1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44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I-I-0069</t>
        </is>
      </c>
      <c r="B4672" s="12" t="inlineStr">
        <is>
          <t>I</t>
        </is>
      </c>
      <c r="C4672" s="12" t="inlineStr">
        <is>
          <t>Modular / portable power</t>
        </is>
      </c>
      <c r="D4672" s="12" t="inlineStr">
        <is>
          <t>L7 GB-1.2 instrumentation: gas pressure, temperatures</t>
        </is>
      </c>
      <c r="E4672" s="12" t="inlineStr">
        <is>
          <t>GBC-1</t>
        </is>
      </c>
      <c r="F4672" s="12" t="inlineStr">
        <is>
          <t xml:space="preserve">GBC-1: block GB-1 generator collector box, 480 V outdoor switchboard, </t>
        </is>
      </c>
      <c r="G4672" s="12" t="inlineStr">
        <is>
          <t>GB-1.2</t>
        </is>
      </c>
      <c r="H4672" s="12" t="inlineStr">
        <is>
          <t>GB-1.2: modular gas genset 500 kW, 480 V (block GB-1, unit 2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34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I-I-0070</t>
        </is>
      </c>
      <c r="B4673" s="12" t="inlineStr">
        <is>
          <t>I</t>
        </is>
      </c>
      <c r="C4673" s="12" t="inlineStr">
        <is>
          <t>Modular / portable power</t>
        </is>
      </c>
      <c r="D4673" s="12" t="inlineStr">
        <is>
          <t>L7 GB-1.3 instrumentation: gas pressure, temperatures</t>
        </is>
      </c>
      <c r="E4673" s="12" t="inlineStr">
        <is>
          <t>GBC-1</t>
        </is>
      </c>
      <c r="F4673" s="12" t="inlineStr">
        <is>
          <t xml:space="preserve">GBC-1: block GB-1 generator collector box, 480 V outdoor switchboard, </t>
        </is>
      </c>
      <c r="G4673" s="12" t="inlineStr">
        <is>
          <t>GB-1.3</t>
        </is>
      </c>
      <c r="H4673" s="12" t="inlineStr">
        <is>
          <t>GB-1.3: modular gas genset 500 kW, 480 V (block GB-1, unit 3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24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I-I-0071</t>
        </is>
      </c>
      <c r="B4674" s="12" t="inlineStr">
        <is>
          <t>I</t>
        </is>
      </c>
      <c r="C4674" s="12" t="inlineStr">
        <is>
          <t>Modular / portable power</t>
        </is>
      </c>
      <c r="D4674" s="12" t="inlineStr">
        <is>
          <t>L7 GB-1.4 instrumentation: gas pressure, temperatures</t>
        </is>
      </c>
      <c r="E4674" s="12" t="inlineStr">
        <is>
          <t>GBC-1</t>
        </is>
      </c>
      <c r="F4674" s="12" t="inlineStr">
        <is>
          <t xml:space="preserve">GBC-1: block GB-1 generator collector box, 480 V outdoor switchboard, </t>
        </is>
      </c>
      <c r="G4674" s="12" t="inlineStr">
        <is>
          <t>GB-1.4</t>
        </is>
      </c>
      <c r="H4674" s="12" t="inlineStr">
        <is>
          <t>GB-1.4: modular gas genset 500 kW, 480 V (block GB-1, unit 4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Surface</t>
        </is>
      </c>
      <c r="T4674" s="15" t="n">
        <v>14</v>
      </c>
      <c r="U4674" s="15" t="n">
        <v>28</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I-I-0072</t>
        </is>
      </c>
      <c r="B4675" s="12" t="inlineStr">
        <is>
          <t>I</t>
        </is>
      </c>
      <c r="C4675" s="12" t="inlineStr">
        <is>
          <t>Modular / portable power</t>
        </is>
      </c>
      <c r="D4675" s="12" t="inlineStr">
        <is>
          <t>L7 GB-1.5 instrumentation: gas pressure, temperatures</t>
        </is>
      </c>
      <c r="E4675" s="12" t="inlineStr">
        <is>
          <t>GBC-1</t>
        </is>
      </c>
      <c r="F4675" s="12" t="inlineStr">
        <is>
          <t xml:space="preserve">GBC-1: block GB-1 generator collector box, 480 V outdoor switchboard, </t>
        </is>
      </c>
      <c r="G4675" s="12" t="inlineStr">
        <is>
          <t>GB-1.5</t>
        </is>
      </c>
      <c r="H4675" s="12" t="inlineStr">
        <is>
          <t>GB-1.5: modular gas genset 500 kW, 480 V (block GB-1, unit 5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Tray</t>
        </is>
      </c>
      <c r="T4675" s="15" t="n">
        <v>0</v>
      </c>
      <c r="U4675" s="15" t="n">
        <v>30</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I-I-0073</t>
        </is>
      </c>
      <c r="B4676" s="12" t="inlineStr">
        <is>
          <t>I</t>
        </is>
      </c>
      <c r="C4676" s="12" t="inlineStr">
        <is>
          <t>Modular / portable power</t>
        </is>
      </c>
      <c r="D4676" s="12" t="inlineStr">
        <is>
          <t>L7 GB-2.1 instrumentation: gas pressure, temperatures</t>
        </is>
      </c>
      <c r="E4676" s="12" t="inlineStr">
        <is>
          <t>GBC-2</t>
        </is>
      </c>
      <c r="F4676" s="12" t="inlineStr">
        <is>
          <t xml:space="preserve">GBC-2: block GB-2 generator collector box, 480 V outdoor switchboard, </t>
        </is>
      </c>
      <c r="G4676" s="12" t="inlineStr">
        <is>
          <t>GB-2.1</t>
        </is>
      </c>
      <c r="H4676" s="12" t="inlineStr">
        <is>
          <t>GB-2.1: modular gas genset 500 kW, 480 V (block GB-2, unit 1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44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I-I-0074</t>
        </is>
      </c>
      <c r="B4677" s="12" t="inlineStr">
        <is>
          <t>I</t>
        </is>
      </c>
      <c r="C4677" s="12" t="inlineStr">
        <is>
          <t>Modular / portable power</t>
        </is>
      </c>
      <c r="D4677" s="12" t="inlineStr">
        <is>
          <t>L7 GB-2.2 instrumentation: gas pressure, temperatures</t>
        </is>
      </c>
      <c r="E4677" s="12" t="inlineStr">
        <is>
          <t>GBC-2</t>
        </is>
      </c>
      <c r="F4677" s="12" t="inlineStr">
        <is>
          <t xml:space="preserve">GBC-2: block GB-2 generator collector box, 480 V outdoor switchboard, </t>
        </is>
      </c>
      <c r="G4677" s="12" t="inlineStr">
        <is>
          <t>GB-2.2</t>
        </is>
      </c>
      <c r="H4677" s="12" t="inlineStr">
        <is>
          <t>GB-2.2: modular gas genset 500 kW, 480 V (block GB-2, unit 2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34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I-I-0075</t>
        </is>
      </c>
      <c r="B4678" s="12" t="inlineStr">
        <is>
          <t>I</t>
        </is>
      </c>
      <c r="C4678" s="12" t="inlineStr">
        <is>
          <t>Modular / portable power</t>
        </is>
      </c>
      <c r="D4678" s="12" t="inlineStr">
        <is>
          <t>L7 GB-2.3 instrumentation: gas pressure, temperatures</t>
        </is>
      </c>
      <c r="E4678" s="12" t="inlineStr">
        <is>
          <t>GBC-2</t>
        </is>
      </c>
      <c r="F4678" s="12" t="inlineStr">
        <is>
          <t xml:space="preserve">GBC-2: block GB-2 generator collector box, 480 V outdoor switchboard, </t>
        </is>
      </c>
      <c r="G4678" s="12" t="inlineStr">
        <is>
          <t>GB-2.3</t>
        </is>
      </c>
      <c r="H4678" s="12" t="inlineStr">
        <is>
          <t>GB-2.3: modular gas genset 500 kW, 480 V (block GB-2, unit 3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24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I-I-0076</t>
        </is>
      </c>
      <c r="B4679" s="12" t="inlineStr">
        <is>
          <t>I</t>
        </is>
      </c>
      <c r="C4679" s="12" t="inlineStr">
        <is>
          <t>Modular / portable power</t>
        </is>
      </c>
      <c r="D4679" s="12" t="inlineStr">
        <is>
          <t>L7 GB-2.4 instrumentation: gas pressure, temperatures</t>
        </is>
      </c>
      <c r="E4679" s="12" t="inlineStr">
        <is>
          <t>GBC-2</t>
        </is>
      </c>
      <c r="F4679" s="12" t="inlineStr">
        <is>
          <t xml:space="preserve">GBC-2: block GB-2 generator collector box, 480 V outdoor switchboard, </t>
        </is>
      </c>
      <c r="G4679" s="12" t="inlineStr">
        <is>
          <t>GB-2.4</t>
        </is>
      </c>
      <c r="H4679" s="12" t="inlineStr">
        <is>
          <t>GB-2.4: modular gas genset 500 kW, 480 V (block GB-2, unit 4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Surface</t>
        </is>
      </c>
      <c r="T4679" s="15" t="n">
        <v>14</v>
      </c>
      <c r="U4679" s="15" t="n">
        <v>28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I-I-0077</t>
        </is>
      </c>
      <c r="B4680" s="12" t="inlineStr">
        <is>
          <t>I</t>
        </is>
      </c>
      <c r="C4680" s="12" t="inlineStr">
        <is>
          <t>Modular / portable power</t>
        </is>
      </c>
      <c r="D4680" s="12" t="inlineStr">
        <is>
          <t>L7 GB-2.5 instrumentation: gas pressure, temperatures</t>
        </is>
      </c>
      <c r="E4680" s="12" t="inlineStr">
        <is>
          <t>GBC-2</t>
        </is>
      </c>
      <c r="F4680" s="12" t="inlineStr">
        <is>
          <t xml:space="preserve">GBC-2: block GB-2 generator collector box, 480 V outdoor switchboard, </t>
        </is>
      </c>
      <c r="G4680" s="12" t="inlineStr">
        <is>
          <t>GB-2.5</t>
        </is>
      </c>
      <c r="H4680" s="12" t="inlineStr">
        <is>
          <t>GB-2.5: modular gas genset 500 kW, 480 V (block GB-2, unit 5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Tray</t>
        </is>
      </c>
      <c r="T4680" s="15" t="n">
        <v>0</v>
      </c>
      <c r="U4680" s="15" t="n">
        <v>30</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I-I-0078</t>
        </is>
      </c>
      <c r="B4681" s="12" t="inlineStr">
        <is>
          <t>I</t>
        </is>
      </c>
      <c r="C4681" s="12" t="inlineStr">
        <is>
          <t>Modular / portable power</t>
        </is>
      </c>
      <c r="D4681" s="12" t="inlineStr">
        <is>
          <t>L7 GB-3.1 instrumentation: gas pressure, temperatures</t>
        </is>
      </c>
      <c r="E4681" s="12" t="inlineStr">
        <is>
          <t>GBC-3</t>
        </is>
      </c>
      <c r="F4681" s="12" t="inlineStr">
        <is>
          <t xml:space="preserve">GBC-3: block GB-3 generator collector box, 480 V outdoor switchboard, </t>
        </is>
      </c>
      <c r="G4681" s="12" t="inlineStr">
        <is>
          <t>GB-3.1</t>
        </is>
      </c>
      <c r="H4681" s="12" t="inlineStr">
        <is>
          <t>GB-3.1: modular gas genset 500 kW, 480 V (block GB-3, unit 1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44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I-I-0079</t>
        </is>
      </c>
      <c r="B4682" s="12" t="inlineStr">
        <is>
          <t>I</t>
        </is>
      </c>
      <c r="C4682" s="12" t="inlineStr">
        <is>
          <t>Modular / portable power</t>
        </is>
      </c>
      <c r="D4682" s="12" t="inlineStr">
        <is>
          <t>L7 GB-3.2 instrumentation: gas pressure, temperatures</t>
        </is>
      </c>
      <c r="E4682" s="12" t="inlineStr">
        <is>
          <t>GBC-3</t>
        </is>
      </c>
      <c r="F4682" s="12" t="inlineStr">
        <is>
          <t xml:space="preserve">GBC-3: block GB-3 generator collector box, 480 V outdoor switchboard, </t>
        </is>
      </c>
      <c r="G4682" s="12" t="inlineStr">
        <is>
          <t>GB-3.2</t>
        </is>
      </c>
      <c r="H4682" s="12" t="inlineStr">
        <is>
          <t>GB-3.2: modular gas genset 500 kW, 480 V (block GB-3, unit 2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34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I-I-0080</t>
        </is>
      </c>
      <c r="B4683" s="12" t="inlineStr">
        <is>
          <t>I</t>
        </is>
      </c>
      <c r="C4683" s="12" t="inlineStr">
        <is>
          <t>Modular / portable power</t>
        </is>
      </c>
      <c r="D4683" s="12" t="inlineStr">
        <is>
          <t>L7 GB-3.3 instrumentation: gas pressure, temperatures</t>
        </is>
      </c>
      <c r="E4683" s="12" t="inlineStr">
        <is>
          <t>GBC-3</t>
        </is>
      </c>
      <c r="F4683" s="12" t="inlineStr">
        <is>
          <t xml:space="preserve">GBC-3: block GB-3 generator collector box, 480 V outdoor switchboard, </t>
        </is>
      </c>
      <c r="G4683" s="12" t="inlineStr">
        <is>
          <t>GB-3.3</t>
        </is>
      </c>
      <c r="H4683" s="12" t="inlineStr">
        <is>
          <t>GB-3.3: modular gas genset 500 kW, 480 V (block GB-3, unit 3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24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I-I-0081</t>
        </is>
      </c>
      <c r="B4684" s="12" t="inlineStr">
        <is>
          <t>I</t>
        </is>
      </c>
      <c r="C4684" s="12" t="inlineStr">
        <is>
          <t>Modular / portable power</t>
        </is>
      </c>
      <c r="D4684" s="12" t="inlineStr">
        <is>
          <t>L7 GB-3.4 instrumentation: gas pressure, temperatures</t>
        </is>
      </c>
      <c r="E4684" s="12" t="inlineStr">
        <is>
          <t>GBC-3</t>
        </is>
      </c>
      <c r="F4684" s="12" t="inlineStr">
        <is>
          <t xml:space="preserve">GBC-3: block GB-3 generator collector box, 480 V outdoor switchboard, </t>
        </is>
      </c>
      <c r="G4684" s="12" t="inlineStr">
        <is>
          <t>GB-3.4</t>
        </is>
      </c>
      <c r="H4684" s="12" t="inlineStr">
        <is>
          <t>GB-3.4: modular gas genset 500 kW, 480 V (block GB-3, unit 4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14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I-I-0082</t>
        </is>
      </c>
      <c r="B4685" s="12" t="inlineStr">
        <is>
          <t>I</t>
        </is>
      </c>
      <c r="C4685" s="12" t="inlineStr">
        <is>
          <t>Modular / portable power</t>
        </is>
      </c>
      <c r="D4685" s="12" t="inlineStr">
        <is>
          <t>L7 GB-3.5 instrumentation: gas pressure, temperatures</t>
        </is>
      </c>
      <c r="E4685" s="12" t="inlineStr">
        <is>
          <t>GBC-3</t>
        </is>
      </c>
      <c r="F4685" s="12" t="inlineStr">
        <is>
          <t xml:space="preserve">GBC-3: block GB-3 generator collector box, 480 V outdoor switchboard, </t>
        </is>
      </c>
      <c r="G4685" s="12" t="inlineStr">
        <is>
          <t>GB-3.5</t>
        </is>
      </c>
      <c r="H4685" s="12" t="inlineStr">
        <is>
          <t>GB-3.5: modular gas genset 500 kW, 480 V (block GB-3, unit 5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Tray</t>
        </is>
      </c>
      <c r="T4685" s="15" t="n">
        <v>0</v>
      </c>
      <c r="U4685" s="15" t="n">
        <v>30</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I-I-0083</t>
        </is>
      </c>
      <c r="B4686" s="12" t="inlineStr">
        <is>
          <t>I</t>
        </is>
      </c>
      <c r="C4686" s="12" t="inlineStr">
        <is>
          <t>Modular / portable power</t>
        </is>
      </c>
      <c r="D4686" s="12" t="inlineStr">
        <is>
          <t>L7 GB-4.1 instrumentation: gas pressure, temperatures</t>
        </is>
      </c>
      <c r="E4686" s="12" t="inlineStr">
        <is>
          <t>GBC-4</t>
        </is>
      </c>
      <c r="F4686" s="12" t="inlineStr">
        <is>
          <t xml:space="preserve">GBC-4: block GB-4 generator collector box, 480 V outdoor switchboard, </t>
        </is>
      </c>
      <c r="G4686" s="12" t="inlineStr">
        <is>
          <t>GB-4.1</t>
        </is>
      </c>
      <c r="H4686" s="12" t="inlineStr">
        <is>
          <t>GB-4.1: modular gas genset 500 kW, 480 V (block GB-4, unit 1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36</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I-I-0084</t>
        </is>
      </c>
      <c r="B4687" s="12" t="inlineStr">
        <is>
          <t>I</t>
        </is>
      </c>
      <c r="C4687" s="12" t="inlineStr">
        <is>
          <t>Modular / portable power</t>
        </is>
      </c>
      <c r="D4687" s="12" t="inlineStr">
        <is>
          <t>L7 GB-4.2 instrumentation: gas pressure, temperatures</t>
        </is>
      </c>
      <c r="E4687" s="12" t="inlineStr">
        <is>
          <t>GBC-4</t>
        </is>
      </c>
      <c r="F4687" s="12" t="inlineStr">
        <is>
          <t xml:space="preserve">GBC-4: block GB-4 generator collector box, 480 V outdoor switchboard, </t>
        </is>
      </c>
      <c r="G4687" s="12" t="inlineStr">
        <is>
          <t>GB-4.2</t>
        </is>
      </c>
      <c r="H4687" s="12" t="inlineStr">
        <is>
          <t>GB-4.2: modular gas genset 500 kW, 480 V (block GB-4, unit 2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34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I-I-0085</t>
        </is>
      </c>
      <c r="B4688" s="12" t="inlineStr">
        <is>
          <t>I</t>
        </is>
      </c>
      <c r="C4688" s="12" t="inlineStr">
        <is>
          <t>Modular / portable power</t>
        </is>
      </c>
      <c r="D4688" s="12" t="inlineStr">
        <is>
          <t>L7 GB-4.3 instrumentation: gas pressure, temperatures</t>
        </is>
      </c>
      <c r="E4688" s="12" t="inlineStr">
        <is>
          <t>GBC-4</t>
        </is>
      </c>
      <c r="F4688" s="12" t="inlineStr">
        <is>
          <t xml:space="preserve">GBC-4: block GB-4 generator collector box, 480 V outdoor switchboard, </t>
        </is>
      </c>
      <c r="G4688" s="12" t="inlineStr">
        <is>
          <t>GB-4.3</t>
        </is>
      </c>
      <c r="H4688" s="12" t="inlineStr">
        <is>
          <t>GB-4.3: modular gas genset 500 kW, 480 V (block GB-4, unit 3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24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I-I-0086</t>
        </is>
      </c>
      <c r="B4689" s="12" t="inlineStr">
        <is>
          <t>I</t>
        </is>
      </c>
      <c r="C4689" s="12" t="inlineStr">
        <is>
          <t>Modular / portable power</t>
        </is>
      </c>
      <c r="D4689" s="12" t="inlineStr">
        <is>
          <t>L7 GB-4.4 instrumentation: gas pressure, temperatures</t>
        </is>
      </c>
      <c r="E4689" s="12" t="inlineStr">
        <is>
          <t>GBC-4</t>
        </is>
      </c>
      <c r="F4689" s="12" t="inlineStr">
        <is>
          <t xml:space="preserve">GBC-4: block GB-4 generator collector box, 480 V outdoor switchboard, </t>
        </is>
      </c>
      <c r="G4689" s="12" t="inlineStr">
        <is>
          <t>GB-4.4</t>
        </is>
      </c>
      <c r="H4689" s="12" t="inlineStr">
        <is>
          <t>GB-4.4: modular gas genset 500 kW, 480 V (block GB-4, unit 4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14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I-I-0087</t>
        </is>
      </c>
      <c r="B4690" s="12" t="inlineStr">
        <is>
          <t>I</t>
        </is>
      </c>
      <c r="C4690" s="12" t="inlineStr">
        <is>
          <t>Modular / portable power</t>
        </is>
      </c>
      <c r="D4690" s="12" t="inlineStr">
        <is>
          <t>L7 GB-4.5 instrumentation: gas pressure, temperatures</t>
        </is>
      </c>
      <c r="E4690" s="12" t="inlineStr">
        <is>
          <t>GBC-4</t>
        </is>
      </c>
      <c r="F4690" s="12" t="inlineStr">
        <is>
          <t xml:space="preserve">GBC-4: block GB-4 generator collector box, 480 V outdoor switchboard, </t>
        </is>
      </c>
      <c r="G4690" s="12" t="inlineStr">
        <is>
          <t>GB-4.5</t>
        </is>
      </c>
      <c r="H4690" s="12" t="inlineStr">
        <is>
          <t>GB-4.5: modular gas genset 500 kW, 480 V (block GB-4, unit 5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Tray</t>
        </is>
      </c>
      <c r="T4690" s="15" t="n">
        <v>0</v>
      </c>
      <c r="U4690" s="15" t="n">
        <v>30</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I-I-0088</t>
        </is>
      </c>
      <c r="B4691" s="12" t="inlineStr">
        <is>
          <t>I</t>
        </is>
      </c>
      <c r="C4691" s="12" t="inlineStr">
        <is>
          <t>Modular / portable power</t>
        </is>
      </c>
      <c r="D4691" s="12" t="inlineStr">
        <is>
          <t>Analog instrument to JB JB-GEN-O canopy: stee-AI01: 20 x 1 pr (field cables)</t>
        </is>
      </c>
      <c r="E4691" s="12" t="inlineStr"/>
      <c r="F4691" s="12" t="inlineStr">
        <is>
          <t>GEN-O canopy: steel shade roof over the open skid</t>
        </is>
      </c>
      <c r="G4691" s="12" t="inlineStr">
        <is>
          <t>JB-GEN-O canopy: stee-AI01</t>
        </is>
      </c>
      <c r="H4691" s="12" t="inlineStr">
        <is>
          <t>GEN-O canopy: steel shade roof over the open skid</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20</v>
      </c>
      <c r="O4691" s="12" t="n">
        <v>1</v>
      </c>
      <c r="P4691" s="12" t="n"/>
      <c r="Q4691" s="12" t="n"/>
      <c r="R4691" s="12" t="n"/>
      <c r="S4691" s="12" t="inlineStr">
        <is>
          <t>Tray / conduit</t>
        </is>
      </c>
      <c r="T4691" s="15" t="n">
        <v>60</v>
      </c>
      <c r="U4691" s="15" t="n">
        <v>10</v>
      </c>
      <c r="V4691" s="15">
        <f>ROUNDUP((T4691+U4691+2*'Read Me'!$B$13)*(1+'Read Me'!$B$12),-1)</f>
        <v/>
      </c>
      <c r="W4691" s="15">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I-I-0089</t>
        </is>
      </c>
      <c r="B4692" s="12" t="inlineStr">
        <is>
          <t>I</t>
        </is>
      </c>
      <c r="C4692" s="12" t="inlineStr">
        <is>
          <t>Modular / portable power</t>
        </is>
      </c>
      <c r="D4692" s="12" t="inlineStr">
        <is>
          <t>Home run JB-GEN-O canopy: stee-AI01 to the control / marshalling room</t>
        </is>
      </c>
      <c r="E4692" s="12" t="inlineStr">
        <is>
          <t>PAD-EH</t>
        </is>
      </c>
      <c r="F4692" s="12" t="inlineStr">
        <is>
          <t>PAD-EH 13.8 kV switchgear e-house</t>
        </is>
      </c>
      <c r="G4692" s="12" t="inlineStr">
        <is>
          <t>JB-GEN-O canopy: stee-AI01</t>
        </is>
      </c>
      <c r="H4692" s="12" t="inlineStr">
        <is>
          <t>GEN-O canopy: steel shade roof over the open skid</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Surface</t>
        </is>
      </c>
      <c r="T4692" s="15" t="n">
        <v>176</v>
      </c>
      <c r="U4692" s="15" t="n">
        <v>27</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I-I-0090</t>
        </is>
      </c>
      <c r="B4693" s="12" t="inlineStr">
        <is>
          <t>I</t>
        </is>
      </c>
      <c r="C4693" s="12" t="inlineStr">
        <is>
          <t>Modular / portable power</t>
        </is>
      </c>
      <c r="D4693" s="12" t="inlineStr">
        <is>
          <t>Discrete device to JB JB-GEN-O canopy: stee-DI01: 20 x 1 pr (field cables)</t>
        </is>
      </c>
      <c r="E4693" s="12" t="inlineStr"/>
      <c r="F4693" s="12" t="inlineStr">
        <is>
          <t>GEN-O canopy: steel shade roof over the open skid</t>
        </is>
      </c>
      <c r="G4693" s="12" t="inlineStr">
        <is>
          <t>JB-GEN-O canopy: stee-DI01</t>
        </is>
      </c>
      <c r="H4693" s="12" t="inlineStr">
        <is>
          <t>GEN-O canopy: steel shade roof over the open skid</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60</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I-I-0091</t>
        </is>
      </c>
      <c r="B4694" s="12" t="inlineStr">
        <is>
          <t>I</t>
        </is>
      </c>
      <c r="C4694" s="12" t="inlineStr">
        <is>
          <t>Modular / portable power</t>
        </is>
      </c>
      <c r="D4694" s="12" t="inlineStr">
        <is>
          <t>Home run JB-GEN-O canopy: stee-DI01 to the control / marshalling room</t>
        </is>
      </c>
      <c r="E4694" s="12" t="inlineStr">
        <is>
          <t>PAD-EH</t>
        </is>
      </c>
      <c r="F4694" s="12" t="inlineStr">
        <is>
          <t>PAD-EH 13.8 kV switchgear e-house</t>
        </is>
      </c>
      <c r="G4694" s="12" t="inlineStr">
        <is>
          <t>JB-GEN-O canopy: stee-DI01</t>
        </is>
      </c>
      <c r="H4694" s="12" t="inlineStr">
        <is>
          <t>GEN-O canopy: steel shade roof over the open skid</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Surface</t>
        </is>
      </c>
      <c r="T4694" s="15" t="n">
        <v>176</v>
      </c>
      <c r="U4694" s="15" t="n">
        <v>27</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I-I-0092</t>
        </is>
      </c>
      <c r="B4695" s="12" t="inlineStr">
        <is>
          <t>I</t>
        </is>
      </c>
      <c r="C4695" s="12" t="inlineStr">
        <is>
          <t>Modular / portable power</t>
        </is>
      </c>
      <c r="D4695" s="12" t="inlineStr">
        <is>
          <t>Analog instrument to JB JB-GEN-O-AI01: 20 x 1 pr (field cables)</t>
        </is>
      </c>
      <c r="E4695" s="12" t="inlineStr">
        <is>
          <t>GEN-O</t>
        </is>
      </c>
      <c r="F4695" s="12" t="inlineStr">
        <is>
          <t>GEN-O: open engine-generator skid</t>
        </is>
      </c>
      <c r="G4695" s="12" t="inlineStr">
        <is>
          <t>JB-GEN-O-AI01</t>
        </is>
      </c>
      <c r="H4695" s="12" t="inlineStr">
        <is>
          <t>GEN-O: open engine-generator skid</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45</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I-I-0093</t>
        </is>
      </c>
      <c r="B4696" s="12" t="inlineStr">
        <is>
          <t>I</t>
        </is>
      </c>
      <c r="C4696" s="12" t="inlineStr">
        <is>
          <t>Modular / portable power</t>
        </is>
      </c>
      <c r="D4696" s="12" t="inlineStr">
        <is>
          <t>Home run JB-GEN-O-AI01 to the control / marshalling room</t>
        </is>
      </c>
      <c r="E4696" s="12" t="inlineStr">
        <is>
          <t>PAD-EH</t>
        </is>
      </c>
      <c r="F4696" s="12" t="inlineStr">
        <is>
          <t>PAD-EH 13.8 kV switchgear e-house</t>
        </is>
      </c>
      <c r="G4696" s="12" t="inlineStr">
        <is>
          <t>JB-GEN-O-AI01</t>
        </is>
      </c>
      <c r="H4696" s="12" t="inlineStr">
        <is>
          <t>GEN-O: open engine-generator skid</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Surface</t>
        </is>
      </c>
      <c r="T4696" s="15" t="n">
        <v>176</v>
      </c>
      <c r="U4696" s="15" t="n">
        <v>27</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I-I-0094</t>
        </is>
      </c>
      <c r="B4697" s="12" t="inlineStr">
        <is>
          <t>I</t>
        </is>
      </c>
      <c r="C4697" s="12" t="inlineStr">
        <is>
          <t>Modular / portable power</t>
        </is>
      </c>
      <c r="D4697" s="12" t="inlineStr">
        <is>
          <t>Discrete device to JB JB-GEN-O-DI01: 20 x 1 pr (field cables)</t>
        </is>
      </c>
      <c r="E4697" s="12" t="inlineStr">
        <is>
          <t>GEN-O</t>
        </is>
      </c>
      <c r="F4697" s="12" t="inlineStr">
        <is>
          <t>GEN-O: open engine-generator skid</t>
        </is>
      </c>
      <c r="G4697" s="12" t="inlineStr">
        <is>
          <t>JB-GEN-O-DI01</t>
        </is>
      </c>
      <c r="H4697" s="12" t="inlineStr">
        <is>
          <t>GEN-O: open engine-generator skid</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20</v>
      </c>
      <c r="O4697" s="12" t="n">
        <v>1</v>
      </c>
      <c r="P4697" s="12" t="n"/>
      <c r="Q4697" s="12" t="n"/>
      <c r="R4697" s="12" t="n"/>
      <c r="S4697" s="12" t="inlineStr">
        <is>
          <t>Tray / conduit</t>
        </is>
      </c>
      <c r="T4697" s="15" t="n">
        <v>45</v>
      </c>
      <c r="U4697" s="15" t="n">
        <v>10</v>
      </c>
      <c r="V4697" s="15">
        <f>ROUNDUP((T4697+U4697+2*'Read Me'!$B$13)*(1+'Read Me'!$B$12),-1)</f>
        <v/>
      </c>
      <c r="W4697" s="15">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I-I-0095</t>
        </is>
      </c>
      <c r="B4698" s="12" t="inlineStr">
        <is>
          <t>I</t>
        </is>
      </c>
      <c r="C4698" s="12" t="inlineStr">
        <is>
          <t>Modular / portable power</t>
        </is>
      </c>
      <c r="D4698" s="12" t="inlineStr">
        <is>
          <t>Home run JB-GEN-O-DI01 to the control / marshalling room</t>
        </is>
      </c>
      <c r="E4698" s="12" t="inlineStr">
        <is>
          <t>PAD-EH</t>
        </is>
      </c>
      <c r="F4698" s="12" t="inlineStr">
        <is>
          <t>PAD-EH 13.8 kV switchgear e-house</t>
        </is>
      </c>
      <c r="G4698" s="12" t="inlineStr">
        <is>
          <t>JB-GEN-O-DI01</t>
        </is>
      </c>
      <c r="H4698" s="12" t="inlineStr">
        <is>
          <t>GEN-O: open engine-generator skid</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Surface</t>
        </is>
      </c>
      <c r="T4698" s="15" t="n">
        <v>176</v>
      </c>
      <c r="U4698" s="15" t="n">
        <v>27</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I-I-0096</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Gas conditioning skid</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Duct bank</t>
        </is>
      </c>
      <c r="T4699" s="15" t="n">
        <v>296</v>
      </c>
      <c r="U4699" s="15" t="n">
        <v>172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I-I-0097</t>
        </is>
      </c>
      <c r="B4700" s="12" t="inlineStr">
        <is>
          <t>I</t>
        </is>
      </c>
      <c r="C4700" s="12" t="inlineStr">
        <is>
          <t>Modular / portable power</t>
        </is>
      </c>
      <c r="D4700" s="12" t="inlineStr">
        <is>
          <t>Instrumentation</t>
        </is>
      </c>
      <c r="E4700" s="12" t="inlineStr"/>
      <c r="F4700" s="12" t="inlineStr">
        <is>
          <t>PCM: power control module</t>
        </is>
      </c>
      <c r="G4700" s="12" t="inlineStr"/>
      <c r="H4700" s="12" t="inlineStr">
        <is>
          <t>Gas conditioning skid</t>
        </is>
      </c>
      <c r="I4700" s="12" t="inlineStr">
        <is>
          <t>Instrumentation</t>
        </is>
      </c>
      <c r="J4700" s="12" t="inlineStr">
        <is>
          <t>Instrumentation ITC / PLTC, IS, #18 shielded pairs, blue jacket</t>
        </is>
      </c>
      <c r="K4700" s="12" t="inlineStr">
        <is>
          <t>ITC|12 pr|18</t>
        </is>
      </c>
      <c r="L4700" s="12" t="inlineStr">
        <is>
          <t>12 pr</t>
        </is>
      </c>
      <c r="M4700" s="12" t="inlineStr">
        <is>
          <t>18</t>
        </is>
      </c>
      <c r="N4700" s="12" t="n">
        <v>1</v>
      </c>
      <c r="O4700" s="12" t="n">
        <v>1</v>
      </c>
      <c r="P4700" s="12" t="n"/>
      <c r="Q4700" s="12" t="n"/>
      <c r="R4700" s="12" t="n"/>
      <c r="S4700" s="12" t="inlineStr">
        <is>
          <t>Duct bank</t>
        </is>
      </c>
      <c r="T4700" s="15" t="n">
        <v>296</v>
      </c>
      <c r="U4700" s="15" t="n">
        <v>172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I-I-0098</t>
        </is>
      </c>
      <c r="B4701" s="12" t="inlineStr">
        <is>
          <t>I</t>
        </is>
      </c>
      <c r="C4701" s="12" t="inlineStr">
        <is>
          <t>Modular / portable power</t>
        </is>
      </c>
      <c r="D4701" s="12" t="inlineStr">
        <is>
          <t>IG-GSU monitoring: temperatures, gas relay, oil level</t>
        </is>
      </c>
      <c r="E4701" s="12" t="inlineStr">
        <is>
          <t>IG-1</t>
        </is>
      </c>
      <c r="F4701" s="12" t="inlineStr">
        <is>
          <t>IG-1: industrial gas-turbine installation, SGT-800 / H-25 class (~50 M</t>
        </is>
      </c>
      <c r="G4701" s="12" t="inlineStr">
        <is>
          <t>IG-GSU</t>
        </is>
      </c>
      <c r="H4701" s="12" t="inlineStr">
        <is>
          <t>IG-GSU: 13.8 / 34.5 kV step-up, ~60 MVA (IG-1 unit step-up)</t>
        </is>
      </c>
      <c r="I4701" s="12" t="inlineStr">
        <is>
          <t>Instrumentation</t>
        </is>
      </c>
      <c r="J4701" s="12" t="inlineStr">
        <is>
          <t>Instrumentation ITC / PLTC, IS, #18 shielded pairs, blue jacket</t>
        </is>
      </c>
      <c r="K4701" s="12" t="inlineStr">
        <is>
          <t>ITC|4 pr|18</t>
        </is>
      </c>
      <c r="L4701" s="12" t="inlineStr">
        <is>
          <t>4 pr</t>
        </is>
      </c>
      <c r="M4701" s="12" t="inlineStr">
        <is>
          <t>18</t>
        </is>
      </c>
      <c r="N4701" s="12" t="n">
        <v>1</v>
      </c>
      <c r="O4701" s="12" t="n">
        <v>1</v>
      </c>
      <c r="P4701" s="12" t="n"/>
      <c r="Q4701" s="12" t="n"/>
      <c r="R4701" s="12" t="n"/>
      <c r="S4701" s="12" t="inlineStr">
        <is>
          <t>Duct bank</t>
        </is>
      </c>
      <c r="T4701" s="15" t="n">
        <v>26</v>
      </c>
      <c r="U4701" s="15" t="n">
        <v>32</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I-I-0099</t>
        </is>
      </c>
      <c r="B4702" s="12" t="inlineStr">
        <is>
          <t>I</t>
        </is>
      </c>
      <c r="C4702" s="12" t="inlineStr">
        <is>
          <t>Modular / portable power</t>
        </is>
      </c>
      <c r="D4702" s="12" t="inlineStr">
        <is>
          <t>Analog instrument to JB JB-MOB-1-AI01: 20 x 1 pr (field cables)</t>
        </is>
      </c>
      <c r="E4702" s="12" t="inlineStr">
        <is>
          <t>MOB-1</t>
        </is>
      </c>
      <c r="F4702" s="12" t="inlineStr">
        <is>
          <t>MOB-1: trailer genset</t>
        </is>
      </c>
      <c r="G4702" s="12" t="inlineStr">
        <is>
          <t>JB-MOB-1-AI01</t>
        </is>
      </c>
      <c r="H4702" s="12" t="inlineStr">
        <is>
          <t>MOB-1: trailer genset</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5" t="n">
        <v>61</v>
      </c>
      <c r="U4702" s="15" t="n">
        <v>10</v>
      </c>
      <c r="V4702" s="15">
        <f>ROUNDUP((T4702+U4702+2*'Read Me'!$B$13)*(1+'Read Me'!$B$12),-1)</f>
        <v/>
      </c>
      <c r="W4702" s="15">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I-I-0100</t>
        </is>
      </c>
      <c r="B4703" s="12" t="inlineStr">
        <is>
          <t>I</t>
        </is>
      </c>
      <c r="C4703" s="12" t="inlineStr">
        <is>
          <t>Modular / portable power</t>
        </is>
      </c>
      <c r="D4703" s="12" t="inlineStr">
        <is>
          <t>Home run JB-MOB-1-AI01 to the control / marshalling room</t>
        </is>
      </c>
      <c r="E4703" s="12" t="inlineStr">
        <is>
          <t>PAD-EH</t>
        </is>
      </c>
      <c r="F4703" s="12" t="inlineStr">
        <is>
          <t>PAD-EH 13.8 kV switchgear e-house</t>
        </is>
      </c>
      <c r="G4703" s="12" t="inlineStr">
        <is>
          <t>JB-MOB-1-AI01</t>
        </is>
      </c>
      <c r="H4703" s="12" t="inlineStr">
        <is>
          <t>MOB-1: trailer genset</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5" t="n">
        <v>249</v>
      </c>
      <c r="U4703" s="15" t="n">
        <v>53</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I-I-0101</t>
        </is>
      </c>
      <c r="B4704" s="12" t="inlineStr">
        <is>
          <t>I</t>
        </is>
      </c>
      <c r="C4704" s="12" t="inlineStr">
        <is>
          <t>Modular / portable power</t>
        </is>
      </c>
      <c r="D4704" s="12" t="inlineStr">
        <is>
          <t>Discrete device to JB JB-MOB-1-DI01: 20 x 1 pr (field cables)</t>
        </is>
      </c>
      <c r="E4704" s="12" t="inlineStr">
        <is>
          <t>MOB-1</t>
        </is>
      </c>
      <c r="F4704" s="12" t="inlineStr">
        <is>
          <t>MOB-1: trailer genset</t>
        </is>
      </c>
      <c r="G4704" s="12" t="inlineStr">
        <is>
          <t>JB-MOB-1-DI01</t>
        </is>
      </c>
      <c r="H4704" s="12" t="inlineStr">
        <is>
          <t>MOB-1: trailer genset</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5" t="n">
        <v>61</v>
      </c>
      <c r="U4704" s="15" t="n">
        <v>10</v>
      </c>
      <c r="V4704" s="15">
        <f>ROUNDUP((T4704+U4704+2*'Read Me'!$B$13)*(1+'Read Me'!$B$12),-1)</f>
        <v/>
      </c>
      <c r="W4704" s="15">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I-I-0102</t>
        </is>
      </c>
      <c r="B4705" s="12" t="inlineStr">
        <is>
          <t>I</t>
        </is>
      </c>
      <c r="C4705" s="12" t="inlineStr">
        <is>
          <t>Modular / portable power</t>
        </is>
      </c>
      <c r="D4705" s="12" t="inlineStr">
        <is>
          <t>Home run JB-MOB-1-DI01 to the control / marshalling room</t>
        </is>
      </c>
      <c r="E4705" s="12" t="inlineStr">
        <is>
          <t>PAD-EH</t>
        </is>
      </c>
      <c r="F4705" s="12" t="inlineStr">
        <is>
          <t>PAD-EH 13.8 kV switchgear e-house</t>
        </is>
      </c>
      <c r="G4705" s="12" t="inlineStr">
        <is>
          <t>JB-MOB-1-DI01</t>
        </is>
      </c>
      <c r="H4705" s="12" t="inlineStr">
        <is>
          <t>MOB-1: trailer genset</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5" t="n">
        <v>249</v>
      </c>
      <c r="U4705" s="15" t="n">
        <v>53</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I-I-0103</t>
        </is>
      </c>
      <c r="B4706" s="12" t="inlineStr">
        <is>
          <t>I</t>
        </is>
      </c>
      <c r="C4706" s="12" t="inlineStr">
        <is>
          <t>Modular / portable power</t>
        </is>
      </c>
      <c r="D4706" s="12" t="inlineStr">
        <is>
          <t>MOD-GT1 monitoring: temperatures, gas relay, oil level</t>
        </is>
      </c>
      <c r="E4706" s="12" t="inlineStr">
        <is>
          <t>MOD-EH</t>
        </is>
      </c>
      <c r="F4706" s="12" t="inlineStr">
        <is>
          <t>MOD-EH: 34.5 kV modular collector e-house (2 bus sections + 13.8 kV st</t>
        </is>
      </c>
      <c r="G4706" s="12" t="inlineStr">
        <is>
          <t>MOD-GT1</t>
        </is>
      </c>
      <c r="H4706" s="12" t="inlineStr">
        <is>
          <t>MOD-GT1: 34.5 kV zigzag grounding transformer, MOD-EH bus 1</t>
        </is>
      </c>
      <c r="I4706" s="12" t="inlineStr">
        <is>
          <t>Instrumentation</t>
        </is>
      </c>
      <c r="J4706" s="12" t="inlineStr">
        <is>
          <t>Instrumentation ITC / PLTC, IS, #18 shielded pairs, blue jacket</t>
        </is>
      </c>
      <c r="K4706" s="12" t="inlineStr">
        <is>
          <t>ITC|4 pr|18</t>
        </is>
      </c>
      <c r="L4706" s="12" t="inlineStr">
        <is>
          <t>4 pr</t>
        </is>
      </c>
      <c r="M4706" s="12" t="inlineStr">
        <is>
          <t>18</t>
        </is>
      </c>
      <c r="N4706" s="12" t="n">
        <v>1</v>
      </c>
      <c r="O4706" s="12" t="n">
        <v>1</v>
      </c>
      <c r="P4706" s="12" t="n"/>
      <c r="Q4706" s="12" t="n"/>
      <c r="R4706" s="12" t="n"/>
      <c r="S4706" s="12" t="inlineStr">
        <is>
          <t>Riser</t>
        </is>
      </c>
      <c r="T4706" s="15" t="n">
        <v>4</v>
      </c>
      <c r="U4706" s="15" t="n">
        <v>32</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I-I-0104</t>
        </is>
      </c>
      <c r="B4707" s="12" t="inlineStr">
        <is>
          <t>I</t>
        </is>
      </c>
      <c r="C4707" s="12" t="inlineStr">
        <is>
          <t>Modular / portable power</t>
        </is>
      </c>
      <c r="D4707" s="12" t="inlineStr">
        <is>
          <t>MOD-GT2 monitoring: temperatures, gas relay, oil level</t>
        </is>
      </c>
      <c r="E4707" s="12" t="inlineStr">
        <is>
          <t>MOD-EH</t>
        </is>
      </c>
      <c r="F4707" s="12" t="inlineStr">
        <is>
          <t>MOD-EH: 34.5 kV modular collector e-house (2 bus sections + 13.8 kV st</t>
        </is>
      </c>
      <c r="G4707" s="12" t="inlineStr">
        <is>
          <t>MOD-GT2</t>
        </is>
      </c>
      <c r="H4707" s="12" t="inlineStr">
        <is>
          <t>MOD-GT2: 34.5 kV zigzag grounding transformer, MOD-EH bus 2</t>
        </is>
      </c>
      <c r="I4707" s="12" t="inlineStr">
        <is>
          <t>Instrumentation</t>
        </is>
      </c>
      <c r="J4707" s="12" t="inlineStr">
        <is>
          <t>Instrumentation ITC / PLTC, IS, #18 shielded pairs, blue jacket</t>
        </is>
      </c>
      <c r="K4707" s="12" t="inlineStr">
        <is>
          <t>ITC|4 pr|18</t>
        </is>
      </c>
      <c r="L4707" s="12" t="inlineStr">
        <is>
          <t>4 pr</t>
        </is>
      </c>
      <c r="M4707" s="12" t="inlineStr">
        <is>
          <t>18</t>
        </is>
      </c>
      <c r="N4707" s="12" t="n">
        <v>1</v>
      </c>
      <c r="O4707" s="12" t="n">
        <v>1</v>
      </c>
      <c r="P4707" s="12" t="n"/>
      <c r="Q4707" s="12" t="n"/>
      <c r="R4707" s="12" t="n"/>
      <c r="S4707" s="12" t="inlineStr">
        <is>
          <t>Riser</t>
        </is>
      </c>
      <c r="T4707" s="15" t="n">
        <v>4</v>
      </c>
      <c r="U4707" s="15" t="n">
        <v>32</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I-I-0105</t>
        </is>
      </c>
      <c r="B4708" s="12" t="inlineStr">
        <is>
          <t>I</t>
        </is>
      </c>
      <c r="C4708" s="12" t="inlineStr">
        <is>
          <t>Modular / portable power</t>
        </is>
      </c>
      <c r="D4708" s="12" t="inlineStr">
        <is>
          <t>Instrumentation</t>
        </is>
      </c>
      <c r="E4708" s="12" t="inlineStr"/>
      <c r="F4708" s="12" t="inlineStr">
        <is>
          <t>PCM: power control module</t>
        </is>
      </c>
      <c r="G4708" s="12" t="inlineStr"/>
      <c r="H4708" s="12" t="inlineStr">
        <is>
          <t>MOD-LV 480 V board + 480 V : 13.8 kV step-up</t>
        </is>
      </c>
      <c r="I4708" s="12" t="inlineStr">
        <is>
          <t>Instrumentation</t>
        </is>
      </c>
      <c r="J4708" s="12" t="inlineStr">
        <is>
          <t>Instrumentation PLTC / TC-ER 300 V, #18 twisted shielded pairs, overall shield</t>
        </is>
      </c>
      <c r="K4708" s="12" t="inlineStr">
        <is>
          <t>PLTC|4 pr|18</t>
        </is>
      </c>
      <c r="L4708" s="12" t="inlineStr">
        <is>
          <t>4 pr</t>
        </is>
      </c>
      <c r="M4708" s="12" t="inlineStr">
        <is>
          <t>18</t>
        </is>
      </c>
      <c r="N4708" s="12" t="n">
        <v>1</v>
      </c>
      <c r="O4708" s="12" t="n">
        <v>1</v>
      </c>
      <c r="P4708" s="12" t="n"/>
      <c r="Q4708" s="12" t="n"/>
      <c r="R4708" s="12" t="n"/>
      <c r="S4708" s="12" t="inlineStr">
        <is>
          <t>Duct bank</t>
        </is>
      </c>
      <c r="T4708" s="15" t="n">
        <v>723</v>
      </c>
      <c r="U4708" s="15" t="n">
        <v>32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I-I-0106</t>
        </is>
      </c>
      <c r="B4709" s="12" t="inlineStr">
        <is>
          <t>I</t>
        </is>
      </c>
      <c r="C4709" s="12" t="inlineStr">
        <is>
          <t>Modular / portable power</t>
        </is>
      </c>
      <c r="D4709" s="12" t="inlineStr">
        <is>
          <t>MOD-SST monitoring: temperatures, gas relay, oil level</t>
        </is>
      </c>
      <c r="E4709" s="12" t="inlineStr">
        <is>
          <t>MOD-EH</t>
        </is>
      </c>
      <c r="F4709" s="12" t="inlineStr">
        <is>
          <t>MOD-EH: 34.5 kV modular collector e-house (2 bus sections + 13.8 kV st</t>
        </is>
      </c>
      <c r="G4709" s="12" t="inlineStr">
        <is>
          <t>MOD-SST</t>
        </is>
      </c>
      <c r="H4709" s="12" t="inlineStr">
        <is>
          <t>MOD-SST: 34.5 / 13.8 kV station-service transformer, ~10 MVA (yard sta</t>
        </is>
      </c>
      <c r="I4709" s="12" t="inlineStr">
        <is>
          <t>Instrumentation</t>
        </is>
      </c>
      <c r="J4709" s="12" t="inlineStr">
        <is>
          <t>Instrumentation ITC / PLTC, IS, #18 shielded pairs, blue jacket</t>
        </is>
      </c>
      <c r="K4709" s="12" t="inlineStr">
        <is>
          <t>ITC|4 pr|18</t>
        </is>
      </c>
      <c r="L4709" s="12" t="inlineStr">
        <is>
          <t>4 pr</t>
        </is>
      </c>
      <c r="M4709" s="12" t="inlineStr">
        <is>
          <t>18</t>
        </is>
      </c>
      <c r="N4709" s="12" t="n">
        <v>1</v>
      </c>
      <c r="O4709" s="12" t="n">
        <v>1</v>
      </c>
      <c r="P4709" s="12" t="n"/>
      <c r="Q4709" s="12" t="n"/>
      <c r="R4709" s="12" t="n"/>
      <c r="S4709" s="12" t="inlineStr">
        <is>
          <t>Duct bank</t>
        </is>
      </c>
      <c r="T4709" s="15" t="n">
        <v>237</v>
      </c>
      <c r="U4709" s="15" t="n">
        <v>32</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I-I-0107</t>
        </is>
      </c>
      <c r="B4710" s="12" t="inlineStr">
        <is>
          <t>I</t>
        </is>
      </c>
      <c r="C4710" s="12" t="inlineStr">
        <is>
          <t>Modular / portable power</t>
        </is>
      </c>
      <c r="D4710" s="12" t="inlineStr">
        <is>
          <t>Analog instrument to JB JB-MT-4..6 480 V swit-AI01: 6 x 1 pr (field cables)</t>
        </is>
      </c>
      <c r="E4710" s="12" t="inlineStr"/>
      <c r="F4710" s="12" t="inlineStr">
        <is>
          <t>MT-4..6 480 V switchboard</t>
        </is>
      </c>
      <c r="G4710" s="12" t="inlineStr">
        <is>
          <t>JB-MT-4..6 480 V swit-AI01</t>
        </is>
      </c>
      <c r="H4710" s="12" t="inlineStr">
        <is>
          <t>MT-4..6 480 V switchboard</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6</v>
      </c>
      <c r="O4710" s="12" t="n">
        <v>1</v>
      </c>
      <c r="P4710" s="12" t="n"/>
      <c r="Q4710" s="12" t="n"/>
      <c r="R4710" s="12" t="n"/>
      <c r="S4710" s="12" t="inlineStr">
        <is>
          <t>Tray / conduit</t>
        </is>
      </c>
      <c r="T4710" s="15" t="n">
        <v>44</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I-I-0108</t>
        </is>
      </c>
      <c r="B4711" s="12" t="inlineStr">
        <is>
          <t>I</t>
        </is>
      </c>
      <c r="C4711" s="12" t="inlineStr">
        <is>
          <t>Modular / portable power</t>
        </is>
      </c>
      <c r="D4711" s="12" t="inlineStr">
        <is>
          <t>Home run JB-MT-4..6 480 V swit-AI01 to the control / marshalling room</t>
        </is>
      </c>
      <c r="E4711" s="12" t="inlineStr">
        <is>
          <t>PAD-EH</t>
        </is>
      </c>
      <c r="F4711" s="12" t="inlineStr">
        <is>
          <t>PAD-EH 13.8 kV switchgear e-house</t>
        </is>
      </c>
      <c r="G4711" s="12" t="inlineStr">
        <is>
          <t>JB-MT-4..6 480 V swit-AI01</t>
        </is>
      </c>
      <c r="H4711" s="12" t="inlineStr">
        <is>
          <t>MT-4..6 480 V switchboard</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Surface</t>
        </is>
      </c>
      <c r="T4711" s="15" t="n">
        <v>154</v>
      </c>
      <c r="U4711" s="15" t="n">
        <v>37</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I-I-0109</t>
        </is>
      </c>
      <c r="B4712" s="12" t="inlineStr">
        <is>
          <t>I</t>
        </is>
      </c>
      <c r="C4712" s="12" t="inlineStr">
        <is>
          <t>Modular / portable power</t>
        </is>
      </c>
      <c r="D4712" s="12" t="inlineStr">
        <is>
          <t>Discrete device to JB JB-MT-4..6 480 V swit-DI01: 6 x 1 pr (field cables)</t>
        </is>
      </c>
      <c r="E4712" s="12" t="inlineStr"/>
      <c r="F4712" s="12" t="inlineStr">
        <is>
          <t>MT-4..6 480 V switchboard</t>
        </is>
      </c>
      <c r="G4712" s="12" t="inlineStr">
        <is>
          <t>JB-MT-4..6 480 V swit-DI01</t>
        </is>
      </c>
      <c r="H4712" s="12" t="inlineStr">
        <is>
          <t>MT-4..6 480 V switchboard</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6</v>
      </c>
      <c r="O4712" s="12" t="n">
        <v>1</v>
      </c>
      <c r="P4712" s="12" t="n"/>
      <c r="Q4712" s="12" t="n"/>
      <c r="R4712" s="12" t="n"/>
      <c r="S4712" s="12" t="inlineStr">
        <is>
          <t>Tray / conduit</t>
        </is>
      </c>
      <c r="T4712" s="15" t="n">
        <v>44</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I-I-0110</t>
        </is>
      </c>
      <c r="B4713" s="12" t="inlineStr">
        <is>
          <t>I</t>
        </is>
      </c>
      <c r="C4713" s="12" t="inlineStr">
        <is>
          <t>Modular / portable power</t>
        </is>
      </c>
      <c r="D4713" s="12" t="inlineStr">
        <is>
          <t>Home run JB-MT-4..6 480 V swit-DI01 to the control / marshalling room</t>
        </is>
      </c>
      <c r="E4713" s="12" t="inlineStr">
        <is>
          <t>PAD-EH</t>
        </is>
      </c>
      <c r="F4713" s="12" t="inlineStr">
        <is>
          <t>PAD-EH 13.8 kV switchgear e-house</t>
        </is>
      </c>
      <c r="G4713" s="12" t="inlineStr">
        <is>
          <t>JB-MT-4..6 480 V swit-DI01</t>
        </is>
      </c>
      <c r="H4713" s="12" t="inlineStr">
        <is>
          <t>MT-4..6 480 V switchboard</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Surface</t>
        </is>
      </c>
      <c r="T4713" s="15" t="n">
        <v>154</v>
      </c>
      <c r="U4713" s="15" t="n">
        <v>37</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I-I-0111</t>
        </is>
      </c>
      <c r="B4714" s="12" t="inlineStr">
        <is>
          <t>I</t>
        </is>
      </c>
      <c r="C4714" s="12" t="inlineStr">
        <is>
          <t>Modular / portable power</t>
        </is>
      </c>
      <c r="D4714" s="12" t="inlineStr">
        <is>
          <t>Analog instrument to JB JB-MT-4-AI01: 6 x 1 pr (field cables)</t>
        </is>
      </c>
      <c r="E4714" s="12" t="inlineStr">
        <is>
          <t>MT-4</t>
        </is>
      </c>
      <c r="F4714" s="12" t="inlineStr">
        <is>
          <t>MT-4: microturbine 1 MW (1 MW package class)</t>
        </is>
      </c>
      <c r="G4714" s="12" t="inlineStr">
        <is>
          <t>JB-MT-4-AI01</t>
        </is>
      </c>
      <c r="H4714" s="12" t="inlineStr">
        <is>
          <t>MT-4: microturbine 1 MW (1 MW package class)</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6</v>
      </c>
      <c r="O4714" s="12" t="n">
        <v>1</v>
      </c>
      <c r="P4714" s="12" t="n"/>
      <c r="Q4714" s="12" t="n"/>
      <c r="R4714" s="12" t="n"/>
      <c r="S4714" s="12" t="inlineStr">
        <is>
          <t>Tray / conduit</t>
        </is>
      </c>
      <c r="T4714" s="15" t="n">
        <v>47</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I-I-0112</t>
        </is>
      </c>
      <c r="B4715" s="12" t="inlineStr">
        <is>
          <t>I</t>
        </is>
      </c>
      <c r="C4715" s="12" t="inlineStr">
        <is>
          <t>Modular / portable power</t>
        </is>
      </c>
      <c r="D4715" s="12" t="inlineStr">
        <is>
          <t>Home run JB-MT-4-AI01 to the control / marshalling room</t>
        </is>
      </c>
      <c r="E4715" s="12" t="inlineStr">
        <is>
          <t>PAD-EH</t>
        </is>
      </c>
      <c r="F4715" s="12" t="inlineStr">
        <is>
          <t>PAD-EH 13.8 kV switchgear e-house</t>
        </is>
      </c>
      <c r="G4715" s="12" t="inlineStr">
        <is>
          <t>JB-MT-4-AI01</t>
        </is>
      </c>
      <c r="H4715" s="12" t="inlineStr">
        <is>
          <t>MT-4: microturbine 1 MW (1 MW package class)</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Surface</t>
        </is>
      </c>
      <c r="T4715" s="15" t="n">
        <v>238</v>
      </c>
      <c r="U4715" s="15" t="n">
        <v>33</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I-I-0113</t>
        </is>
      </c>
      <c r="B4716" s="12" t="inlineStr">
        <is>
          <t>I</t>
        </is>
      </c>
      <c r="C4716" s="12" t="inlineStr">
        <is>
          <t>Modular / portable power</t>
        </is>
      </c>
      <c r="D4716" s="12" t="inlineStr">
        <is>
          <t>Discrete device to JB JB-MT-4-DI01: 6 x 1 pr (field cables)</t>
        </is>
      </c>
      <c r="E4716" s="12" t="inlineStr">
        <is>
          <t>MT-4</t>
        </is>
      </c>
      <c r="F4716" s="12" t="inlineStr">
        <is>
          <t>MT-4: microturbine 1 MW (1 MW package class)</t>
        </is>
      </c>
      <c r="G4716" s="12" t="inlineStr">
        <is>
          <t>JB-MT-4-DI01</t>
        </is>
      </c>
      <c r="H4716" s="12" t="inlineStr">
        <is>
          <t>MT-4: microturbine 1 MW (1 MW package class)</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6</v>
      </c>
      <c r="O4716" s="12" t="n">
        <v>1</v>
      </c>
      <c r="P4716" s="12" t="n"/>
      <c r="Q4716" s="12" t="n"/>
      <c r="R4716" s="12" t="n"/>
      <c r="S4716" s="12" t="inlineStr">
        <is>
          <t>Tray / conduit</t>
        </is>
      </c>
      <c r="T4716" s="15" t="n">
        <v>47</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I-I-0114</t>
        </is>
      </c>
      <c r="B4717" s="12" t="inlineStr">
        <is>
          <t>I</t>
        </is>
      </c>
      <c r="C4717" s="12" t="inlineStr">
        <is>
          <t>Modular / portable power</t>
        </is>
      </c>
      <c r="D4717" s="12" t="inlineStr">
        <is>
          <t>Home run JB-MT-4-DI01 to the control / marshalling room</t>
        </is>
      </c>
      <c r="E4717" s="12" t="inlineStr">
        <is>
          <t>PAD-EH</t>
        </is>
      </c>
      <c r="F4717" s="12" t="inlineStr">
        <is>
          <t>PAD-EH 13.8 kV switchgear e-house</t>
        </is>
      </c>
      <c r="G4717" s="12" t="inlineStr">
        <is>
          <t>JB-MT-4-DI01</t>
        </is>
      </c>
      <c r="H4717" s="12" t="inlineStr">
        <is>
          <t>MT-4: microturbine 1 MW (1 MW package class)</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Surface</t>
        </is>
      </c>
      <c r="T4717" s="15" t="n">
        <v>238</v>
      </c>
      <c r="U4717" s="15" t="n">
        <v>33</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I-I-0115</t>
        </is>
      </c>
      <c r="B4718" s="12" t="inlineStr">
        <is>
          <t>I</t>
        </is>
      </c>
      <c r="C4718" s="12" t="inlineStr">
        <is>
          <t>Modular / portable power</t>
        </is>
      </c>
      <c r="D4718" s="12" t="inlineStr">
        <is>
          <t>Analog instrument to JB JB-MT-5-AI01: 6 x 1 pr (field cables)</t>
        </is>
      </c>
      <c r="E4718" s="12" t="inlineStr">
        <is>
          <t>MT-5</t>
        </is>
      </c>
      <c r="F4718" s="12" t="inlineStr">
        <is>
          <t>MT-5: microturbine 1 MW (1 MW package class)</t>
        </is>
      </c>
      <c r="G4718" s="12" t="inlineStr">
        <is>
          <t>JB-MT-5-AI01</t>
        </is>
      </c>
      <c r="H4718" s="12" t="inlineStr">
        <is>
          <t>MT-5: microturbine 1 MW (1 MW package class)</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6</v>
      </c>
      <c r="O4718" s="12" t="n">
        <v>1</v>
      </c>
      <c r="P4718" s="12" t="n"/>
      <c r="Q4718" s="12" t="n"/>
      <c r="R4718" s="12" t="n"/>
      <c r="S4718" s="12" t="inlineStr">
        <is>
          <t>Tray / conduit</t>
        </is>
      </c>
      <c r="T4718" s="15" t="n">
        <v>47</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I-I-0116</t>
        </is>
      </c>
      <c r="B4719" s="12" t="inlineStr">
        <is>
          <t>I</t>
        </is>
      </c>
      <c r="C4719" s="12" t="inlineStr">
        <is>
          <t>Modular / portable power</t>
        </is>
      </c>
      <c r="D4719" s="12" t="inlineStr">
        <is>
          <t>Home run JB-MT-5-AI01 to the control / marshalling room</t>
        </is>
      </c>
      <c r="E4719" s="12" t="inlineStr">
        <is>
          <t>PAD-EH</t>
        </is>
      </c>
      <c r="F4719" s="12" t="inlineStr">
        <is>
          <t>PAD-EH 13.8 kV switchgear e-house</t>
        </is>
      </c>
      <c r="G4719" s="12" t="inlineStr">
        <is>
          <t>JB-MT-5-AI01</t>
        </is>
      </c>
      <c r="H4719" s="12" t="inlineStr">
        <is>
          <t>MT-5: microturbine 1 MW (1 MW package class)</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Surface</t>
        </is>
      </c>
      <c r="T4719" s="15" t="n">
        <v>224</v>
      </c>
      <c r="U4719" s="15" t="n">
        <v>33</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I-I-0117</t>
        </is>
      </c>
      <c r="B4720" s="12" t="inlineStr">
        <is>
          <t>I</t>
        </is>
      </c>
      <c r="C4720" s="12" t="inlineStr">
        <is>
          <t>Modular / portable power</t>
        </is>
      </c>
      <c r="D4720" s="12" t="inlineStr">
        <is>
          <t>Discrete device to JB JB-MT-5-DI01: 6 x 1 pr (field cables)</t>
        </is>
      </c>
      <c r="E4720" s="12" t="inlineStr">
        <is>
          <t>MT-5</t>
        </is>
      </c>
      <c r="F4720" s="12" t="inlineStr">
        <is>
          <t>MT-5: microturbine 1 MW (1 MW package class)</t>
        </is>
      </c>
      <c r="G4720" s="12" t="inlineStr">
        <is>
          <t>JB-MT-5-DI01</t>
        </is>
      </c>
      <c r="H4720" s="12" t="inlineStr">
        <is>
          <t>MT-5: microturbine 1 MW (1 MW package class)</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6</v>
      </c>
      <c r="O4720" s="12" t="n">
        <v>1</v>
      </c>
      <c r="P4720" s="12" t="n"/>
      <c r="Q4720" s="12" t="n"/>
      <c r="R4720" s="12" t="n"/>
      <c r="S4720" s="12" t="inlineStr">
        <is>
          <t>Tray / conduit</t>
        </is>
      </c>
      <c r="T4720" s="15" t="n">
        <v>47</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I-I-0118</t>
        </is>
      </c>
      <c r="B4721" s="12" t="inlineStr">
        <is>
          <t>I</t>
        </is>
      </c>
      <c r="C4721" s="12" t="inlineStr">
        <is>
          <t>Modular / portable power</t>
        </is>
      </c>
      <c r="D4721" s="12" t="inlineStr">
        <is>
          <t>Home run JB-MT-5-DI01 to the control / marshalling room</t>
        </is>
      </c>
      <c r="E4721" s="12" t="inlineStr">
        <is>
          <t>PAD-EH</t>
        </is>
      </c>
      <c r="F4721" s="12" t="inlineStr">
        <is>
          <t>PAD-EH 13.8 kV switchgear e-house</t>
        </is>
      </c>
      <c r="G4721" s="12" t="inlineStr">
        <is>
          <t>JB-MT-5-DI01</t>
        </is>
      </c>
      <c r="H4721" s="12" t="inlineStr">
        <is>
          <t>MT-5: microturbine 1 MW (1 MW package class)</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Surface</t>
        </is>
      </c>
      <c r="T4721" s="15" t="n">
        <v>224</v>
      </c>
      <c r="U4721" s="15" t="n">
        <v>33</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I-I-0119</t>
        </is>
      </c>
      <c r="B4722" s="12" t="inlineStr">
        <is>
          <t>I</t>
        </is>
      </c>
      <c r="C4722" s="12" t="inlineStr">
        <is>
          <t>Modular / portable power</t>
        </is>
      </c>
      <c r="D4722" s="12" t="inlineStr">
        <is>
          <t>Analog instrument to JB JB-MT-6-AI01: 6 x 1 pr (field cables)</t>
        </is>
      </c>
      <c r="E4722" s="12" t="inlineStr">
        <is>
          <t>MT-6</t>
        </is>
      </c>
      <c r="F4722" s="12" t="inlineStr">
        <is>
          <t>MT-6: microturbine 1 MW (1 MW package class)</t>
        </is>
      </c>
      <c r="G4722" s="12" t="inlineStr">
        <is>
          <t>JB-MT-6-AI01</t>
        </is>
      </c>
      <c r="H4722" s="12" t="inlineStr">
        <is>
          <t>MT-6: microturbine 1 MW (1 MW package class)</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6</v>
      </c>
      <c r="O4722" s="12" t="n">
        <v>1</v>
      </c>
      <c r="P4722" s="12" t="n"/>
      <c r="Q4722" s="12" t="n"/>
      <c r="R4722" s="12" t="n"/>
      <c r="S4722" s="12" t="inlineStr">
        <is>
          <t>Tray / conduit</t>
        </is>
      </c>
      <c r="T4722" s="15" t="n">
        <v>47</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I-I-0120</t>
        </is>
      </c>
      <c r="B4723" s="12" t="inlineStr">
        <is>
          <t>I</t>
        </is>
      </c>
      <c r="C4723" s="12" t="inlineStr">
        <is>
          <t>Modular / portable power</t>
        </is>
      </c>
      <c r="D4723" s="12" t="inlineStr">
        <is>
          <t>Home run JB-MT-6-AI01 to the control / marshalling room</t>
        </is>
      </c>
      <c r="E4723" s="12" t="inlineStr">
        <is>
          <t>PAD-EH</t>
        </is>
      </c>
      <c r="F4723" s="12" t="inlineStr">
        <is>
          <t>PAD-EH 13.8 kV switchgear e-house</t>
        </is>
      </c>
      <c r="G4723" s="12" t="inlineStr">
        <is>
          <t>JB-MT-6-AI01</t>
        </is>
      </c>
      <c r="H4723" s="12" t="inlineStr">
        <is>
          <t>MT-6: microturbine 1 MW (1 MW package class)</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Surface</t>
        </is>
      </c>
      <c r="T4723" s="15" t="n">
        <v>135</v>
      </c>
      <c r="U4723" s="15" t="n">
        <v>31</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I-I-0121</t>
        </is>
      </c>
      <c r="B4724" s="12" t="inlineStr">
        <is>
          <t>I</t>
        </is>
      </c>
      <c r="C4724" s="12" t="inlineStr">
        <is>
          <t>Modular / portable power</t>
        </is>
      </c>
      <c r="D4724" s="12" t="inlineStr">
        <is>
          <t>Discrete device to JB JB-MT-6-DI01: 6 x 1 pr (field cables)</t>
        </is>
      </c>
      <c r="E4724" s="12" t="inlineStr">
        <is>
          <t>MT-6</t>
        </is>
      </c>
      <c r="F4724" s="12" t="inlineStr">
        <is>
          <t>MT-6: microturbine 1 MW (1 MW package class)</t>
        </is>
      </c>
      <c r="G4724" s="12" t="inlineStr">
        <is>
          <t>JB-MT-6-DI01</t>
        </is>
      </c>
      <c r="H4724" s="12" t="inlineStr">
        <is>
          <t>MT-6: microturbine 1 MW (1 MW package class)</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6</v>
      </c>
      <c r="O4724" s="12" t="n">
        <v>1</v>
      </c>
      <c r="P4724" s="12" t="n"/>
      <c r="Q4724" s="12" t="n"/>
      <c r="R4724" s="12" t="n"/>
      <c r="S4724" s="12" t="inlineStr">
        <is>
          <t>Tray / conduit</t>
        </is>
      </c>
      <c r="T4724" s="15" t="n">
        <v>47</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I-I-0122</t>
        </is>
      </c>
      <c r="B4725" s="12" t="inlineStr">
        <is>
          <t>I</t>
        </is>
      </c>
      <c r="C4725" s="12" t="inlineStr">
        <is>
          <t>Modular / portable power</t>
        </is>
      </c>
      <c r="D4725" s="12" t="inlineStr">
        <is>
          <t>Home run JB-MT-6-DI01 to the control / marshalling room</t>
        </is>
      </c>
      <c r="E4725" s="12" t="inlineStr">
        <is>
          <t>PAD-EH</t>
        </is>
      </c>
      <c r="F4725" s="12" t="inlineStr">
        <is>
          <t>PAD-EH 13.8 kV switchgear e-house</t>
        </is>
      </c>
      <c r="G4725" s="12" t="inlineStr">
        <is>
          <t>JB-MT-6-DI01</t>
        </is>
      </c>
      <c r="H4725" s="12" t="inlineStr">
        <is>
          <t>MT-6: microturbine 1 MW (1 MW package class)</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Surface</t>
        </is>
      </c>
      <c r="T4725" s="15" t="n">
        <v>135</v>
      </c>
      <c r="U4725" s="15" t="n">
        <v>31</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I-I-0123</t>
        </is>
      </c>
      <c r="B4726" s="12" t="inlineStr">
        <is>
          <t>I</t>
        </is>
      </c>
      <c r="C4726" s="12" t="inlineStr">
        <is>
          <t>Modular / portable power</t>
        </is>
      </c>
      <c r="D4726" s="12" t="inlineStr">
        <is>
          <t>MT-TX monitoring: temperatures, gas relay, oil level</t>
        </is>
      </c>
      <c r="E4726" s="12" t="inlineStr"/>
      <c r="F4726" s="12" t="inlineStr">
        <is>
          <t>MT-4..6 480 V switchboard</t>
        </is>
      </c>
      <c r="G4726" s="12" t="inlineStr">
        <is>
          <t>MT-TX</t>
        </is>
      </c>
      <c r="H4726" s="12" t="inlineStr">
        <is>
          <t>MT-TX: 480 V : 13.8 kV, ~3.75 MVA pad-mount (microturbine site)</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Tray</t>
        </is>
      </c>
      <c r="T4726" s="15" t="n">
        <v>5</v>
      </c>
      <c r="U4726" s="15" t="n">
        <v>32</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I-I-0124</t>
        </is>
      </c>
      <c r="B4727" s="12" t="inlineStr">
        <is>
          <t>I</t>
        </is>
      </c>
      <c r="C4727" s="12" t="inlineStr">
        <is>
          <t>Modular / portable power</t>
        </is>
      </c>
      <c r="D4727" s="12" t="inlineStr">
        <is>
          <t>MTG-1 instrumentation</t>
        </is>
      </c>
      <c r="E4727" s="12" t="inlineStr">
        <is>
          <t>MTG-SWG</t>
        </is>
      </c>
      <c r="F4727" s="12" t="inlineStr">
        <is>
          <t>MTG-SWG: 13.8 kV switchgear e-house (2 generator breakers, site feeder</t>
        </is>
      </c>
      <c r="G4727" s="12" t="inlineStr">
        <is>
          <t>MTG-1</t>
        </is>
      </c>
      <c r="H4727" s="12" t="inlineStr">
        <is>
          <t xml:space="preserve">MTG-1: mid-size industrial gas-turbine generator package ~16 MW, 13.8 </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Duct bank</t>
        </is>
      </c>
      <c r="T4727" s="15" t="n">
        <v>37</v>
      </c>
      <c r="U4727" s="15" t="n">
        <v>34</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I-I-0125</t>
        </is>
      </c>
      <c r="B4728" s="12" t="inlineStr">
        <is>
          <t>I</t>
        </is>
      </c>
      <c r="C4728" s="12" t="inlineStr">
        <is>
          <t>Modular / portable power</t>
        </is>
      </c>
      <c r="D4728" s="12" t="inlineStr">
        <is>
          <t>MTG-2 instrumentation</t>
        </is>
      </c>
      <c r="E4728" s="12" t="inlineStr">
        <is>
          <t>MTG-SWG</t>
        </is>
      </c>
      <c r="F4728" s="12" t="inlineStr">
        <is>
          <t>MTG-SWG: 13.8 kV switchgear e-house (2 generator breakers, site feeder</t>
        </is>
      </c>
      <c r="G4728" s="12" t="inlineStr">
        <is>
          <t>MTG-2</t>
        </is>
      </c>
      <c r="H4728" s="12" t="inlineStr">
        <is>
          <t xml:space="preserve">MTG-2: mid-size industrial gas-turbine generator package ~16 MW, 13.8 </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7</v>
      </c>
      <c r="U4728" s="15" t="n">
        <v>34</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I-I-0126</t>
        </is>
      </c>
      <c r="B4729" s="12" t="inlineStr">
        <is>
          <t>I</t>
        </is>
      </c>
      <c r="C4729" s="12" t="inlineStr">
        <is>
          <t>Modular / portable power</t>
        </is>
      </c>
      <c r="D4729" s="12" t="inlineStr">
        <is>
          <t>MTG-AUX monitoring: temperatures, gas relay, oil level</t>
        </is>
      </c>
      <c r="E4729" s="12" t="inlineStr">
        <is>
          <t>MTG-SWG</t>
        </is>
      </c>
      <c r="F4729" s="12" t="inlineStr">
        <is>
          <t>MTG-SWG: 13.8 kV switchgear e-house (2 generator breakers, site feeder</t>
        </is>
      </c>
      <c r="G4729" s="12" t="inlineStr">
        <is>
          <t>MTG-AUX</t>
        </is>
      </c>
      <c r="H4729" s="12" t="inlineStr">
        <is>
          <t>MTG-AUX: 13.8 / 0.48 kV auxiliary transformer</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34</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I-I-0127</t>
        </is>
      </c>
      <c r="B4730" s="12" t="inlineStr">
        <is>
          <t>I</t>
        </is>
      </c>
      <c r="C4730" s="12" t="inlineStr">
        <is>
          <t>Modular / portable power</t>
        </is>
      </c>
      <c r="D4730" s="12" t="inlineStr">
        <is>
          <t>MTG-FG skid instrumentation (IS)</t>
        </is>
      </c>
      <c r="E4730" s="12" t="inlineStr">
        <is>
          <t>MTG-CB</t>
        </is>
      </c>
      <c r="F4730" s="12" t="inlineStr">
        <is>
          <t>MTG-CB: control and MCC building (unit controls, 480 V MCC)</t>
        </is>
      </c>
      <c r="G4730" s="12" t="inlineStr">
        <is>
          <t>MTG-FG</t>
        </is>
      </c>
      <c r="H4730" s="12" t="inlineStr">
        <is>
          <t>MTG-FG: fuel-gas conditioning skid (scrubber, filter-separator, heater</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36</v>
      </c>
      <c r="U4730" s="15" t="n">
        <v>102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I-I-0128</t>
        </is>
      </c>
      <c r="B4731" s="12" t="inlineStr">
        <is>
          <t>I</t>
        </is>
      </c>
      <c r="C4731" s="12" t="inlineStr">
        <is>
          <t>Modular / portable power</t>
        </is>
      </c>
      <c r="D4731" s="12" t="inlineStr">
        <is>
          <t>MTG-GSU monitoring: temperatures, gas relay, oil level</t>
        </is>
      </c>
      <c r="E4731" s="12" t="inlineStr">
        <is>
          <t>MTG-SWG</t>
        </is>
      </c>
      <c r="F4731" s="12" t="inlineStr">
        <is>
          <t>MTG-SWG: 13.8 kV switchgear e-house (2 generator breakers, site feeder</t>
        </is>
      </c>
      <c r="G4731" s="12" t="inlineStr">
        <is>
          <t>MTG-GSU</t>
        </is>
      </c>
      <c r="H4731" s="12" t="inlineStr">
        <is>
          <t>MTG-GSU: 13.8 / 34.5 kV step-up, ~40 MVA (mid-size turbines)</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12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I-I-0129</t>
        </is>
      </c>
      <c r="B4732" s="12" t="inlineStr">
        <is>
          <t>I</t>
        </is>
      </c>
      <c r="C4732" s="12" t="inlineStr">
        <is>
          <t>Modular / portable power</t>
        </is>
      </c>
      <c r="D4732" s="12" t="inlineStr">
        <is>
          <t>PAD-GSU monitoring: temperatures, gas relay, oil level</t>
        </is>
      </c>
      <c r="E4732" s="12" t="inlineStr">
        <is>
          <t>PAD-EH</t>
        </is>
      </c>
      <c r="F4732" s="12" t="inlineStr">
        <is>
          <t>PAD-EH 13.8 kV switchgear e-house</t>
        </is>
      </c>
      <c r="G4732" s="12" t="inlineStr">
        <is>
          <t>PAD-GSU</t>
        </is>
      </c>
      <c r="H4732" s="12" t="inlineStr">
        <is>
          <t>PAD-GSU: 13.8 / 34.5 kV step-up, ~60 MVA (PAD-EH: TM-1, CHP site, MT-T</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Duct bank</t>
        </is>
      </c>
      <c r="T4732" s="15" t="n">
        <v>45</v>
      </c>
      <c r="U4732" s="15" t="n">
        <v>32</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I-I-0130</t>
        </is>
      </c>
      <c r="B4733" s="12" t="inlineStr">
        <is>
          <t>I</t>
        </is>
      </c>
      <c r="C4733" s="12" t="inlineStr">
        <is>
          <t>Modular / portable power</t>
        </is>
      </c>
      <c r="D4733" s="12" t="inlineStr">
        <is>
          <t>PGS-1 instrumentation</t>
        </is>
      </c>
      <c r="E4733" s="12" t="inlineStr">
        <is>
          <t>PGS-SWG</t>
        </is>
      </c>
      <c r="F4733" s="12" t="inlineStr">
        <is>
          <t>PGS-SWG: 480 V paralleling switchgear (8 generator breakers, 2 transfo</t>
        </is>
      </c>
      <c r="G4733" s="12" t="inlineStr">
        <is>
          <t>PGS-1</t>
        </is>
      </c>
      <c r="H4733" s="12" t="inlineStr">
        <is>
          <t>PGS-1: enclosed gas genset 1 MW, 480 V (paralleled, unit 1 of 8)</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Riser</t>
        </is>
      </c>
      <c r="T4733" s="15" t="n">
        <v>4</v>
      </c>
      <c r="U4733" s="15" t="n">
        <v>27</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I-I-0131</t>
        </is>
      </c>
      <c r="B4734" s="12" t="inlineStr">
        <is>
          <t>I</t>
        </is>
      </c>
      <c r="C4734" s="12" t="inlineStr">
        <is>
          <t>Modular / portable power</t>
        </is>
      </c>
      <c r="D4734" s="12" t="inlineStr">
        <is>
          <t>PGS-2 instrumentation</t>
        </is>
      </c>
      <c r="E4734" s="12" t="inlineStr">
        <is>
          <t>PGS-SWG</t>
        </is>
      </c>
      <c r="F4734" s="12" t="inlineStr">
        <is>
          <t>PGS-SWG: 480 V paralleling switchgear (8 generator breakers, 2 transfo</t>
        </is>
      </c>
      <c r="G4734" s="12" t="inlineStr">
        <is>
          <t>PGS-2</t>
        </is>
      </c>
      <c r="H4734" s="12" t="inlineStr">
        <is>
          <t>PGS-2: enclosed gas genset 1 MW, 480 V (paralleled, unit 2 of 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Riser</t>
        </is>
      </c>
      <c r="T4734" s="15" t="n">
        <v>4</v>
      </c>
      <c r="U4734" s="15" t="n">
        <v>27</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I-I-0132</t>
        </is>
      </c>
      <c r="B4735" s="12" t="inlineStr">
        <is>
          <t>I</t>
        </is>
      </c>
      <c r="C4735" s="12" t="inlineStr">
        <is>
          <t>Modular / portable power</t>
        </is>
      </c>
      <c r="D4735" s="12" t="inlineStr">
        <is>
          <t>PGS-3 instrumentation</t>
        </is>
      </c>
      <c r="E4735" s="12" t="inlineStr">
        <is>
          <t>PGS-SWG</t>
        </is>
      </c>
      <c r="F4735" s="12" t="inlineStr">
        <is>
          <t>PGS-SWG: 480 V paralleling switchgear (8 generator breakers, 2 transfo</t>
        </is>
      </c>
      <c r="G4735" s="12" t="inlineStr">
        <is>
          <t>PGS-3</t>
        </is>
      </c>
      <c r="H4735" s="12" t="inlineStr">
        <is>
          <t>PGS-3: enclosed gas genset 1 MW, 480 V (paralleled, unit 3 of 8)</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Riser</t>
        </is>
      </c>
      <c r="T4735" s="15" t="n">
        <v>4</v>
      </c>
      <c r="U4735" s="15" t="n">
        <v>27</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I-I-0133</t>
        </is>
      </c>
      <c r="B4736" s="12" t="inlineStr">
        <is>
          <t>I</t>
        </is>
      </c>
      <c r="C4736" s="12" t="inlineStr">
        <is>
          <t>Modular / portable power</t>
        </is>
      </c>
      <c r="D4736" s="12" t="inlineStr">
        <is>
          <t>PGS-4 instrumentation</t>
        </is>
      </c>
      <c r="E4736" s="12" t="inlineStr">
        <is>
          <t>PGS-SWG</t>
        </is>
      </c>
      <c r="F4736" s="12" t="inlineStr">
        <is>
          <t>PGS-SWG: 480 V paralleling switchgear (8 generator breakers, 2 transfo</t>
        </is>
      </c>
      <c r="G4736" s="12" t="inlineStr">
        <is>
          <t>PGS-4</t>
        </is>
      </c>
      <c r="H4736" s="12" t="inlineStr">
        <is>
          <t>PGS-4: enclosed gas genset 1 MW, 480 V (paralleled, unit 4 of 8)</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Riser</t>
        </is>
      </c>
      <c r="T4736" s="15" t="n">
        <v>4</v>
      </c>
      <c r="U4736" s="15" t="n">
        <v>27</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I-I-0134</t>
        </is>
      </c>
      <c r="B4737" s="12" t="inlineStr">
        <is>
          <t>I</t>
        </is>
      </c>
      <c r="C4737" s="12" t="inlineStr">
        <is>
          <t>Modular / portable power</t>
        </is>
      </c>
      <c r="D4737" s="12" t="inlineStr">
        <is>
          <t>PGS-5 instrumentation</t>
        </is>
      </c>
      <c r="E4737" s="12" t="inlineStr">
        <is>
          <t>PGS-SWG</t>
        </is>
      </c>
      <c r="F4737" s="12" t="inlineStr">
        <is>
          <t>PGS-SWG: 480 V paralleling switchgear (8 generator breakers, 2 transfo</t>
        </is>
      </c>
      <c r="G4737" s="12" t="inlineStr">
        <is>
          <t>PGS-5</t>
        </is>
      </c>
      <c r="H4737" s="12" t="inlineStr">
        <is>
          <t>PGS-5: enclosed gas genset 1 MW, 480 V (paralleled, unit 5 of 8)</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Duct bank</t>
        </is>
      </c>
      <c r="T4737" s="15" t="n">
        <v>17</v>
      </c>
      <c r="U4737" s="15" t="n">
        <v>32</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I-I-0135</t>
        </is>
      </c>
      <c r="B4738" s="12" t="inlineStr">
        <is>
          <t>I</t>
        </is>
      </c>
      <c r="C4738" s="12" t="inlineStr">
        <is>
          <t>Modular / portable power</t>
        </is>
      </c>
      <c r="D4738" s="12" t="inlineStr">
        <is>
          <t>PGS-6 instrumentation</t>
        </is>
      </c>
      <c r="E4738" s="12" t="inlineStr">
        <is>
          <t>PGS-SWG</t>
        </is>
      </c>
      <c r="F4738" s="12" t="inlineStr">
        <is>
          <t>PGS-SWG: 480 V paralleling switchgear (8 generator breakers, 2 transfo</t>
        </is>
      </c>
      <c r="G4738" s="12" t="inlineStr">
        <is>
          <t>PGS-6</t>
        </is>
      </c>
      <c r="H4738" s="12" t="inlineStr">
        <is>
          <t>PGS-6: enclosed gas genset 1 MW, 480 V (paralleled, unit 6 of 8)</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Duct bank</t>
        </is>
      </c>
      <c r="T4738" s="15" t="n">
        <v>30</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I-I-0136</t>
        </is>
      </c>
      <c r="B4739" s="12" t="inlineStr">
        <is>
          <t>I</t>
        </is>
      </c>
      <c r="C4739" s="12" t="inlineStr">
        <is>
          <t>Modular / portable power</t>
        </is>
      </c>
      <c r="D4739" s="12" t="inlineStr">
        <is>
          <t>PGS-7 instrumentation</t>
        </is>
      </c>
      <c r="E4739" s="12" t="inlineStr">
        <is>
          <t>PGS-SWG</t>
        </is>
      </c>
      <c r="F4739" s="12" t="inlineStr">
        <is>
          <t>PGS-SWG: 480 V paralleling switchgear (8 generator breakers, 2 transfo</t>
        </is>
      </c>
      <c r="G4739" s="12" t="inlineStr">
        <is>
          <t>PGS-7</t>
        </is>
      </c>
      <c r="H4739" s="12" t="inlineStr">
        <is>
          <t>PGS-7: enclosed gas genset 1 MW, 480 V (paralleled, unit 7 of 8)</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Duct bank</t>
        </is>
      </c>
      <c r="T4739" s="15" t="n">
        <v>43</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I-I-0137</t>
        </is>
      </c>
      <c r="B4740" s="12" t="inlineStr">
        <is>
          <t>I</t>
        </is>
      </c>
      <c r="C4740" s="12" t="inlineStr">
        <is>
          <t>Modular / portable power</t>
        </is>
      </c>
      <c r="D4740" s="12" t="inlineStr">
        <is>
          <t>PGS-8 instrumentation</t>
        </is>
      </c>
      <c r="E4740" s="12" t="inlineStr">
        <is>
          <t>PGS-SWG</t>
        </is>
      </c>
      <c r="F4740" s="12" t="inlineStr">
        <is>
          <t>PGS-SWG: 480 V paralleling switchgear (8 generator breakers, 2 transfo</t>
        </is>
      </c>
      <c r="G4740" s="12" t="inlineStr">
        <is>
          <t>PGS-8</t>
        </is>
      </c>
      <c r="H4740" s="12" t="inlineStr">
        <is>
          <t>PGS-8: enclosed gas genset 1 MW, 480 V (paralleled, unit 8 of 8)</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Duct bank</t>
        </is>
      </c>
      <c r="T4740" s="15" t="n">
        <v>56</v>
      </c>
      <c r="U4740" s="15" t="n">
        <v>32</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I-I-0138</t>
        </is>
      </c>
      <c r="B4741" s="12" t="inlineStr">
        <is>
          <t>I</t>
        </is>
      </c>
      <c r="C4741" s="12" t="inlineStr">
        <is>
          <t>Modular / portable power</t>
        </is>
      </c>
      <c r="D4741" s="12" t="inlineStr">
        <is>
          <t>PGS-SWG bus / breaker monitoring (internal)</t>
        </is>
      </c>
      <c r="E4741" s="12" t="inlineStr">
        <is>
          <t>PGS-SWG</t>
        </is>
      </c>
      <c r="F4741" s="12" t="inlineStr">
        <is>
          <t>PGS-SWG: 480 V paralleling switchgear (8 generator breakers, 2 transfo</t>
        </is>
      </c>
      <c r="G4741" s="12" t="inlineStr">
        <is>
          <t>PGS-SWG</t>
        </is>
      </c>
      <c r="H4741" s="12" t="inlineStr">
        <is>
          <t>PGS-SWG: 480 V paralleling switchgear (8 generator breakers, 2 transfo</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Tray</t>
        </is>
      </c>
      <c r="T4741" s="15" t="n">
        <v>60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I-I-0139</t>
        </is>
      </c>
      <c r="B4742" s="12" t="inlineStr">
        <is>
          <t>I</t>
        </is>
      </c>
      <c r="C4742" s="12" t="inlineStr">
        <is>
          <t>Modular / portable power</t>
        </is>
      </c>
      <c r="D4742" s="12" t="inlineStr">
        <is>
          <t>PGS-TX1 monitoring: temperatures, gas relay, oil level</t>
        </is>
      </c>
      <c r="E4742" s="12" t="inlineStr">
        <is>
          <t>PGS-SWG</t>
        </is>
      </c>
      <c r="F4742" s="12" t="inlineStr">
        <is>
          <t>PGS-SWG: 480 V paralleling switchgear (8 generator breakers, 2 transfo</t>
        </is>
      </c>
      <c r="G4742" s="12" t="inlineStr">
        <is>
          <t>PGS-TX1</t>
        </is>
      </c>
      <c r="H4742" s="12" t="inlineStr">
        <is>
          <t>PGS-TX1: 480 V : 34.5 kV, ~5 MVA loop-feed pad-mount (gensets 1-4)</t>
        </is>
      </c>
      <c r="I4742" s="12" t="inlineStr">
        <is>
          <t>Instrumentation</t>
        </is>
      </c>
      <c r="J4742" s="12" t="inlineStr">
        <is>
          <t>Instrumentation ITC / PLTC, IS, #18 shielded pairs, blue jacket</t>
        </is>
      </c>
      <c r="K4742" s="12" t="inlineStr">
        <is>
          <t>ITC|4 pr|18</t>
        </is>
      </c>
      <c r="L4742" s="12" t="inlineStr">
        <is>
          <t>4 pr</t>
        </is>
      </c>
      <c r="M4742" s="12" t="inlineStr">
        <is>
          <t>18</t>
        </is>
      </c>
      <c r="N4742" s="12" t="n">
        <v>1</v>
      </c>
      <c r="O4742" s="12" t="n">
        <v>1</v>
      </c>
      <c r="P4742" s="12" t="n"/>
      <c r="Q4742" s="12" t="n"/>
      <c r="R4742" s="12" t="n"/>
      <c r="S4742" s="12" t="inlineStr">
        <is>
          <t>Surface</t>
        </is>
      </c>
      <c r="T4742" s="15" t="n">
        <v>75</v>
      </c>
      <c r="U4742" s="15" t="n">
        <v>32</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I-I-0140</t>
        </is>
      </c>
      <c r="B4743" s="12" t="inlineStr">
        <is>
          <t>I</t>
        </is>
      </c>
      <c r="C4743" s="12" t="inlineStr">
        <is>
          <t>Modular / portable power</t>
        </is>
      </c>
      <c r="D4743" s="12" t="inlineStr">
        <is>
          <t>PGS-TX2 monitoring: temperatures, gas relay, oil level</t>
        </is>
      </c>
      <c r="E4743" s="12" t="inlineStr">
        <is>
          <t>PGS-SWG</t>
        </is>
      </c>
      <c r="F4743" s="12" t="inlineStr">
        <is>
          <t>PGS-SWG: 480 V paralleling switchgear (8 generator breakers, 2 transfo</t>
        </is>
      </c>
      <c r="G4743" s="12" t="inlineStr">
        <is>
          <t>PGS-TX2</t>
        </is>
      </c>
      <c r="H4743" s="12" t="inlineStr">
        <is>
          <t>PGS-TX2: 480 V : 34.5 kV, ~5 MVA loop-feed pad-mount (gensets 5-8)</t>
        </is>
      </c>
      <c r="I4743" s="12" t="inlineStr">
        <is>
          <t>Instrumentation</t>
        </is>
      </c>
      <c r="J4743" s="12" t="inlineStr">
        <is>
          <t>Instrumentation ITC / PLTC, IS, #18 shielded pairs, blue jacket</t>
        </is>
      </c>
      <c r="K4743" s="12" t="inlineStr">
        <is>
          <t>ITC|4 pr|18</t>
        </is>
      </c>
      <c r="L4743" s="12" t="inlineStr">
        <is>
          <t>4 pr</t>
        </is>
      </c>
      <c r="M4743" s="12" t="inlineStr">
        <is>
          <t>18</t>
        </is>
      </c>
      <c r="N4743" s="12" t="n">
        <v>1</v>
      </c>
      <c r="O4743" s="12" t="n">
        <v>1</v>
      </c>
      <c r="P4743" s="12" t="n"/>
      <c r="Q4743" s="12" t="n"/>
      <c r="R4743" s="12" t="n"/>
      <c r="S4743" s="12" t="inlineStr">
        <is>
          <t>Surface</t>
        </is>
      </c>
      <c r="T4743" s="15" t="n">
        <v>46</v>
      </c>
      <c r="U4743" s="15" t="n">
        <v>32</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I-I-0141</t>
        </is>
      </c>
      <c r="B4744" s="12" t="inlineStr">
        <is>
          <t>I</t>
        </is>
      </c>
      <c r="C4744" s="12" t="inlineStr">
        <is>
          <t>Modular / portable power</t>
        </is>
      </c>
      <c r="D4744" s="12" t="inlineStr">
        <is>
          <t>PK-GT1 monitoring: temperatures, gas relay, oil level</t>
        </is>
      </c>
      <c r="E4744" s="12" t="inlineStr">
        <is>
          <t>SWG-PK</t>
        </is>
      </c>
      <c r="F4744" s="12" t="inlineStr">
        <is>
          <t>SWG-PK: 34.5 kV park collector switchgear (2 bus sections, tie; 8 feed</t>
        </is>
      </c>
      <c r="G4744" s="12" t="inlineStr">
        <is>
          <t>PK-GT1</t>
        </is>
      </c>
      <c r="H4744" s="12" t="inlineStr">
        <is>
          <t>PK-GT1: 34.5 kV zigzag grounding transformer, SWG-PK bus A</t>
        </is>
      </c>
      <c r="I4744" s="12" t="inlineStr">
        <is>
          <t>Instrumentation</t>
        </is>
      </c>
      <c r="J4744" s="12" t="inlineStr">
        <is>
          <t>Instrumentation ITC / PLTC, IS, #18 shielded pairs, blue jacket</t>
        </is>
      </c>
      <c r="K4744" s="12" t="inlineStr">
        <is>
          <t>ITC|4 pr|18</t>
        </is>
      </c>
      <c r="L4744" s="12" t="inlineStr">
        <is>
          <t>4 pr</t>
        </is>
      </c>
      <c r="M4744" s="12" t="inlineStr">
        <is>
          <t>18</t>
        </is>
      </c>
      <c r="N4744" s="12" t="n">
        <v>1</v>
      </c>
      <c r="O4744" s="12" t="n">
        <v>1</v>
      </c>
      <c r="P4744" s="12" t="n"/>
      <c r="Q4744" s="12" t="n"/>
      <c r="R4744" s="12" t="n"/>
      <c r="S4744" s="12" t="inlineStr">
        <is>
          <t>Duct bank</t>
        </is>
      </c>
      <c r="T4744" s="15" t="n">
        <v>60</v>
      </c>
      <c r="U4744" s="15" t="n">
        <v>38</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I-I-0142</t>
        </is>
      </c>
      <c r="B4745" s="12" t="inlineStr">
        <is>
          <t>I</t>
        </is>
      </c>
      <c r="C4745" s="12" t="inlineStr">
        <is>
          <t>Modular / portable power</t>
        </is>
      </c>
      <c r="D4745" s="12" t="inlineStr">
        <is>
          <t>PK-GT2 monitoring: temperatures, gas relay, oil level</t>
        </is>
      </c>
      <c r="E4745" s="12" t="inlineStr">
        <is>
          <t>SWG-PK</t>
        </is>
      </c>
      <c r="F4745" s="12" t="inlineStr">
        <is>
          <t>SWG-PK: 34.5 kV park collector switchgear (2 bus sections, tie; 8 feed</t>
        </is>
      </c>
      <c r="G4745" s="12" t="inlineStr">
        <is>
          <t>PK-GT2</t>
        </is>
      </c>
      <c r="H4745" s="12" t="inlineStr">
        <is>
          <t>PK-GT2: 34.5 kV zigzag grounding transformer, SWG-PK bus B</t>
        </is>
      </c>
      <c r="I4745" s="12" t="inlineStr">
        <is>
          <t>Instrumentation</t>
        </is>
      </c>
      <c r="J4745" s="12" t="inlineStr">
        <is>
          <t>Instrumentation ITC / PLTC, IS, #18 shielded pairs, blue jacket</t>
        </is>
      </c>
      <c r="K4745" s="12" t="inlineStr">
        <is>
          <t>ITC|4 pr|18</t>
        </is>
      </c>
      <c r="L4745" s="12" t="inlineStr">
        <is>
          <t>4 pr</t>
        </is>
      </c>
      <c r="M4745" s="12" t="inlineStr">
        <is>
          <t>18</t>
        </is>
      </c>
      <c r="N4745" s="12" t="n">
        <v>1</v>
      </c>
      <c r="O4745" s="12" t="n">
        <v>1</v>
      </c>
      <c r="P4745" s="12" t="n"/>
      <c r="Q4745" s="12" t="n"/>
      <c r="R4745" s="12" t="n"/>
      <c r="S4745" s="12" t="inlineStr">
        <is>
          <t>Duct bank</t>
        </is>
      </c>
      <c r="T4745" s="15" t="n">
        <v>72</v>
      </c>
      <c r="U4745" s="15" t="n">
        <v>42</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I-I-0143</t>
        </is>
      </c>
      <c r="B4746" s="12" t="inlineStr">
        <is>
          <t>I</t>
        </is>
      </c>
      <c r="C4746" s="12" t="inlineStr">
        <is>
          <t>Modular / portable power</t>
        </is>
      </c>
      <c r="D4746" s="12" t="inlineStr">
        <is>
          <t>Analog instrument to JB JB-RICE 1 SCR + oxida-AI01: 10 x 1 pr (field cables)</t>
        </is>
      </c>
      <c r="E4746" s="12" t="inlineStr"/>
      <c r="F4746" s="12" t="inlineStr">
        <is>
          <t>RICE 1 SCR + oxidation catalyst and stack</t>
        </is>
      </c>
      <c r="G4746" s="12" t="inlineStr">
        <is>
          <t>JB-RICE 1 SCR + oxida-AI01</t>
        </is>
      </c>
      <c r="H4746" s="12" t="inlineStr">
        <is>
          <t>RICE 1 SCR + oxidation catalyst and stack</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10</v>
      </c>
      <c r="O4746" s="12" t="n">
        <v>1</v>
      </c>
      <c r="P4746" s="12" t="n"/>
      <c r="Q4746" s="12" t="n"/>
      <c r="R4746" s="12" t="n"/>
      <c r="S4746" s="12" t="inlineStr">
        <is>
          <t>Tray / conduit</t>
        </is>
      </c>
      <c r="T4746" s="15" t="n">
        <v>92</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I-I-0144</t>
        </is>
      </c>
      <c r="B4747" s="12" t="inlineStr">
        <is>
          <t>I</t>
        </is>
      </c>
      <c r="C4747" s="12" t="inlineStr">
        <is>
          <t>Modular / portable power</t>
        </is>
      </c>
      <c r="D4747" s="12" t="inlineStr">
        <is>
          <t>Home run JB-RICE 1 SCR + oxida-AI01 to the control / marshalling room</t>
        </is>
      </c>
      <c r="E4747" s="12" t="inlineStr"/>
      <c r="F4747" s="12" t="inlineStr">
        <is>
          <t>PCM: power control module</t>
        </is>
      </c>
      <c r="G4747" s="12" t="inlineStr">
        <is>
          <t>JB-RICE 1 SCR + oxida-AI01</t>
        </is>
      </c>
      <c r="H4747" s="12" t="inlineStr">
        <is>
          <t>RICE 1 SCR + oxidation catalyst and stack</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5" t="n">
        <v>436</v>
      </c>
      <c r="U4747" s="15" t="n">
        <v>160</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I-I-0145</t>
        </is>
      </c>
      <c r="B4748" s="12" t="inlineStr">
        <is>
          <t>I</t>
        </is>
      </c>
      <c r="C4748" s="12" t="inlineStr">
        <is>
          <t>Modular / portable power</t>
        </is>
      </c>
      <c r="D4748" s="12" t="inlineStr">
        <is>
          <t>Discrete device to JB JB-RICE 1 SCR + oxida-DI01: 6 x 1 pr (field cables)</t>
        </is>
      </c>
      <c r="E4748" s="12" t="inlineStr"/>
      <c r="F4748" s="12" t="inlineStr">
        <is>
          <t>RICE 1 SCR + oxidation catalyst and stack</t>
        </is>
      </c>
      <c r="G4748" s="12" t="inlineStr">
        <is>
          <t>JB-RICE 1 SCR + oxida-DI01</t>
        </is>
      </c>
      <c r="H4748" s="12" t="inlineStr">
        <is>
          <t>RICE 1 SCR + oxidation catalyst and stack</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6</v>
      </c>
      <c r="O4748" s="12" t="n">
        <v>1</v>
      </c>
      <c r="P4748" s="12" t="n"/>
      <c r="Q4748" s="12" t="n"/>
      <c r="R4748" s="12" t="n"/>
      <c r="S4748" s="12" t="inlineStr">
        <is>
          <t>Tray / conduit</t>
        </is>
      </c>
      <c r="T4748" s="15" t="n">
        <v>92</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I-I-0146</t>
        </is>
      </c>
      <c r="B4749" s="12" t="inlineStr">
        <is>
          <t>I</t>
        </is>
      </c>
      <c r="C4749" s="12" t="inlineStr">
        <is>
          <t>Modular / portable power</t>
        </is>
      </c>
      <c r="D4749" s="12" t="inlineStr">
        <is>
          <t>Home run JB-RICE 1 SCR + oxida-DI01 to the control / marshalling room</t>
        </is>
      </c>
      <c r="E4749" s="12" t="inlineStr"/>
      <c r="F4749" s="12" t="inlineStr">
        <is>
          <t>PCM: power control module</t>
        </is>
      </c>
      <c r="G4749" s="12" t="inlineStr">
        <is>
          <t>JB-RICE 1 SCR + oxida-DI01</t>
        </is>
      </c>
      <c r="H4749" s="12" t="inlineStr">
        <is>
          <t>RICE 1 SCR + oxidation catalyst and stack</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5" t="n">
        <v>436</v>
      </c>
      <c r="U4749" s="15" t="n">
        <v>160</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I-I-0147</t>
        </is>
      </c>
      <c r="B4750" s="12" t="inlineStr">
        <is>
          <t>I</t>
        </is>
      </c>
      <c r="C4750" s="12" t="inlineStr">
        <is>
          <t>Modular / portable power</t>
        </is>
      </c>
      <c r="D4750" s="12" t="inlineStr">
        <is>
          <t>Analog instrument to JB JB-RICE 1 radiators (-AI01: 5 x 1 pr (field cables)</t>
        </is>
      </c>
      <c r="E4750" s="12" t="inlineStr"/>
      <c r="F4750" s="12" t="inlineStr">
        <is>
          <t>RICE 1 radiators (5)</t>
        </is>
      </c>
      <c r="G4750" s="12" t="inlineStr">
        <is>
          <t>JB-RICE 1 radiators (-AI01</t>
        </is>
      </c>
      <c r="H4750" s="12" t="inlineStr">
        <is>
          <t>RICE 1 radiators (5)</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5</v>
      </c>
      <c r="O4750" s="12" t="n">
        <v>1</v>
      </c>
      <c r="P4750" s="12" t="n"/>
      <c r="Q4750" s="12" t="n"/>
      <c r="R4750" s="12" t="n"/>
      <c r="S4750" s="12" t="inlineStr">
        <is>
          <t>Tray / conduit</t>
        </is>
      </c>
      <c r="T4750" s="15" t="n">
        <v>80</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I-I-0148</t>
        </is>
      </c>
      <c r="B4751" s="12" t="inlineStr">
        <is>
          <t>I</t>
        </is>
      </c>
      <c r="C4751" s="12" t="inlineStr">
        <is>
          <t>Modular / portable power</t>
        </is>
      </c>
      <c r="D4751" s="12" t="inlineStr">
        <is>
          <t>Home run JB-RICE 1 radiators (-AI01 to the control / marshalling room</t>
        </is>
      </c>
      <c r="E4751" s="12" t="inlineStr"/>
      <c r="F4751" s="12" t="inlineStr">
        <is>
          <t>PCM: power control module</t>
        </is>
      </c>
      <c r="G4751" s="12" t="inlineStr">
        <is>
          <t>JB-RICE 1 radiators (-AI01</t>
        </is>
      </c>
      <c r="H4751" s="12" t="inlineStr">
        <is>
          <t>RICE 1 radiators (5)</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5" t="n">
        <v>711</v>
      </c>
      <c r="U4751" s="15" t="n">
        <v>139</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I-I-0149</t>
        </is>
      </c>
      <c r="B4752" s="12" t="inlineStr">
        <is>
          <t>I</t>
        </is>
      </c>
      <c r="C4752" s="12" t="inlineStr">
        <is>
          <t>Modular / portable power</t>
        </is>
      </c>
      <c r="D4752" s="12" t="inlineStr">
        <is>
          <t>Discrete device to JB JB-RICE 1 radiators (-DI01: 10 x 1 pr (field cables)</t>
        </is>
      </c>
      <c r="E4752" s="12" t="inlineStr"/>
      <c r="F4752" s="12" t="inlineStr">
        <is>
          <t>RICE 1 radiators (5)</t>
        </is>
      </c>
      <c r="G4752" s="12" t="inlineStr">
        <is>
          <t>JB-RICE 1 radiators (-DI01</t>
        </is>
      </c>
      <c r="H4752" s="12" t="inlineStr">
        <is>
          <t>RICE 1 radiators (5)</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10</v>
      </c>
      <c r="O4752" s="12" t="n">
        <v>1</v>
      </c>
      <c r="P4752" s="12" t="n"/>
      <c r="Q4752" s="12" t="n"/>
      <c r="R4752" s="12" t="n"/>
      <c r="S4752" s="12" t="inlineStr">
        <is>
          <t>Tray / conduit</t>
        </is>
      </c>
      <c r="T4752" s="15" t="n">
        <v>80</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I-I-0150</t>
        </is>
      </c>
      <c r="B4753" s="12" t="inlineStr">
        <is>
          <t>I</t>
        </is>
      </c>
      <c r="C4753" s="12" t="inlineStr">
        <is>
          <t>Modular / portable power</t>
        </is>
      </c>
      <c r="D4753" s="12" t="inlineStr">
        <is>
          <t>Home run JB-RICE 1 radiators (-DI01 to the control / marshalling room</t>
        </is>
      </c>
      <c r="E4753" s="12" t="inlineStr"/>
      <c r="F4753" s="12" t="inlineStr">
        <is>
          <t>PCM: power control module</t>
        </is>
      </c>
      <c r="G4753" s="12" t="inlineStr">
        <is>
          <t>JB-RICE 1 radiators (-DI01</t>
        </is>
      </c>
      <c r="H4753" s="12" t="inlineStr">
        <is>
          <t>RICE 1 radiators (5)</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5" t="n">
        <v>711</v>
      </c>
      <c r="U4753" s="15" t="n">
        <v>139</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I-I-0151</t>
        </is>
      </c>
      <c r="B4754" s="12" t="inlineStr">
        <is>
          <t>I</t>
        </is>
      </c>
      <c r="C4754" s="12" t="inlineStr">
        <is>
          <t>Modular / portable power</t>
        </is>
      </c>
      <c r="D4754" s="12" t="inlineStr">
        <is>
          <t>Analog instrument to JB JB-RICE 2 SCR + oxida-AI01: 10 x 1 pr (field cables)</t>
        </is>
      </c>
      <c r="E4754" s="12" t="inlineStr"/>
      <c r="F4754" s="12" t="inlineStr">
        <is>
          <t>RICE 2 SCR + oxidation catalyst and stack</t>
        </is>
      </c>
      <c r="G4754" s="12" t="inlineStr">
        <is>
          <t>JB-RICE 2 SCR + oxida-AI01</t>
        </is>
      </c>
      <c r="H4754" s="12" t="inlineStr">
        <is>
          <t>RICE 2 SCR + oxidation catalyst and stack</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10</v>
      </c>
      <c r="O4754" s="12" t="n">
        <v>1</v>
      </c>
      <c r="P4754" s="12" t="n"/>
      <c r="Q4754" s="12" t="n"/>
      <c r="R4754" s="12" t="n"/>
      <c r="S4754" s="12" t="inlineStr">
        <is>
          <t>Tray / conduit</t>
        </is>
      </c>
      <c r="T4754" s="15" t="n">
        <v>92</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I-I-0152</t>
        </is>
      </c>
      <c r="B4755" s="12" t="inlineStr">
        <is>
          <t>I</t>
        </is>
      </c>
      <c r="C4755" s="12" t="inlineStr">
        <is>
          <t>Modular / portable power</t>
        </is>
      </c>
      <c r="D4755" s="12" t="inlineStr">
        <is>
          <t>Home run JB-RICE 2 SCR + oxida-AI01 to the control / marshalling room</t>
        </is>
      </c>
      <c r="E4755" s="12" t="inlineStr"/>
      <c r="F4755" s="12" t="inlineStr">
        <is>
          <t>PCM: power control module</t>
        </is>
      </c>
      <c r="G4755" s="12" t="inlineStr">
        <is>
          <t>JB-RICE 2 SCR + oxida-AI01</t>
        </is>
      </c>
      <c r="H4755" s="12" t="inlineStr">
        <is>
          <t>RICE 2 SCR + oxidation catalyst and stack</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5" t="n">
        <v>436</v>
      </c>
      <c r="U4755" s="15" t="n">
        <v>132</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I-I-0153</t>
        </is>
      </c>
      <c r="B4756" s="12" t="inlineStr">
        <is>
          <t>I</t>
        </is>
      </c>
      <c r="C4756" s="12" t="inlineStr">
        <is>
          <t>Modular / portable power</t>
        </is>
      </c>
      <c r="D4756" s="12" t="inlineStr">
        <is>
          <t>Discrete device to JB JB-RICE 2 SCR + oxida-DI01: 6 x 1 pr (field cables)</t>
        </is>
      </c>
      <c r="E4756" s="12" t="inlineStr"/>
      <c r="F4756" s="12" t="inlineStr">
        <is>
          <t>RICE 2 SCR + oxidation catalyst and stack</t>
        </is>
      </c>
      <c r="G4756" s="12" t="inlineStr">
        <is>
          <t>JB-RICE 2 SCR + oxida-DI01</t>
        </is>
      </c>
      <c r="H4756" s="12" t="inlineStr">
        <is>
          <t>RICE 2 SCR + oxidation catalyst and stack</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6</v>
      </c>
      <c r="O4756" s="12" t="n">
        <v>1</v>
      </c>
      <c r="P4756" s="12" t="n"/>
      <c r="Q4756" s="12" t="n"/>
      <c r="R4756" s="12" t="n"/>
      <c r="S4756" s="12" t="inlineStr">
        <is>
          <t>Tray / conduit</t>
        </is>
      </c>
      <c r="T4756" s="15" t="n">
        <v>92</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I-I-0154</t>
        </is>
      </c>
      <c r="B4757" s="12" t="inlineStr">
        <is>
          <t>I</t>
        </is>
      </c>
      <c r="C4757" s="12" t="inlineStr">
        <is>
          <t>Modular / portable power</t>
        </is>
      </c>
      <c r="D4757" s="12" t="inlineStr">
        <is>
          <t>Home run JB-RICE 2 SCR + oxida-DI01 to the control / marshalling room</t>
        </is>
      </c>
      <c r="E4757" s="12" t="inlineStr"/>
      <c r="F4757" s="12" t="inlineStr">
        <is>
          <t>PCM: power control module</t>
        </is>
      </c>
      <c r="G4757" s="12" t="inlineStr">
        <is>
          <t>JB-RICE 2 SCR + oxida-DI01</t>
        </is>
      </c>
      <c r="H4757" s="12" t="inlineStr">
        <is>
          <t>RICE 2 SCR + oxidation catalyst and stack</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5" t="n">
        <v>436</v>
      </c>
      <c r="U4757" s="15" t="n">
        <v>132</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I-I-0155</t>
        </is>
      </c>
      <c r="B4758" s="12" t="inlineStr">
        <is>
          <t>I</t>
        </is>
      </c>
      <c r="C4758" s="12" t="inlineStr">
        <is>
          <t>Modular / portable power</t>
        </is>
      </c>
      <c r="D4758" s="12" t="inlineStr">
        <is>
          <t>Analog instrument to JB JB-RICE 2 radiators (-AI01: 5 x 1 pr (field cables)</t>
        </is>
      </c>
      <c r="E4758" s="12" t="inlineStr"/>
      <c r="F4758" s="12" t="inlineStr">
        <is>
          <t>RICE 2 radiators (5)</t>
        </is>
      </c>
      <c r="G4758" s="12" t="inlineStr">
        <is>
          <t>JB-RICE 2 radiators (-AI01</t>
        </is>
      </c>
      <c r="H4758" s="12" t="inlineStr">
        <is>
          <t>RICE 2 radiators (5)</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5</v>
      </c>
      <c r="O4758" s="12" t="n">
        <v>1</v>
      </c>
      <c r="P4758" s="12" t="n"/>
      <c r="Q4758" s="12" t="n"/>
      <c r="R4758" s="12" t="n"/>
      <c r="S4758" s="12" t="inlineStr">
        <is>
          <t>Tray / conduit</t>
        </is>
      </c>
      <c r="T4758" s="15" t="n">
        <v>80</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I-I-0156</t>
        </is>
      </c>
      <c r="B4759" s="12" t="inlineStr">
        <is>
          <t>I</t>
        </is>
      </c>
      <c r="C4759" s="12" t="inlineStr">
        <is>
          <t>Modular / portable power</t>
        </is>
      </c>
      <c r="D4759" s="12" t="inlineStr">
        <is>
          <t>Home run JB-RICE 2 radiators (-AI01 to the control / marshalling room</t>
        </is>
      </c>
      <c r="E4759" s="12" t="inlineStr"/>
      <c r="F4759" s="12" t="inlineStr">
        <is>
          <t>PCM: power control module</t>
        </is>
      </c>
      <c r="G4759" s="12" t="inlineStr">
        <is>
          <t>JB-RICE 2 radiators (-AI01</t>
        </is>
      </c>
      <c r="H4759" s="12" t="inlineStr">
        <is>
          <t>RICE 2 radiators (5)</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5" t="n">
        <v>516</v>
      </c>
      <c r="U4759" s="15" t="n">
        <v>192</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I-I-0157</t>
        </is>
      </c>
      <c r="B4760" s="12" t="inlineStr">
        <is>
          <t>I</t>
        </is>
      </c>
      <c r="C4760" s="12" t="inlineStr">
        <is>
          <t>Modular / portable power</t>
        </is>
      </c>
      <c r="D4760" s="12" t="inlineStr">
        <is>
          <t>Discrete device to JB JB-RICE 2 radiators (-DI01: 10 x 1 pr (field cables)</t>
        </is>
      </c>
      <c r="E4760" s="12" t="inlineStr"/>
      <c r="F4760" s="12" t="inlineStr">
        <is>
          <t>RICE 2 radiators (5)</t>
        </is>
      </c>
      <c r="G4760" s="12" t="inlineStr">
        <is>
          <t>JB-RICE 2 radiators (-DI01</t>
        </is>
      </c>
      <c r="H4760" s="12" t="inlineStr">
        <is>
          <t>RICE 2 radiators (5)</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10</v>
      </c>
      <c r="O4760" s="12" t="n">
        <v>1</v>
      </c>
      <c r="P4760" s="12" t="n"/>
      <c r="Q4760" s="12" t="n"/>
      <c r="R4760" s="12" t="n"/>
      <c r="S4760" s="12" t="inlineStr">
        <is>
          <t>Tray / conduit</t>
        </is>
      </c>
      <c r="T4760" s="15" t="n">
        <v>80</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I-I-0158</t>
        </is>
      </c>
      <c r="B4761" s="12" t="inlineStr">
        <is>
          <t>I</t>
        </is>
      </c>
      <c r="C4761" s="12" t="inlineStr">
        <is>
          <t>Modular / portable power</t>
        </is>
      </c>
      <c r="D4761" s="12" t="inlineStr">
        <is>
          <t>Home run JB-RICE 2 radiators (-DI01 to the control / marshalling room</t>
        </is>
      </c>
      <c r="E4761" s="12" t="inlineStr"/>
      <c r="F4761" s="12" t="inlineStr">
        <is>
          <t>PCM: power control module</t>
        </is>
      </c>
      <c r="G4761" s="12" t="inlineStr">
        <is>
          <t>JB-RICE 2 radiators (-DI01</t>
        </is>
      </c>
      <c r="H4761" s="12" t="inlineStr">
        <is>
          <t>RICE 2 radiators (5)</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5" t="n">
        <v>516</v>
      </c>
      <c r="U4761" s="15" t="n">
        <v>192</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I-I-0159</t>
        </is>
      </c>
      <c r="B4762" s="12" t="inlineStr">
        <is>
          <t>I</t>
        </is>
      </c>
      <c r="C4762" s="12" t="inlineStr">
        <is>
          <t>Modular / portable power</t>
        </is>
      </c>
      <c r="D4762" s="12" t="inlineStr">
        <is>
          <t>Analog instrument to JB JB-RICE 3 SCR + oxida-AI01: 10 x 1 pr (field cables)</t>
        </is>
      </c>
      <c r="E4762" s="12" t="inlineStr"/>
      <c r="F4762" s="12" t="inlineStr">
        <is>
          <t>RICE 3 SCR + oxidation catalyst and stack</t>
        </is>
      </c>
      <c r="G4762" s="12" t="inlineStr">
        <is>
          <t>JB-RICE 3 SCR + oxida-AI01</t>
        </is>
      </c>
      <c r="H4762" s="12" t="inlineStr">
        <is>
          <t>RICE 3 SCR + oxidation catalyst and stack</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10</v>
      </c>
      <c r="O4762" s="12" t="n">
        <v>1</v>
      </c>
      <c r="P4762" s="12" t="n"/>
      <c r="Q4762" s="12" t="n"/>
      <c r="R4762" s="12" t="n"/>
      <c r="S4762" s="12" t="inlineStr">
        <is>
          <t>Tray / conduit</t>
        </is>
      </c>
      <c r="T4762" s="15" t="n">
        <v>92</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I-I-0160</t>
        </is>
      </c>
      <c r="B4763" s="12" t="inlineStr">
        <is>
          <t>I</t>
        </is>
      </c>
      <c r="C4763" s="12" t="inlineStr">
        <is>
          <t>Modular / portable power</t>
        </is>
      </c>
      <c r="D4763" s="12" t="inlineStr">
        <is>
          <t>Home run JB-RICE 3 SCR + oxida-AI01 to the control / marshalling room</t>
        </is>
      </c>
      <c r="E4763" s="12" t="inlineStr"/>
      <c r="F4763" s="12" t="inlineStr">
        <is>
          <t>PCM: power control module</t>
        </is>
      </c>
      <c r="G4763" s="12" t="inlineStr">
        <is>
          <t>JB-RICE 3 SCR + oxida-AI01</t>
        </is>
      </c>
      <c r="H4763" s="12" t="inlineStr">
        <is>
          <t>RICE 3 SCR + oxidation catalyst and stack</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5" t="n">
        <v>436</v>
      </c>
      <c r="U4763" s="15" t="n">
        <v>104</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I-I-0161</t>
        </is>
      </c>
      <c r="B4764" s="12" t="inlineStr">
        <is>
          <t>I</t>
        </is>
      </c>
      <c r="C4764" s="12" t="inlineStr">
        <is>
          <t>Modular / portable power</t>
        </is>
      </c>
      <c r="D4764" s="12" t="inlineStr">
        <is>
          <t>Discrete device to JB JB-RICE 3 SCR + oxida-DI01: 6 x 1 pr (field cables)</t>
        </is>
      </c>
      <c r="E4764" s="12" t="inlineStr"/>
      <c r="F4764" s="12" t="inlineStr">
        <is>
          <t>RICE 3 SCR + oxidation catalyst and stack</t>
        </is>
      </c>
      <c r="G4764" s="12" t="inlineStr">
        <is>
          <t>JB-RICE 3 SCR + oxida-DI01</t>
        </is>
      </c>
      <c r="H4764" s="12" t="inlineStr">
        <is>
          <t>RICE 3 SCR + oxidation catalyst and stack</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6</v>
      </c>
      <c r="O4764" s="12" t="n">
        <v>1</v>
      </c>
      <c r="P4764" s="12" t="n"/>
      <c r="Q4764" s="12" t="n"/>
      <c r="R4764" s="12" t="n"/>
      <c r="S4764" s="12" t="inlineStr">
        <is>
          <t>Tray / conduit</t>
        </is>
      </c>
      <c r="T4764" s="15" t="n">
        <v>92</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I-I-0162</t>
        </is>
      </c>
      <c r="B4765" s="12" t="inlineStr">
        <is>
          <t>I</t>
        </is>
      </c>
      <c r="C4765" s="12" t="inlineStr">
        <is>
          <t>Modular / portable power</t>
        </is>
      </c>
      <c r="D4765" s="12" t="inlineStr">
        <is>
          <t>Home run JB-RICE 3 SCR + oxida-DI01 to the control / marshalling room</t>
        </is>
      </c>
      <c r="E4765" s="12" t="inlineStr"/>
      <c r="F4765" s="12" t="inlineStr">
        <is>
          <t>PCM: power control module</t>
        </is>
      </c>
      <c r="G4765" s="12" t="inlineStr">
        <is>
          <t>JB-RICE 3 SCR + oxida-DI01</t>
        </is>
      </c>
      <c r="H4765" s="12" t="inlineStr">
        <is>
          <t>RICE 3 SCR + oxidation catalyst and stack</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5" t="n">
        <v>436</v>
      </c>
      <c r="U4765" s="15" t="n">
        <v>104</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I-I-0163</t>
        </is>
      </c>
      <c r="B4766" s="12" t="inlineStr">
        <is>
          <t>I</t>
        </is>
      </c>
      <c r="C4766" s="12" t="inlineStr">
        <is>
          <t>Modular / portable power</t>
        </is>
      </c>
      <c r="D4766" s="12" t="inlineStr">
        <is>
          <t>Analog instrument to JB JB-RICE 3 radiators (-AI01: 5 x 1 pr (field cables)</t>
        </is>
      </c>
      <c r="E4766" s="12" t="inlineStr"/>
      <c r="F4766" s="12" t="inlineStr">
        <is>
          <t>RICE 3 radiators (5)</t>
        </is>
      </c>
      <c r="G4766" s="12" t="inlineStr">
        <is>
          <t>JB-RICE 3 radiators (-AI01</t>
        </is>
      </c>
      <c r="H4766" s="12" t="inlineStr">
        <is>
          <t>RICE 3 radiators (5)</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5</v>
      </c>
      <c r="O4766" s="12" t="n">
        <v>1</v>
      </c>
      <c r="P4766" s="12" t="n"/>
      <c r="Q4766" s="12" t="n"/>
      <c r="R4766" s="12" t="n"/>
      <c r="S4766" s="12" t="inlineStr">
        <is>
          <t>Tray / conduit</t>
        </is>
      </c>
      <c r="T4766" s="15" t="n">
        <v>80</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I-I-0164</t>
        </is>
      </c>
      <c r="B4767" s="12" t="inlineStr">
        <is>
          <t>I</t>
        </is>
      </c>
      <c r="C4767" s="12" t="inlineStr">
        <is>
          <t>Modular / portable power</t>
        </is>
      </c>
      <c r="D4767" s="12" t="inlineStr">
        <is>
          <t>Home run JB-RICE 3 radiators (-AI01 to the control / marshalling room</t>
        </is>
      </c>
      <c r="E4767" s="12" t="inlineStr"/>
      <c r="F4767" s="12" t="inlineStr">
        <is>
          <t>PCM: power control module</t>
        </is>
      </c>
      <c r="G4767" s="12" t="inlineStr">
        <is>
          <t>JB-RICE 3 radiators (-AI01</t>
        </is>
      </c>
      <c r="H4767" s="12" t="inlineStr">
        <is>
          <t>RICE 3 radiators (5)</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5" t="n">
        <v>382</v>
      </c>
      <c r="U4767" s="15" t="n">
        <v>240</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I-I-0165</t>
        </is>
      </c>
      <c r="B4768" s="12" t="inlineStr">
        <is>
          <t>I</t>
        </is>
      </c>
      <c r="C4768" s="12" t="inlineStr">
        <is>
          <t>Modular / portable power</t>
        </is>
      </c>
      <c r="D4768" s="12" t="inlineStr">
        <is>
          <t>Discrete device to JB JB-RICE 3 radiators (-DI01: 10 x 1 pr (field cables)</t>
        </is>
      </c>
      <c r="E4768" s="12" t="inlineStr"/>
      <c r="F4768" s="12" t="inlineStr">
        <is>
          <t>RICE 3 radiators (5)</t>
        </is>
      </c>
      <c r="G4768" s="12" t="inlineStr">
        <is>
          <t>JB-RICE 3 radiators (-DI01</t>
        </is>
      </c>
      <c r="H4768" s="12" t="inlineStr">
        <is>
          <t>RICE 3 radiators (5)</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10</v>
      </c>
      <c r="O4768" s="12" t="n">
        <v>1</v>
      </c>
      <c r="P4768" s="12" t="n"/>
      <c r="Q4768" s="12" t="n"/>
      <c r="R4768" s="12" t="n"/>
      <c r="S4768" s="12" t="inlineStr">
        <is>
          <t>Tray / conduit</t>
        </is>
      </c>
      <c r="T4768" s="15" t="n">
        <v>80</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I-I-0166</t>
        </is>
      </c>
      <c r="B4769" s="12" t="inlineStr">
        <is>
          <t>I</t>
        </is>
      </c>
      <c r="C4769" s="12" t="inlineStr">
        <is>
          <t>Modular / portable power</t>
        </is>
      </c>
      <c r="D4769" s="12" t="inlineStr">
        <is>
          <t>Home run JB-RICE 3 radiators (-DI01 to the control / marshalling room</t>
        </is>
      </c>
      <c r="E4769" s="12" t="inlineStr"/>
      <c r="F4769" s="12" t="inlineStr">
        <is>
          <t>PCM: power control module</t>
        </is>
      </c>
      <c r="G4769" s="12" t="inlineStr">
        <is>
          <t>JB-RICE 3 radiators (-DI01</t>
        </is>
      </c>
      <c r="H4769" s="12" t="inlineStr">
        <is>
          <t>RICE 3 radiators (5)</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5" t="n">
        <v>382</v>
      </c>
      <c r="U4769" s="15" t="n">
        <v>240</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I-I-0167</t>
        </is>
      </c>
      <c r="B4770" s="12" t="inlineStr">
        <is>
          <t>I</t>
        </is>
      </c>
      <c r="C4770" s="12" t="inlineStr">
        <is>
          <t>Modular / portable power</t>
        </is>
      </c>
      <c r="D4770" s="12" t="inlineStr">
        <is>
          <t>Analog instrument to JB JB-RICE 4 SCR + oxida-AI01: 10 x 1 pr (field cables)</t>
        </is>
      </c>
      <c r="E4770" s="12" t="inlineStr"/>
      <c r="F4770" s="12" t="inlineStr">
        <is>
          <t>RICE 4 SCR + oxidation catalyst and stack</t>
        </is>
      </c>
      <c r="G4770" s="12" t="inlineStr">
        <is>
          <t>JB-RICE 4 SCR + oxida-AI01</t>
        </is>
      </c>
      <c r="H4770" s="12" t="inlineStr">
        <is>
          <t>RICE 4 SCR + oxidation catalyst and stack</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10</v>
      </c>
      <c r="O4770" s="12" t="n">
        <v>1</v>
      </c>
      <c r="P4770" s="12" t="n"/>
      <c r="Q4770" s="12" t="n"/>
      <c r="R4770" s="12" t="n"/>
      <c r="S4770" s="12" t="inlineStr">
        <is>
          <t>Tray / conduit</t>
        </is>
      </c>
      <c r="T4770" s="15" t="n">
        <v>92</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I-I-0168</t>
        </is>
      </c>
      <c r="B4771" s="12" t="inlineStr">
        <is>
          <t>I</t>
        </is>
      </c>
      <c r="C4771" s="12" t="inlineStr">
        <is>
          <t>Modular / portable power</t>
        </is>
      </c>
      <c r="D4771" s="12" t="inlineStr">
        <is>
          <t>Home run JB-RICE 4 SCR + oxida-AI01 to the control / marshalling room</t>
        </is>
      </c>
      <c r="E4771" s="12" t="inlineStr"/>
      <c r="F4771" s="12" t="inlineStr">
        <is>
          <t>PCM: power control module</t>
        </is>
      </c>
      <c r="G4771" s="12" t="inlineStr">
        <is>
          <t>JB-RICE 4 SCR + oxida-AI01</t>
        </is>
      </c>
      <c r="H4771" s="12" t="inlineStr">
        <is>
          <t>RICE 4 SCR + oxidation catalyst and stack</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5" t="n">
        <v>436</v>
      </c>
      <c r="U4771" s="15" t="n">
        <v>76</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I-I-0169</t>
        </is>
      </c>
      <c r="B4772" s="12" t="inlineStr">
        <is>
          <t>I</t>
        </is>
      </c>
      <c r="C4772" s="12" t="inlineStr">
        <is>
          <t>Modular / portable power</t>
        </is>
      </c>
      <c r="D4772" s="12" t="inlineStr">
        <is>
          <t>Discrete device to JB JB-RICE 4 SCR + oxida-DI01: 6 x 1 pr (field cables)</t>
        </is>
      </c>
      <c r="E4772" s="12" t="inlineStr"/>
      <c r="F4772" s="12" t="inlineStr">
        <is>
          <t>RICE 4 SCR + oxidation catalyst and stack</t>
        </is>
      </c>
      <c r="G4772" s="12" t="inlineStr">
        <is>
          <t>JB-RICE 4 SCR + oxida-DI01</t>
        </is>
      </c>
      <c r="H4772" s="12" t="inlineStr">
        <is>
          <t>RICE 4 SCR + oxidation catalyst and stack</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6</v>
      </c>
      <c r="O4772" s="12" t="n">
        <v>1</v>
      </c>
      <c r="P4772" s="12" t="n"/>
      <c r="Q4772" s="12" t="n"/>
      <c r="R4772" s="12" t="n"/>
      <c r="S4772" s="12" t="inlineStr">
        <is>
          <t>Tray / conduit</t>
        </is>
      </c>
      <c r="T4772" s="15" t="n">
        <v>92</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I-I-0170</t>
        </is>
      </c>
      <c r="B4773" s="12" t="inlineStr">
        <is>
          <t>I</t>
        </is>
      </c>
      <c r="C4773" s="12" t="inlineStr">
        <is>
          <t>Modular / portable power</t>
        </is>
      </c>
      <c r="D4773" s="12" t="inlineStr">
        <is>
          <t>Home run JB-RICE 4 SCR + oxida-DI01 to the control / marshalling room</t>
        </is>
      </c>
      <c r="E4773" s="12" t="inlineStr"/>
      <c r="F4773" s="12" t="inlineStr">
        <is>
          <t>PCM: power control module</t>
        </is>
      </c>
      <c r="G4773" s="12" t="inlineStr">
        <is>
          <t>JB-RICE 4 SCR + oxida-DI01</t>
        </is>
      </c>
      <c r="H4773" s="12" t="inlineStr">
        <is>
          <t>RICE 4 SCR + oxidation catalyst and stack</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5" t="n">
        <v>436</v>
      </c>
      <c r="U4773" s="15" t="n">
        <v>76</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I-I-0171</t>
        </is>
      </c>
      <c r="B4774" s="12" t="inlineStr">
        <is>
          <t>I</t>
        </is>
      </c>
      <c r="C4774" s="12" t="inlineStr">
        <is>
          <t>Modular / portable power</t>
        </is>
      </c>
      <c r="D4774" s="12" t="inlineStr">
        <is>
          <t>Analog instrument to JB JB-RICE 4 radiators (-AI01: 5 x 1 pr (field cables)</t>
        </is>
      </c>
      <c r="E4774" s="12" t="inlineStr"/>
      <c r="F4774" s="12" t="inlineStr">
        <is>
          <t>RICE 4 radiators (5)</t>
        </is>
      </c>
      <c r="G4774" s="12" t="inlineStr">
        <is>
          <t>JB-RICE 4 radiators (-AI01</t>
        </is>
      </c>
      <c r="H4774" s="12" t="inlineStr">
        <is>
          <t>RICE 4 radiators (5)</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5</v>
      </c>
      <c r="O4774" s="12" t="n">
        <v>1</v>
      </c>
      <c r="P4774" s="12" t="n"/>
      <c r="Q4774" s="12" t="n"/>
      <c r="R4774" s="12" t="n"/>
      <c r="S4774" s="12" t="inlineStr">
        <is>
          <t>Tray / conduit</t>
        </is>
      </c>
      <c r="T4774" s="15" t="n">
        <v>80</v>
      </c>
      <c r="U4774" s="15" t="n">
        <v>10</v>
      </c>
      <c r="V4774" s="15">
        <f>ROUNDUP((T4774+U4774+2*'Read Me'!$B$13)*(1+'Read Me'!$B$12),-1)</f>
        <v/>
      </c>
      <c r="W4774" s="15">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I-I-0172</t>
        </is>
      </c>
      <c r="B4775" s="12" t="inlineStr">
        <is>
          <t>I</t>
        </is>
      </c>
      <c r="C4775" s="12" t="inlineStr">
        <is>
          <t>Modular / portable power</t>
        </is>
      </c>
      <c r="D4775" s="12" t="inlineStr">
        <is>
          <t>Home run JB-RICE 4 radiators (-AI01 to the control / marshalling room</t>
        </is>
      </c>
      <c r="E4775" s="12" t="inlineStr"/>
      <c r="F4775" s="12" t="inlineStr">
        <is>
          <t>PCM: power control module</t>
        </is>
      </c>
      <c r="G4775" s="12" t="inlineStr">
        <is>
          <t>JB-RICE 4 radiators (-AI01</t>
        </is>
      </c>
      <c r="H4775" s="12" t="inlineStr">
        <is>
          <t>RICE 4 radiators (5)</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5" t="n">
        <v>0</v>
      </c>
      <c r="U4775" s="15" t="n">
        <v>206</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I-I-0173</t>
        </is>
      </c>
      <c r="B4776" s="12" t="inlineStr">
        <is>
          <t>I</t>
        </is>
      </c>
      <c r="C4776" s="12" t="inlineStr">
        <is>
          <t>Modular / portable power</t>
        </is>
      </c>
      <c r="D4776" s="12" t="inlineStr">
        <is>
          <t>Discrete device to JB JB-RICE 4 radiators (-DI01: 10 x 1 pr (field cables)</t>
        </is>
      </c>
      <c r="E4776" s="12" t="inlineStr"/>
      <c r="F4776" s="12" t="inlineStr">
        <is>
          <t>RICE 4 radiators (5)</t>
        </is>
      </c>
      <c r="G4776" s="12" t="inlineStr">
        <is>
          <t>JB-RICE 4 radiators (-DI01</t>
        </is>
      </c>
      <c r="H4776" s="12" t="inlineStr">
        <is>
          <t>RICE 4 radiators (5)</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10</v>
      </c>
      <c r="O4776" s="12" t="n">
        <v>1</v>
      </c>
      <c r="P4776" s="12" t="n"/>
      <c r="Q4776" s="12" t="n"/>
      <c r="R4776" s="12" t="n"/>
      <c r="S4776" s="12" t="inlineStr">
        <is>
          <t>Tray / conduit</t>
        </is>
      </c>
      <c r="T4776" s="15" t="n">
        <v>80</v>
      </c>
      <c r="U4776" s="15" t="n">
        <v>10</v>
      </c>
      <c r="V4776" s="15">
        <f>ROUNDUP((T4776+U4776+2*'Read Me'!$B$13)*(1+'Read Me'!$B$12),-1)</f>
        <v/>
      </c>
      <c r="W4776" s="15">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I-I-0174</t>
        </is>
      </c>
      <c r="B4777" s="12" t="inlineStr">
        <is>
          <t>I</t>
        </is>
      </c>
      <c r="C4777" s="12" t="inlineStr">
        <is>
          <t>Modular / portable power</t>
        </is>
      </c>
      <c r="D4777" s="12" t="inlineStr">
        <is>
          <t>Home run JB-RICE 4 radiators (-DI01 to the control / marshalling room</t>
        </is>
      </c>
      <c r="E4777" s="12" t="inlineStr"/>
      <c r="F4777" s="12" t="inlineStr">
        <is>
          <t>PCM: power control module</t>
        </is>
      </c>
      <c r="G4777" s="12" t="inlineStr">
        <is>
          <t>JB-RICE 4 radiators (-DI01</t>
        </is>
      </c>
      <c r="H4777" s="12" t="inlineStr">
        <is>
          <t>RICE 4 radiators (5)</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5" t="n">
        <v>0</v>
      </c>
      <c r="U4777" s="15" t="n">
        <v>206</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I-I-0175</t>
        </is>
      </c>
      <c r="B4778" s="12" t="inlineStr">
        <is>
          <t>I</t>
        </is>
      </c>
      <c r="C4778" s="12" t="inlineStr">
        <is>
          <t>Modular / portable power</t>
        </is>
      </c>
      <c r="D4778" s="12" t="inlineStr">
        <is>
          <t>Analog instrument to JB JB-RICE 5 SCR + oxida-AI01: 10 x 1 pr (field cables)</t>
        </is>
      </c>
      <c r="E4778" s="12" t="inlineStr"/>
      <c r="F4778" s="12" t="inlineStr">
        <is>
          <t>RICE 5 SCR + oxidation catalyst and stack</t>
        </is>
      </c>
      <c r="G4778" s="12" t="inlineStr">
        <is>
          <t>JB-RICE 5 SCR + oxida-AI01</t>
        </is>
      </c>
      <c r="H4778" s="12" t="inlineStr">
        <is>
          <t>RICE 5 SCR + oxidation catalyst and stack</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10</v>
      </c>
      <c r="O4778" s="12" t="n">
        <v>1</v>
      </c>
      <c r="P4778" s="12" t="n"/>
      <c r="Q4778" s="12" t="n"/>
      <c r="R4778" s="12" t="n"/>
      <c r="S4778" s="12" t="inlineStr">
        <is>
          <t>Tray / conduit</t>
        </is>
      </c>
      <c r="T4778" s="15" t="n">
        <v>92</v>
      </c>
      <c r="U4778" s="15" t="n">
        <v>10</v>
      </c>
      <c r="V4778" s="15">
        <f>ROUNDUP((T4778+U4778+2*'Read Me'!$B$13)*(1+'Read Me'!$B$12),-1)</f>
        <v/>
      </c>
      <c r="W4778" s="15">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I-I-0176</t>
        </is>
      </c>
      <c r="B4779" s="12" t="inlineStr">
        <is>
          <t>I</t>
        </is>
      </c>
      <c r="C4779" s="12" t="inlineStr">
        <is>
          <t>Modular / portable power</t>
        </is>
      </c>
      <c r="D4779" s="12" t="inlineStr">
        <is>
          <t>Home run JB-RICE 5 SCR + oxida-AI01 to the control / marshalling room</t>
        </is>
      </c>
      <c r="E4779" s="12" t="inlineStr"/>
      <c r="F4779" s="12" t="inlineStr">
        <is>
          <t>PCM: power control module</t>
        </is>
      </c>
      <c r="G4779" s="12" t="inlineStr">
        <is>
          <t>JB-RICE 5 SCR + oxida-AI01</t>
        </is>
      </c>
      <c r="H4779" s="12" t="inlineStr">
        <is>
          <t>RICE 5 SCR + oxidation catalyst and stack</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5" t="n">
        <v>153</v>
      </c>
      <c r="U4779" s="15" t="n">
        <v>164</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I-I-0177</t>
        </is>
      </c>
      <c r="B4780" s="12" t="inlineStr">
        <is>
          <t>I</t>
        </is>
      </c>
      <c r="C4780" s="12" t="inlineStr">
        <is>
          <t>Modular / portable power</t>
        </is>
      </c>
      <c r="D4780" s="12" t="inlineStr">
        <is>
          <t>Discrete device to JB JB-RICE 5 SCR + oxida-DI01: 6 x 1 pr (field cables)</t>
        </is>
      </c>
      <c r="E4780" s="12" t="inlineStr"/>
      <c r="F4780" s="12" t="inlineStr">
        <is>
          <t>RICE 5 SCR + oxidation catalyst and stack</t>
        </is>
      </c>
      <c r="G4780" s="12" t="inlineStr">
        <is>
          <t>JB-RICE 5 SCR + oxida-DI01</t>
        </is>
      </c>
      <c r="H4780" s="12" t="inlineStr">
        <is>
          <t>RICE 5 SCR + oxidation catalyst and stack</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6</v>
      </c>
      <c r="O4780" s="12" t="n">
        <v>1</v>
      </c>
      <c r="P4780" s="12" t="n"/>
      <c r="Q4780" s="12" t="n"/>
      <c r="R4780" s="12" t="n"/>
      <c r="S4780" s="12" t="inlineStr">
        <is>
          <t>Tray / conduit</t>
        </is>
      </c>
      <c r="T4780" s="15" t="n">
        <v>92</v>
      </c>
      <c r="U4780" s="15" t="n">
        <v>10</v>
      </c>
      <c r="V4780" s="15">
        <f>ROUNDUP((T4780+U4780+2*'Read Me'!$B$13)*(1+'Read Me'!$B$12),-1)</f>
        <v/>
      </c>
      <c r="W4780" s="15">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I-I-0178</t>
        </is>
      </c>
      <c r="B4781" s="12" t="inlineStr">
        <is>
          <t>I</t>
        </is>
      </c>
      <c r="C4781" s="12" t="inlineStr">
        <is>
          <t>Modular / portable power</t>
        </is>
      </c>
      <c r="D4781" s="12" t="inlineStr">
        <is>
          <t>Home run JB-RICE 5 SCR + oxida-DI01 to the control / marshalling room</t>
        </is>
      </c>
      <c r="E4781" s="12" t="inlineStr"/>
      <c r="F4781" s="12" t="inlineStr">
        <is>
          <t>PCM: power control module</t>
        </is>
      </c>
      <c r="G4781" s="12" t="inlineStr">
        <is>
          <t>JB-RICE 5 SCR + oxida-DI01</t>
        </is>
      </c>
      <c r="H4781" s="12" t="inlineStr">
        <is>
          <t>RICE 5 SCR + oxidation catalyst and stack</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5" t="n">
        <v>153</v>
      </c>
      <c r="U4781" s="15" t="n">
        <v>164</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I-I-0179</t>
        </is>
      </c>
      <c r="B4782" s="12" t="inlineStr">
        <is>
          <t>I</t>
        </is>
      </c>
      <c r="C4782" s="12" t="inlineStr">
        <is>
          <t>Modular / portable power</t>
        </is>
      </c>
      <c r="D4782" s="12" t="inlineStr">
        <is>
          <t>Analog instrument to JB JB-RICE 5 radiators (-AI01: 5 x 1 pr (field cables)</t>
        </is>
      </c>
      <c r="E4782" s="12" t="inlineStr"/>
      <c r="F4782" s="12" t="inlineStr">
        <is>
          <t>RICE 5 radiators (5)</t>
        </is>
      </c>
      <c r="G4782" s="12" t="inlineStr">
        <is>
          <t>JB-RICE 5 radiators (-AI01</t>
        </is>
      </c>
      <c r="H4782" s="12" t="inlineStr">
        <is>
          <t>RICE 5 radiators (5)</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5</v>
      </c>
      <c r="O4782" s="12" t="n">
        <v>1</v>
      </c>
      <c r="P4782" s="12" t="n"/>
      <c r="Q4782" s="12" t="n"/>
      <c r="R4782" s="12" t="n"/>
      <c r="S4782" s="12" t="inlineStr">
        <is>
          <t>Tray / conduit</t>
        </is>
      </c>
      <c r="T4782" s="15" t="n">
        <v>80</v>
      </c>
      <c r="U4782" s="15" t="n">
        <v>10</v>
      </c>
      <c r="V4782" s="15">
        <f>ROUNDUP((T4782+U4782+2*'Read Me'!$B$13)*(1+'Read Me'!$B$12),-1)</f>
        <v/>
      </c>
      <c r="W4782" s="15">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I-I-0180</t>
        </is>
      </c>
      <c r="B4783" s="12" t="inlineStr">
        <is>
          <t>I</t>
        </is>
      </c>
      <c r="C4783" s="12" t="inlineStr">
        <is>
          <t>Modular / portable power</t>
        </is>
      </c>
      <c r="D4783" s="12" t="inlineStr">
        <is>
          <t>Home run JB-RICE 5 radiators (-AI01 to the control / marshalling room</t>
        </is>
      </c>
      <c r="E4783" s="12" t="inlineStr"/>
      <c r="F4783" s="12" t="inlineStr">
        <is>
          <t>PCM: power control module</t>
        </is>
      </c>
      <c r="G4783" s="12" t="inlineStr">
        <is>
          <t>JB-RICE 5 radiators (-AI01</t>
        </is>
      </c>
      <c r="H4783" s="12" t="inlineStr">
        <is>
          <t>RICE 5 radiators (5)</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Tray</t>
        </is>
      </c>
      <c r="T4783" s="15" t="n">
        <v>0</v>
      </c>
      <c r="U4783" s="15" t="n">
        <v>178</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I-I-0181</t>
        </is>
      </c>
      <c r="B4784" s="12" t="inlineStr">
        <is>
          <t>I</t>
        </is>
      </c>
      <c r="C4784" s="12" t="inlineStr">
        <is>
          <t>Modular / portable power</t>
        </is>
      </c>
      <c r="D4784" s="12" t="inlineStr">
        <is>
          <t>Discrete device to JB JB-RICE 5 radiators (-DI01: 10 x 1 pr (field cables)</t>
        </is>
      </c>
      <c r="E4784" s="12" t="inlineStr"/>
      <c r="F4784" s="12" t="inlineStr">
        <is>
          <t>RICE 5 radiators (5)</t>
        </is>
      </c>
      <c r="G4784" s="12" t="inlineStr">
        <is>
          <t>JB-RICE 5 radiators (-DI01</t>
        </is>
      </c>
      <c r="H4784" s="12" t="inlineStr">
        <is>
          <t>RICE 5 radiators (5)</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10</v>
      </c>
      <c r="O4784" s="12" t="n">
        <v>1</v>
      </c>
      <c r="P4784" s="12" t="n"/>
      <c r="Q4784" s="12" t="n"/>
      <c r="R4784" s="12" t="n"/>
      <c r="S4784" s="12" t="inlineStr">
        <is>
          <t>Tray / conduit</t>
        </is>
      </c>
      <c r="T4784" s="15" t="n">
        <v>80</v>
      </c>
      <c r="U4784" s="15" t="n">
        <v>10</v>
      </c>
      <c r="V4784" s="15">
        <f>ROUNDUP((T4784+U4784+2*'Read Me'!$B$13)*(1+'Read Me'!$B$12),-1)</f>
        <v/>
      </c>
      <c r="W4784" s="15">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I-I-0182</t>
        </is>
      </c>
      <c r="B4785" s="12" t="inlineStr">
        <is>
          <t>I</t>
        </is>
      </c>
      <c r="C4785" s="12" t="inlineStr">
        <is>
          <t>Modular / portable power</t>
        </is>
      </c>
      <c r="D4785" s="12" t="inlineStr">
        <is>
          <t>Home run JB-RICE 5 radiators (-DI01 to the control / marshalling room</t>
        </is>
      </c>
      <c r="E4785" s="12" t="inlineStr"/>
      <c r="F4785" s="12" t="inlineStr">
        <is>
          <t>PCM: power control module</t>
        </is>
      </c>
      <c r="G4785" s="12" t="inlineStr">
        <is>
          <t>JB-RICE 5 radiators (-DI01</t>
        </is>
      </c>
      <c r="H4785" s="12" t="inlineStr">
        <is>
          <t>RICE 5 radiators (5)</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Tray</t>
        </is>
      </c>
      <c r="T4785" s="15" t="n">
        <v>0</v>
      </c>
      <c r="U4785" s="15" t="n">
        <v>178</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I-I-0183</t>
        </is>
      </c>
      <c r="B4786" s="12" t="inlineStr">
        <is>
          <t>I</t>
        </is>
      </c>
      <c r="C4786" s="12" t="inlineStr">
        <is>
          <t>Modular / portable power</t>
        </is>
      </c>
      <c r="D4786" s="12" t="inlineStr">
        <is>
          <t>Analog instrument to JB JB-RICE 6 SCR + oxida-AI01: 10 x 1 pr (field cables)</t>
        </is>
      </c>
      <c r="E4786" s="12" t="inlineStr"/>
      <c r="F4786" s="12" t="inlineStr">
        <is>
          <t>RICE 6 SCR + oxidation catalyst and stack</t>
        </is>
      </c>
      <c r="G4786" s="12" t="inlineStr">
        <is>
          <t>JB-RICE 6 SCR + oxida-AI01</t>
        </is>
      </c>
      <c r="H4786" s="12" t="inlineStr">
        <is>
          <t>RICE 6 SCR + oxidation catalyst and stack</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10</v>
      </c>
      <c r="O4786" s="12" t="n">
        <v>1</v>
      </c>
      <c r="P4786" s="12" t="n"/>
      <c r="Q4786" s="12" t="n"/>
      <c r="R4786" s="12" t="n"/>
      <c r="S4786" s="12" t="inlineStr">
        <is>
          <t>Tray / conduit</t>
        </is>
      </c>
      <c r="T4786" s="15" t="n">
        <v>92</v>
      </c>
      <c r="U4786" s="15" t="n">
        <v>10</v>
      </c>
      <c r="V4786" s="15">
        <f>ROUNDUP((T4786+U4786+2*'Read Me'!$B$13)*(1+'Read Me'!$B$12),-1)</f>
        <v/>
      </c>
      <c r="W4786" s="15">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I-I-0184</t>
        </is>
      </c>
      <c r="B4787" s="12" t="inlineStr">
        <is>
          <t>I</t>
        </is>
      </c>
      <c r="C4787" s="12" t="inlineStr">
        <is>
          <t>Modular / portable power</t>
        </is>
      </c>
      <c r="D4787" s="12" t="inlineStr">
        <is>
          <t>Home run JB-RICE 6 SCR + oxida-AI01 to the control / marshalling room</t>
        </is>
      </c>
      <c r="E4787" s="12" t="inlineStr"/>
      <c r="F4787" s="12" t="inlineStr">
        <is>
          <t>PCM: power control module</t>
        </is>
      </c>
      <c r="G4787" s="12" t="inlineStr">
        <is>
          <t>JB-RICE 6 SCR + oxida-AI01</t>
        </is>
      </c>
      <c r="H4787" s="12" t="inlineStr">
        <is>
          <t>RICE 6 SCR + oxidation catalyst and stack</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5" t="n">
        <v>153</v>
      </c>
      <c r="U4787" s="15" t="n">
        <v>136</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I-I-0185</t>
        </is>
      </c>
      <c r="B4788" s="12" t="inlineStr">
        <is>
          <t>I</t>
        </is>
      </c>
      <c r="C4788" s="12" t="inlineStr">
        <is>
          <t>Modular / portable power</t>
        </is>
      </c>
      <c r="D4788" s="12" t="inlineStr">
        <is>
          <t>Discrete device to JB JB-RICE 6 SCR + oxida-DI01: 6 x 1 pr (field cables)</t>
        </is>
      </c>
      <c r="E4788" s="12" t="inlineStr"/>
      <c r="F4788" s="12" t="inlineStr">
        <is>
          <t>RICE 6 SCR + oxidation catalyst and stack</t>
        </is>
      </c>
      <c r="G4788" s="12" t="inlineStr">
        <is>
          <t>JB-RICE 6 SCR + oxida-DI01</t>
        </is>
      </c>
      <c r="H4788" s="12" t="inlineStr">
        <is>
          <t>RICE 6 SCR + oxidation catalyst and stack</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6</v>
      </c>
      <c r="O4788" s="12" t="n">
        <v>1</v>
      </c>
      <c r="P4788" s="12" t="n"/>
      <c r="Q4788" s="12" t="n"/>
      <c r="R4788" s="12" t="n"/>
      <c r="S4788" s="12" t="inlineStr">
        <is>
          <t>Tray / conduit</t>
        </is>
      </c>
      <c r="T4788" s="15" t="n">
        <v>92</v>
      </c>
      <c r="U4788" s="15" t="n">
        <v>10</v>
      </c>
      <c r="V4788" s="15">
        <f>ROUNDUP((T4788+U4788+2*'Read Me'!$B$13)*(1+'Read Me'!$B$12),-1)</f>
        <v/>
      </c>
      <c r="W4788" s="15">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I-I-0186</t>
        </is>
      </c>
      <c r="B4789" s="12" t="inlineStr">
        <is>
          <t>I</t>
        </is>
      </c>
      <c r="C4789" s="12" t="inlineStr">
        <is>
          <t>Modular / portable power</t>
        </is>
      </c>
      <c r="D4789" s="12" t="inlineStr">
        <is>
          <t>Home run JB-RICE 6 SCR + oxida-DI01 to the control / marshalling room</t>
        </is>
      </c>
      <c r="E4789" s="12" t="inlineStr"/>
      <c r="F4789" s="12" t="inlineStr">
        <is>
          <t>PCM: power control module</t>
        </is>
      </c>
      <c r="G4789" s="12" t="inlineStr">
        <is>
          <t>JB-RICE 6 SCR + oxida-DI01</t>
        </is>
      </c>
      <c r="H4789" s="12" t="inlineStr">
        <is>
          <t>RICE 6 SCR + oxidation catalyst and stack</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5" t="n">
        <v>153</v>
      </c>
      <c r="U4789" s="15" t="n">
        <v>136</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I-I-0187</t>
        </is>
      </c>
      <c r="B4790" s="12" t="inlineStr">
        <is>
          <t>I</t>
        </is>
      </c>
      <c r="C4790" s="12" t="inlineStr">
        <is>
          <t>Modular / portable power</t>
        </is>
      </c>
      <c r="D4790" s="12" t="inlineStr">
        <is>
          <t>Analog instrument to JB JB-RICE 6 radiators (-AI01: 5 x 1 pr (field cables)</t>
        </is>
      </c>
      <c r="E4790" s="12" t="inlineStr"/>
      <c r="F4790" s="12" t="inlineStr">
        <is>
          <t>RICE 6 radiators (5)</t>
        </is>
      </c>
      <c r="G4790" s="12" t="inlineStr">
        <is>
          <t>JB-RICE 6 radiators (-AI01</t>
        </is>
      </c>
      <c r="H4790" s="12" t="inlineStr">
        <is>
          <t>RICE 6 radiators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5</v>
      </c>
      <c r="O4790" s="12" t="n">
        <v>1</v>
      </c>
      <c r="P4790" s="12" t="n"/>
      <c r="Q4790" s="12" t="n"/>
      <c r="R4790" s="12" t="n"/>
      <c r="S4790" s="12" t="inlineStr">
        <is>
          <t>Tray / conduit</t>
        </is>
      </c>
      <c r="T4790" s="15" t="n">
        <v>80</v>
      </c>
      <c r="U4790" s="15" t="n">
        <v>10</v>
      </c>
      <c r="V4790" s="15">
        <f>ROUNDUP((T4790+U4790+2*'Read Me'!$B$13)*(1+'Read Me'!$B$12),-1)</f>
        <v/>
      </c>
      <c r="W4790" s="15">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I-I-0188</t>
        </is>
      </c>
      <c r="B4791" s="12" t="inlineStr">
        <is>
          <t>I</t>
        </is>
      </c>
      <c r="C4791" s="12" t="inlineStr">
        <is>
          <t>Modular / portable power</t>
        </is>
      </c>
      <c r="D4791" s="12" t="inlineStr">
        <is>
          <t>Home run JB-RICE 6 radiators (-AI01 to the control / marshalling room</t>
        </is>
      </c>
      <c r="E4791" s="12" t="inlineStr"/>
      <c r="F4791" s="12" t="inlineStr">
        <is>
          <t>PCM: power control module</t>
        </is>
      </c>
      <c r="G4791" s="12" t="inlineStr">
        <is>
          <t>JB-RICE 6 radiators (-AI01</t>
        </is>
      </c>
      <c r="H4791" s="12" t="inlineStr">
        <is>
          <t>RICE 6 radiators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Tray</t>
        </is>
      </c>
      <c r="T4791" s="15" t="n">
        <v>0</v>
      </c>
      <c r="U4791" s="15" t="n">
        <v>150</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I-I-0189</t>
        </is>
      </c>
      <c r="B4792" s="12" t="inlineStr">
        <is>
          <t>I</t>
        </is>
      </c>
      <c r="C4792" s="12" t="inlineStr">
        <is>
          <t>Modular / portable power</t>
        </is>
      </c>
      <c r="D4792" s="12" t="inlineStr">
        <is>
          <t>Discrete device to JB JB-RICE 6 radiators (-DI01: 10 x 1 pr (field cables)</t>
        </is>
      </c>
      <c r="E4792" s="12" t="inlineStr"/>
      <c r="F4792" s="12" t="inlineStr">
        <is>
          <t>RICE 6 radiators (5)</t>
        </is>
      </c>
      <c r="G4792" s="12" t="inlineStr">
        <is>
          <t>JB-RICE 6 radiators (-DI01</t>
        </is>
      </c>
      <c r="H4792" s="12" t="inlineStr">
        <is>
          <t>RICE 6 radiators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10</v>
      </c>
      <c r="O4792" s="12" t="n">
        <v>1</v>
      </c>
      <c r="P4792" s="12" t="n"/>
      <c r="Q4792" s="12" t="n"/>
      <c r="R4792" s="12" t="n"/>
      <c r="S4792" s="12" t="inlineStr">
        <is>
          <t>Tray / conduit</t>
        </is>
      </c>
      <c r="T4792" s="15" t="n">
        <v>80</v>
      </c>
      <c r="U4792" s="15" t="n">
        <v>10</v>
      </c>
      <c r="V4792" s="15">
        <f>ROUNDUP((T4792+U4792+2*'Read Me'!$B$13)*(1+'Read Me'!$B$12),-1)</f>
        <v/>
      </c>
      <c r="W4792" s="15">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I-I-0190</t>
        </is>
      </c>
      <c r="B4793" s="12" t="inlineStr">
        <is>
          <t>I</t>
        </is>
      </c>
      <c r="C4793" s="12" t="inlineStr">
        <is>
          <t>Modular / portable power</t>
        </is>
      </c>
      <c r="D4793" s="12" t="inlineStr">
        <is>
          <t>Home run JB-RICE 6 radiators (-DI01 to the control / marshalling room</t>
        </is>
      </c>
      <c r="E4793" s="12" t="inlineStr"/>
      <c r="F4793" s="12" t="inlineStr">
        <is>
          <t>PCM: power control module</t>
        </is>
      </c>
      <c r="G4793" s="12" t="inlineStr">
        <is>
          <t>JB-RICE 6 radiators (-DI01</t>
        </is>
      </c>
      <c r="H4793" s="12" t="inlineStr">
        <is>
          <t>RICE 6 radiators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Tray</t>
        </is>
      </c>
      <c r="T4793" s="15" t="n">
        <v>0</v>
      </c>
      <c r="U4793" s="15" t="n">
        <v>150</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I-I-0191</t>
        </is>
      </c>
      <c r="B4794" s="12" t="inlineStr">
        <is>
          <t>I</t>
        </is>
      </c>
      <c r="C4794" s="12" t="inlineStr">
        <is>
          <t>Modular / portable power</t>
        </is>
      </c>
      <c r="D4794" s="12" t="inlineStr">
        <is>
          <t>Analog instrument to JB JB-RICE 7 SCR + oxida-AI01: 10 x 1 pr (field cables)</t>
        </is>
      </c>
      <c r="E4794" s="12" t="inlineStr"/>
      <c r="F4794" s="12" t="inlineStr">
        <is>
          <t>RICE 7 SCR + oxidation catalyst and stack</t>
        </is>
      </c>
      <c r="G4794" s="12" t="inlineStr">
        <is>
          <t>JB-RICE 7 SCR + oxida-AI01</t>
        </is>
      </c>
      <c r="H4794" s="12" t="inlineStr">
        <is>
          <t>RICE 7 SCR + oxidation catalyst and stack</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10</v>
      </c>
      <c r="O4794" s="12" t="n">
        <v>1</v>
      </c>
      <c r="P4794" s="12" t="n"/>
      <c r="Q4794" s="12" t="n"/>
      <c r="R4794" s="12" t="n"/>
      <c r="S4794" s="12" t="inlineStr">
        <is>
          <t>Tray / conduit</t>
        </is>
      </c>
      <c r="T4794" s="15" t="n">
        <v>92</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I-I-0192</t>
        </is>
      </c>
      <c r="B4795" s="12" t="inlineStr">
        <is>
          <t>I</t>
        </is>
      </c>
      <c r="C4795" s="12" t="inlineStr">
        <is>
          <t>Modular / portable power</t>
        </is>
      </c>
      <c r="D4795" s="12" t="inlineStr">
        <is>
          <t>Home run JB-RICE 7 SCR + oxida-AI01 to the control / marshalling room</t>
        </is>
      </c>
      <c r="E4795" s="12" t="inlineStr"/>
      <c r="F4795" s="12" t="inlineStr">
        <is>
          <t>PCM: power control module</t>
        </is>
      </c>
      <c r="G4795" s="12" t="inlineStr">
        <is>
          <t>JB-RICE 7 SCR + oxida-AI01</t>
        </is>
      </c>
      <c r="H4795" s="12" t="inlineStr">
        <is>
          <t>RICE 7 SCR + oxidation catalyst and stack</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5" t="n">
        <v>153</v>
      </c>
      <c r="U4795" s="15" t="n">
        <v>108</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I-I-0193</t>
        </is>
      </c>
      <c r="B4796" s="12" t="inlineStr">
        <is>
          <t>I</t>
        </is>
      </c>
      <c r="C4796" s="12" t="inlineStr">
        <is>
          <t>Modular / portable power</t>
        </is>
      </c>
      <c r="D4796" s="12" t="inlineStr">
        <is>
          <t>Discrete device to JB JB-RICE 7 SCR + oxida-DI01: 6 x 1 pr (field cables)</t>
        </is>
      </c>
      <c r="E4796" s="12" t="inlineStr"/>
      <c r="F4796" s="12" t="inlineStr">
        <is>
          <t>RICE 7 SCR + oxidation catalyst and stack</t>
        </is>
      </c>
      <c r="G4796" s="12" t="inlineStr">
        <is>
          <t>JB-RICE 7 SCR + oxida-DI01</t>
        </is>
      </c>
      <c r="H4796" s="12" t="inlineStr">
        <is>
          <t>RICE 7 SCR + oxidation catalyst and stack</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6</v>
      </c>
      <c r="O4796" s="12" t="n">
        <v>1</v>
      </c>
      <c r="P4796" s="12" t="n"/>
      <c r="Q4796" s="12" t="n"/>
      <c r="R4796" s="12" t="n"/>
      <c r="S4796" s="12" t="inlineStr">
        <is>
          <t>Tray / conduit</t>
        </is>
      </c>
      <c r="T4796" s="15" t="n">
        <v>92</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I-I-0194</t>
        </is>
      </c>
      <c r="B4797" s="12" t="inlineStr">
        <is>
          <t>I</t>
        </is>
      </c>
      <c r="C4797" s="12" t="inlineStr">
        <is>
          <t>Modular / portable power</t>
        </is>
      </c>
      <c r="D4797" s="12" t="inlineStr">
        <is>
          <t>Home run JB-RICE 7 SCR + oxida-DI01 to the control / marshalling room</t>
        </is>
      </c>
      <c r="E4797" s="12" t="inlineStr"/>
      <c r="F4797" s="12" t="inlineStr">
        <is>
          <t>PCM: power control module</t>
        </is>
      </c>
      <c r="G4797" s="12" t="inlineStr">
        <is>
          <t>JB-RICE 7 SCR + oxida-DI01</t>
        </is>
      </c>
      <c r="H4797" s="12" t="inlineStr">
        <is>
          <t>RICE 7 SCR + oxidation catalyst and stack</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5" t="n">
        <v>153</v>
      </c>
      <c r="U4797" s="15" t="n">
        <v>108</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I-I-0195</t>
        </is>
      </c>
      <c r="B4798" s="12" t="inlineStr">
        <is>
          <t>I</t>
        </is>
      </c>
      <c r="C4798" s="12" t="inlineStr">
        <is>
          <t>Modular / portable power</t>
        </is>
      </c>
      <c r="D4798" s="12" t="inlineStr">
        <is>
          <t>Analog instrument to JB JB-RICE 7 radiators (-AI01: 5 x 1 pr (field cables)</t>
        </is>
      </c>
      <c r="E4798" s="12" t="inlineStr"/>
      <c r="F4798" s="12" t="inlineStr">
        <is>
          <t>RICE 7 radiators (5)</t>
        </is>
      </c>
      <c r="G4798" s="12" t="inlineStr">
        <is>
          <t>JB-RICE 7 radiators (-AI01</t>
        </is>
      </c>
      <c r="H4798" s="12" t="inlineStr">
        <is>
          <t>RICE 7 radiators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5</v>
      </c>
      <c r="O4798" s="12" t="n">
        <v>1</v>
      </c>
      <c r="P4798" s="12" t="n"/>
      <c r="Q4798" s="12" t="n"/>
      <c r="R4798" s="12" t="n"/>
      <c r="S4798" s="12" t="inlineStr">
        <is>
          <t>Tray / conduit</t>
        </is>
      </c>
      <c r="T4798" s="15" t="n">
        <v>80</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I-I-0196</t>
        </is>
      </c>
      <c r="B4799" s="12" t="inlineStr">
        <is>
          <t>I</t>
        </is>
      </c>
      <c r="C4799" s="12" t="inlineStr">
        <is>
          <t>Modular / portable power</t>
        </is>
      </c>
      <c r="D4799" s="12" t="inlineStr">
        <is>
          <t>Home run JB-RICE 7 radiators (-AI01 to the control / marshalling room</t>
        </is>
      </c>
      <c r="E4799" s="12" t="inlineStr"/>
      <c r="F4799" s="12" t="inlineStr">
        <is>
          <t>PCM: power control module</t>
        </is>
      </c>
      <c r="G4799" s="12" t="inlineStr">
        <is>
          <t>JB-RICE 7 radiators (-AI01</t>
        </is>
      </c>
      <c r="H4799" s="12" t="inlineStr">
        <is>
          <t>RICE 7 radiators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Tray</t>
        </is>
      </c>
      <c r="T4799" s="15" t="n">
        <v>0</v>
      </c>
      <c r="U4799" s="15" t="n">
        <v>122</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I-I-0197</t>
        </is>
      </c>
      <c r="B4800" s="12" t="inlineStr">
        <is>
          <t>I</t>
        </is>
      </c>
      <c r="C4800" s="12" t="inlineStr">
        <is>
          <t>Modular / portable power</t>
        </is>
      </c>
      <c r="D4800" s="12" t="inlineStr">
        <is>
          <t>Discrete device to JB JB-RICE 7 radiators (-DI01: 10 x 1 pr (field cables)</t>
        </is>
      </c>
      <c r="E4800" s="12" t="inlineStr"/>
      <c r="F4800" s="12" t="inlineStr">
        <is>
          <t>RICE 7 radiators (5)</t>
        </is>
      </c>
      <c r="G4800" s="12" t="inlineStr">
        <is>
          <t>JB-RICE 7 radiators (-DI01</t>
        </is>
      </c>
      <c r="H4800" s="12" t="inlineStr">
        <is>
          <t>RICE 7 radiators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10</v>
      </c>
      <c r="O4800" s="12" t="n">
        <v>1</v>
      </c>
      <c r="P4800" s="12" t="n"/>
      <c r="Q4800" s="12" t="n"/>
      <c r="R4800" s="12" t="n"/>
      <c r="S4800" s="12" t="inlineStr">
        <is>
          <t>Tray / conduit</t>
        </is>
      </c>
      <c r="T4800" s="15" t="n">
        <v>80</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I-I-0198</t>
        </is>
      </c>
      <c r="B4801" s="12" t="inlineStr">
        <is>
          <t>I</t>
        </is>
      </c>
      <c r="C4801" s="12" t="inlineStr">
        <is>
          <t>Modular / portable power</t>
        </is>
      </c>
      <c r="D4801" s="12" t="inlineStr">
        <is>
          <t>Home run JB-RICE 7 radiators (-DI01 to the control / marshalling room</t>
        </is>
      </c>
      <c r="E4801" s="12" t="inlineStr"/>
      <c r="F4801" s="12" t="inlineStr">
        <is>
          <t>PCM: power control module</t>
        </is>
      </c>
      <c r="G4801" s="12" t="inlineStr">
        <is>
          <t>JB-RICE 7 radiators (-DI01</t>
        </is>
      </c>
      <c r="H4801" s="12" t="inlineStr">
        <is>
          <t>RICE 7 radiators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Tray</t>
        </is>
      </c>
      <c r="T4801" s="15" t="n">
        <v>0</v>
      </c>
      <c r="U4801" s="15" t="n">
        <v>122</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I-I-0199</t>
        </is>
      </c>
      <c r="B4802" s="12" t="inlineStr">
        <is>
          <t>I</t>
        </is>
      </c>
      <c r="C4802" s="12" t="inlineStr">
        <is>
          <t>Modular / portable power</t>
        </is>
      </c>
      <c r="D4802" s="12" t="inlineStr">
        <is>
          <t>Analog instrument to JB JB-RICE 8 SCR + oxida-AI01: 10 x 1 pr (field cables)</t>
        </is>
      </c>
      <c r="E4802" s="12" t="inlineStr"/>
      <c r="F4802" s="12" t="inlineStr">
        <is>
          <t>RICE 8 SCR + oxidation catalyst and stack</t>
        </is>
      </c>
      <c r="G4802" s="12" t="inlineStr">
        <is>
          <t>JB-RICE 8 SCR + oxida-AI01</t>
        </is>
      </c>
      <c r="H4802" s="12" t="inlineStr">
        <is>
          <t>RICE 8 SCR + oxidation catalyst and stack</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10</v>
      </c>
      <c r="O4802" s="12" t="n">
        <v>1</v>
      </c>
      <c r="P4802" s="12" t="n"/>
      <c r="Q4802" s="12" t="n"/>
      <c r="R4802" s="12" t="n"/>
      <c r="S4802" s="12" t="inlineStr">
        <is>
          <t>Tray / conduit</t>
        </is>
      </c>
      <c r="T4802" s="15" t="n">
        <v>92</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I-I-0200</t>
        </is>
      </c>
      <c r="B4803" s="12" t="inlineStr">
        <is>
          <t>I</t>
        </is>
      </c>
      <c r="C4803" s="12" t="inlineStr">
        <is>
          <t>Modular / portable power</t>
        </is>
      </c>
      <c r="D4803" s="12" t="inlineStr">
        <is>
          <t>Home run JB-RICE 8 SCR + oxida-AI01 to the control / marshalling room</t>
        </is>
      </c>
      <c r="E4803" s="12" t="inlineStr"/>
      <c r="F4803" s="12" t="inlineStr">
        <is>
          <t>PCM: power control module</t>
        </is>
      </c>
      <c r="G4803" s="12" t="inlineStr">
        <is>
          <t>JB-RICE 8 SCR + oxida-AI01</t>
        </is>
      </c>
      <c r="H4803" s="12" t="inlineStr">
        <is>
          <t>RICE 8 SCR + oxidation catalyst and stack</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5" t="n">
        <v>104</v>
      </c>
      <c r="U4803" s="15" t="n">
        <v>104</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I-I-0201</t>
        </is>
      </c>
      <c r="B4804" s="12" t="inlineStr">
        <is>
          <t>I</t>
        </is>
      </c>
      <c r="C4804" s="12" t="inlineStr">
        <is>
          <t>Modular / portable power</t>
        </is>
      </c>
      <c r="D4804" s="12" t="inlineStr">
        <is>
          <t>Discrete device to JB JB-RICE 8 SCR + oxida-DI01: 6 x 1 pr (field cables)</t>
        </is>
      </c>
      <c r="E4804" s="12" t="inlineStr"/>
      <c r="F4804" s="12" t="inlineStr">
        <is>
          <t>RICE 8 SCR + oxidation catalyst and stack</t>
        </is>
      </c>
      <c r="G4804" s="12" t="inlineStr">
        <is>
          <t>JB-RICE 8 SCR + oxida-DI01</t>
        </is>
      </c>
      <c r="H4804" s="12" t="inlineStr">
        <is>
          <t>RICE 8 SCR + oxidation catalyst and stack</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6</v>
      </c>
      <c r="O4804" s="12" t="n">
        <v>1</v>
      </c>
      <c r="P4804" s="12" t="n"/>
      <c r="Q4804" s="12" t="n"/>
      <c r="R4804" s="12" t="n"/>
      <c r="S4804" s="12" t="inlineStr">
        <is>
          <t>Tray / conduit</t>
        </is>
      </c>
      <c r="T4804" s="15" t="n">
        <v>92</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I-I-0202</t>
        </is>
      </c>
      <c r="B4805" s="12" t="inlineStr">
        <is>
          <t>I</t>
        </is>
      </c>
      <c r="C4805" s="12" t="inlineStr">
        <is>
          <t>Modular / portable power</t>
        </is>
      </c>
      <c r="D4805" s="12" t="inlineStr">
        <is>
          <t>Home run JB-RICE 8 SCR + oxida-DI01 to the control / marshalling room</t>
        </is>
      </c>
      <c r="E4805" s="12" t="inlineStr"/>
      <c r="F4805" s="12" t="inlineStr">
        <is>
          <t>PCM: power control module</t>
        </is>
      </c>
      <c r="G4805" s="12" t="inlineStr">
        <is>
          <t>JB-RICE 8 SCR + oxida-DI01</t>
        </is>
      </c>
      <c r="H4805" s="12" t="inlineStr">
        <is>
          <t>RICE 8 SCR + oxidation catalyst and stack</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5" t="n">
        <v>104</v>
      </c>
      <c r="U4805" s="15" t="n">
        <v>104</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I-I-0203</t>
        </is>
      </c>
      <c r="B4806" s="12" t="inlineStr">
        <is>
          <t>I</t>
        </is>
      </c>
      <c r="C4806" s="12" t="inlineStr">
        <is>
          <t>Modular / portable power</t>
        </is>
      </c>
      <c r="D4806" s="12" t="inlineStr">
        <is>
          <t>Analog instrument to JB JB-RICE 8 radiators (-AI01: 5 x 1 pr (field cables)</t>
        </is>
      </c>
      <c r="E4806" s="12" t="inlineStr"/>
      <c r="F4806" s="12" t="inlineStr">
        <is>
          <t>RICE 8 radiators (5)</t>
        </is>
      </c>
      <c r="G4806" s="12" t="inlineStr">
        <is>
          <t>JB-RICE 8 radiators (-AI01</t>
        </is>
      </c>
      <c r="H4806" s="12" t="inlineStr">
        <is>
          <t>RICE 8 radiators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5</v>
      </c>
      <c r="O4806" s="12" t="n">
        <v>1</v>
      </c>
      <c r="P4806" s="12" t="n"/>
      <c r="Q4806" s="12" t="n"/>
      <c r="R4806" s="12" t="n"/>
      <c r="S4806" s="12" t="inlineStr">
        <is>
          <t>Tray / conduit</t>
        </is>
      </c>
      <c r="T4806" s="15" t="n">
        <v>80</v>
      </c>
      <c r="U4806" s="15" t="n">
        <v>10</v>
      </c>
      <c r="V4806" s="15">
        <f>ROUNDUP((T4806+U4806+2*'Read Me'!$B$13)*(1+'Read Me'!$B$12),-1)</f>
        <v/>
      </c>
      <c r="W4806" s="15">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I-I-0204</t>
        </is>
      </c>
      <c r="B4807" s="12" t="inlineStr">
        <is>
          <t>I</t>
        </is>
      </c>
      <c r="C4807" s="12" t="inlineStr">
        <is>
          <t>Modular / portable power</t>
        </is>
      </c>
      <c r="D4807" s="12" t="inlineStr">
        <is>
          <t>Home run JB-RICE 8 radiators (-AI01 to the control / marshalling room</t>
        </is>
      </c>
      <c r="E4807" s="12" t="inlineStr"/>
      <c r="F4807" s="12" t="inlineStr">
        <is>
          <t>PCM: power control module</t>
        </is>
      </c>
      <c r="G4807" s="12" t="inlineStr">
        <is>
          <t>JB-RICE 8 radiators (-AI01</t>
        </is>
      </c>
      <c r="H4807" s="12" t="inlineStr">
        <is>
          <t>RICE 8 radiators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Tray</t>
        </is>
      </c>
      <c r="T4807" s="15" t="n">
        <v>0</v>
      </c>
      <c r="U4807" s="15" t="n">
        <v>94</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I-I-0205</t>
        </is>
      </c>
      <c r="B4808" s="12" t="inlineStr">
        <is>
          <t>I</t>
        </is>
      </c>
      <c r="C4808" s="12" t="inlineStr">
        <is>
          <t>Modular / portable power</t>
        </is>
      </c>
      <c r="D4808" s="12" t="inlineStr">
        <is>
          <t>Discrete device to JB JB-RICE 8 radiators (-DI01: 10 x 1 pr (field cables)</t>
        </is>
      </c>
      <c r="E4808" s="12" t="inlineStr"/>
      <c r="F4808" s="12" t="inlineStr">
        <is>
          <t>RICE 8 radiators (5)</t>
        </is>
      </c>
      <c r="G4808" s="12" t="inlineStr">
        <is>
          <t>JB-RICE 8 radiators (-DI01</t>
        </is>
      </c>
      <c r="H4808" s="12" t="inlineStr">
        <is>
          <t>RICE 8 radiators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10</v>
      </c>
      <c r="O4808" s="12" t="n">
        <v>1</v>
      </c>
      <c r="P4808" s="12" t="n"/>
      <c r="Q4808" s="12" t="n"/>
      <c r="R4808" s="12" t="n"/>
      <c r="S4808" s="12" t="inlineStr">
        <is>
          <t>Tray / conduit</t>
        </is>
      </c>
      <c r="T4808" s="15" t="n">
        <v>80</v>
      </c>
      <c r="U4808" s="15" t="n">
        <v>10</v>
      </c>
      <c r="V4808" s="15">
        <f>ROUNDUP((T4808+U4808+2*'Read Me'!$B$13)*(1+'Read Me'!$B$12),-1)</f>
        <v/>
      </c>
      <c r="W4808" s="15">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I-I-0206</t>
        </is>
      </c>
      <c r="B4809" s="12" t="inlineStr">
        <is>
          <t>I</t>
        </is>
      </c>
      <c r="C4809" s="12" t="inlineStr">
        <is>
          <t>Modular / portable power</t>
        </is>
      </c>
      <c r="D4809" s="12" t="inlineStr">
        <is>
          <t>Home run JB-RICE 8 radiators (-DI01 to the control / marshalling room</t>
        </is>
      </c>
      <c r="E4809" s="12" t="inlineStr"/>
      <c r="F4809" s="12" t="inlineStr">
        <is>
          <t>PCM: power control module</t>
        </is>
      </c>
      <c r="G4809" s="12" t="inlineStr">
        <is>
          <t>JB-RICE 8 radiators (-DI01</t>
        </is>
      </c>
      <c r="H4809" s="12" t="inlineStr">
        <is>
          <t>RICE 8 radiators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Tray</t>
        </is>
      </c>
      <c r="T4809" s="15" t="n">
        <v>0</v>
      </c>
      <c r="U4809" s="15" t="n">
        <v>94</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I-I-0207</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PLTC|4 pr|18</t>
        </is>
      </c>
      <c r="L4810" s="12" t="inlineStr">
        <is>
          <t>4 pr</t>
        </is>
      </c>
      <c r="M4810" s="12" t="inlineStr">
        <is>
          <t>18</t>
        </is>
      </c>
      <c r="N4810" s="12" t="n">
        <v>1</v>
      </c>
      <c r="O4810" s="12" t="n">
        <v>1</v>
      </c>
      <c r="P4810" s="12" t="n"/>
      <c r="Q4810" s="12" t="n"/>
      <c r="R4810" s="12" t="n"/>
      <c r="S4810" s="12" t="inlineStr">
        <is>
          <t>Duct bank</t>
        </is>
      </c>
      <c r="T4810" s="15" t="n">
        <v>26</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I-I-0208</t>
        </is>
      </c>
      <c r="B4811" s="12" t="inlineStr">
        <is>
          <t>I</t>
        </is>
      </c>
      <c r="C4811" s="12" t="inlineStr">
        <is>
          <t>Modular / portable power</t>
        </is>
      </c>
      <c r="D4811" s="12" t="inlineStr">
        <is>
          <t>Instrumentation</t>
        </is>
      </c>
      <c r="E4811" s="12" t="inlineStr"/>
      <c r="F4811" s="12" t="inlineStr">
        <is>
          <t>PCM: power control module</t>
        </is>
      </c>
      <c r="G4811" s="12" t="inlineStr">
        <is>
          <t>RICE</t>
        </is>
      </c>
      <c r="H4811" s="12" t="inlineStr">
        <is>
          <t>RICE engine hall (8 engines)</t>
        </is>
      </c>
      <c r="I4811" s="12" t="inlineStr">
        <is>
          <t>Instrumentation</t>
        </is>
      </c>
      <c r="J4811" s="12" t="inlineStr">
        <is>
          <t>Instrumentation PLTC / TC-ER 300 V, #18 twisted shielded pairs, overall shield</t>
        </is>
      </c>
      <c r="K4811" s="12" t="inlineStr">
        <is>
          <t>PLTC|4 pr|18</t>
        </is>
      </c>
      <c r="L4811" s="12" t="inlineStr">
        <is>
          <t>4 pr</t>
        </is>
      </c>
      <c r="M4811" s="12" t="inlineStr">
        <is>
          <t>18</t>
        </is>
      </c>
      <c r="N4811" s="12" t="n">
        <v>1</v>
      </c>
      <c r="O4811" s="12" t="n">
        <v>1</v>
      </c>
      <c r="P4811" s="12" t="n"/>
      <c r="Q4811" s="12" t="n"/>
      <c r="R4811" s="12" t="n"/>
      <c r="S4811" s="12" t="inlineStr">
        <is>
          <t>Duct bank</t>
        </is>
      </c>
      <c r="T4811" s="15" t="n">
        <v>26</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I-I-0209</t>
        </is>
      </c>
      <c r="B4812" s="12" t="inlineStr">
        <is>
          <t>I</t>
        </is>
      </c>
      <c r="C4812" s="12" t="inlineStr">
        <is>
          <t>Modular / portable power</t>
        </is>
      </c>
      <c r="D4812" s="12" t="inlineStr">
        <is>
          <t>Instrumentation</t>
        </is>
      </c>
      <c r="E4812" s="12" t="inlineStr"/>
      <c r="F4812" s="12" t="inlineStr">
        <is>
          <t>PCM: power control module</t>
        </is>
      </c>
      <c r="G4812" s="12" t="inlineStr">
        <is>
          <t>RICE</t>
        </is>
      </c>
      <c r="H4812" s="12" t="inlineStr">
        <is>
          <t>RICE engine hall (8 engines)</t>
        </is>
      </c>
      <c r="I4812" s="12" t="inlineStr">
        <is>
          <t>Instrumentation</t>
        </is>
      </c>
      <c r="J4812" s="12" t="inlineStr">
        <is>
          <t>Instrumentation PLTC / TC-ER 300 V, #18 twisted shielded pairs, overall shield</t>
        </is>
      </c>
      <c r="K4812" s="12" t="inlineStr">
        <is>
          <t>PLTC|12 pr|18</t>
        </is>
      </c>
      <c r="L4812" s="12" t="inlineStr">
        <is>
          <t>12 pr</t>
        </is>
      </c>
      <c r="M4812" s="12" t="inlineStr">
        <is>
          <t>18</t>
        </is>
      </c>
      <c r="N4812" s="12" t="n">
        <v>1</v>
      </c>
      <c r="O4812" s="12" t="n">
        <v>1</v>
      </c>
      <c r="P4812" s="12" t="n"/>
      <c r="Q4812" s="12" t="n"/>
      <c r="R4812" s="12" t="n"/>
      <c r="S4812" s="12" t="inlineStr">
        <is>
          <t>Duct bank</t>
        </is>
      </c>
      <c r="T4812" s="15" t="n">
        <v>26</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I-I-0210</t>
        </is>
      </c>
      <c r="B4813" s="12" t="inlineStr">
        <is>
          <t>I</t>
        </is>
      </c>
      <c r="C4813" s="12" t="inlineStr">
        <is>
          <t>Modular / portable power</t>
        </is>
      </c>
      <c r="D4813" s="12" t="inlineStr">
        <is>
          <t>Instrumentation</t>
        </is>
      </c>
      <c r="E4813" s="12" t="inlineStr"/>
      <c r="F4813" s="12" t="inlineStr">
        <is>
          <t>PCM: power control module</t>
        </is>
      </c>
      <c r="G4813" s="12" t="inlineStr">
        <is>
          <t>RICE</t>
        </is>
      </c>
      <c r="H4813" s="12" t="inlineStr">
        <is>
          <t>RICE engine hall (8 engines)</t>
        </is>
      </c>
      <c r="I4813" s="12" t="inlineStr">
        <is>
          <t>Instrumentation</t>
        </is>
      </c>
      <c r="J4813" s="12" t="inlineStr">
        <is>
          <t>Instrumentation PLTC / TC-ER 300 V, #18 twisted shielded pairs, overall shield</t>
        </is>
      </c>
      <c r="K4813" s="12" t="inlineStr">
        <is>
          <t>PLTC|12 pr|18</t>
        </is>
      </c>
      <c r="L4813" s="12" t="inlineStr">
        <is>
          <t>12 pr</t>
        </is>
      </c>
      <c r="M4813" s="12" t="inlineStr">
        <is>
          <t>18</t>
        </is>
      </c>
      <c r="N4813" s="12" t="n">
        <v>1</v>
      </c>
      <c r="O4813" s="12" t="n">
        <v>1</v>
      </c>
      <c r="P4813" s="12" t="n"/>
      <c r="Q4813" s="12" t="n"/>
      <c r="R4813" s="12" t="n"/>
      <c r="S4813" s="12" t="inlineStr">
        <is>
          <t>Duct bank</t>
        </is>
      </c>
      <c r="T4813" s="15" t="n">
        <v>26</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I-I-0211</t>
        </is>
      </c>
      <c r="B4814" s="12" t="inlineStr">
        <is>
          <t>I</t>
        </is>
      </c>
      <c r="C4814" s="12" t="inlineStr">
        <is>
          <t>Modular / portable power</t>
        </is>
      </c>
      <c r="D4814" s="12" t="inlineStr">
        <is>
          <t>Instrumentation</t>
        </is>
      </c>
      <c r="E4814" s="12" t="inlineStr"/>
      <c r="F4814" s="12" t="inlineStr">
        <is>
          <t>PCM: power control module</t>
        </is>
      </c>
      <c r="G4814" s="12" t="inlineStr">
        <is>
          <t>RICE</t>
        </is>
      </c>
      <c r="H4814" s="12" t="inlineStr">
        <is>
          <t>RICE engine hall (8 engines)</t>
        </is>
      </c>
      <c r="I4814" s="12" t="inlineStr">
        <is>
          <t>Instrumentation</t>
        </is>
      </c>
      <c r="J4814" s="12" t="inlineStr">
        <is>
          <t>Instrumentation PLTC / TC-ER 300 V, #18 twisted shielded pairs, overall shield</t>
        </is>
      </c>
      <c r="K4814" s="12" t="inlineStr">
        <is>
          <t>PLTC|12 pr|18</t>
        </is>
      </c>
      <c r="L4814" s="12" t="inlineStr">
        <is>
          <t>12 pr</t>
        </is>
      </c>
      <c r="M4814" s="12" t="inlineStr">
        <is>
          <t>18</t>
        </is>
      </c>
      <c r="N4814" s="12" t="n">
        <v>1</v>
      </c>
      <c r="O4814" s="12" t="n">
        <v>1</v>
      </c>
      <c r="P4814" s="12" t="n"/>
      <c r="Q4814" s="12" t="n"/>
      <c r="R4814" s="12" t="n"/>
      <c r="S4814" s="12" t="inlineStr">
        <is>
          <t>Duct bank</t>
        </is>
      </c>
      <c r="T4814" s="15" t="n">
        <v>26</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I-I-0212</t>
        </is>
      </c>
      <c r="B4815" s="12" t="inlineStr">
        <is>
          <t>I</t>
        </is>
      </c>
      <c r="C4815" s="12" t="inlineStr">
        <is>
          <t>Modular / portable power</t>
        </is>
      </c>
      <c r="D4815" s="12" t="inlineStr">
        <is>
          <t>Instrumentation</t>
        </is>
      </c>
      <c r="E4815" s="12" t="inlineStr"/>
      <c r="F4815" s="12" t="inlineStr">
        <is>
          <t>PCM: power control module</t>
        </is>
      </c>
      <c r="G4815" s="12" t="inlineStr">
        <is>
          <t>RICE</t>
        </is>
      </c>
      <c r="H4815" s="12" t="inlineStr">
        <is>
          <t>RICE engine hall (8 engines)</t>
        </is>
      </c>
      <c r="I4815" s="12" t="inlineStr">
        <is>
          <t>Instrumentation</t>
        </is>
      </c>
      <c r="J4815" s="12" t="inlineStr">
        <is>
          <t>Instrumentation PLTC / TC-ER 300 V, #18 twisted shielded pairs, overall shield</t>
        </is>
      </c>
      <c r="K4815" s="12" t="inlineStr">
        <is>
          <t>PLTC|12 pr|18</t>
        </is>
      </c>
      <c r="L4815" s="12" t="inlineStr">
        <is>
          <t>12 pr</t>
        </is>
      </c>
      <c r="M4815" s="12" t="inlineStr">
        <is>
          <t>18</t>
        </is>
      </c>
      <c r="N4815" s="12" t="n">
        <v>1</v>
      </c>
      <c r="O4815" s="12" t="n">
        <v>1</v>
      </c>
      <c r="P4815" s="12" t="n"/>
      <c r="Q4815" s="12" t="n"/>
      <c r="R4815" s="12" t="n"/>
      <c r="S4815" s="12" t="inlineStr">
        <is>
          <t>Duct bank</t>
        </is>
      </c>
      <c r="T4815" s="15" t="n">
        <v>26</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I-I-0213</t>
        </is>
      </c>
      <c r="B4816" s="12" t="inlineStr">
        <is>
          <t>I</t>
        </is>
      </c>
      <c r="C4816" s="12" t="inlineStr">
        <is>
          <t>Modular / portable power</t>
        </is>
      </c>
      <c r="D4816" s="12" t="inlineStr">
        <is>
          <t>Instrumentation</t>
        </is>
      </c>
      <c r="E4816" s="12" t="inlineStr"/>
      <c r="F4816" s="12" t="inlineStr">
        <is>
          <t>PCM: power control module</t>
        </is>
      </c>
      <c r="G4816" s="12" t="inlineStr">
        <is>
          <t>RICE</t>
        </is>
      </c>
      <c r="H4816" s="12" t="inlineStr">
        <is>
          <t>RICE engine hall (8 engines)</t>
        </is>
      </c>
      <c r="I4816" s="12" t="inlineStr">
        <is>
          <t>Instrumentation</t>
        </is>
      </c>
      <c r="J4816" s="12" t="inlineStr">
        <is>
          <t>Instrumentation PLTC / TC-ER 300 V, #18 twisted shielded pairs, overall shield</t>
        </is>
      </c>
      <c r="K4816" s="12" t="inlineStr">
        <is>
          <t>PLTC|12 pr|18</t>
        </is>
      </c>
      <c r="L4816" s="12" t="inlineStr">
        <is>
          <t>12 pr</t>
        </is>
      </c>
      <c r="M4816" s="12" t="inlineStr">
        <is>
          <t>18</t>
        </is>
      </c>
      <c r="N4816" s="12" t="n">
        <v>1</v>
      </c>
      <c r="O4816" s="12" t="n">
        <v>1</v>
      </c>
      <c r="P4816" s="12" t="n"/>
      <c r="Q4816" s="12" t="n"/>
      <c r="R4816" s="12" t="n"/>
      <c r="S4816" s="12" t="inlineStr">
        <is>
          <t>Duct bank</t>
        </is>
      </c>
      <c r="T4816" s="15" t="n">
        <v>26</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I-I-0214</t>
        </is>
      </c>
      <c r="B4817" s="12" t="inlineStr">
        <is>
          <t>I</t>
        </is>
      </c>
      <c r="C4817" s="12" t="inlineStr">
        <is>
          <t>Modular / portable power</t>
        </is>
      </c>
      <c r="D4817" s="12" t="inlineStr">
        <is>
          <t>Instrumentation</t>
        </is>
      </c>
      <c r="E4817" s="12" t="inlineStr"/>
      <c r="F4817" s="12" t="inlineStr">
        <is>
          <t>PCM: power control module</t>
        </is>
      </c>
      <c r="G4817" s="12" t="inlineStr">
        <is>
          <t>RICE</t>
        </is>
      </c>
      <c r="H4817" s="12" t="inlineStr">
        <is>
          <t>RICE engine hall (8 engines)</t>
        </is>
      </c>
      <c r="I4817" s="12" t="inlineStr">
        <is>
          <t>Instrumentation</t>
        </is>
      </c>
      <c r="J4817" s="12" t="inlineStr">
        <is>
          <t>Instrumentation PLTC / TC-ER 300 V, #18 twisted shielded pairs, overall shield</t>
        </is>
      </c>
      <c r="K4817" s="12" t="inlineStr">
        <is>
          <t>PLTC|12 pr|18</t>
        </is>
      </c>
      <c r="L4817" s="12" t="inlineStr">
        <is>
          <t>12 pr</t>
        </is>
      </c>
      <c r="M4817" s="12" t="inlineStr">
        <is>
          <t>18</t>
        </is>
      </c>
      <c r="N4817" s="12" t="n">
        <v>1</v>
      </c>
      <c r="O4817" s="12" t="n">
        <v>1</v>
      </c>
      <c r="P4817" s="12" t="n"/>
      <c r="Q4817" s="12" t="n"/>
      <c r="R4817" s="12" t="n"/>
      <c r="S4817" s="12" t="inlineStr">
        <is>
          <t>Duct bank</t>
        </is>
      </c>
      <c r="T4817" s="15" t="n">
        <v>26</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I-I-0215</t>
        </is>
      </c>
      <c r="B4818" s="12" t="inlineStr">
        <is>
          <t>I</t>
        </is>
      </c>
      <c r="C4818" s="12" t="inlineStr">
        <is>
          <t>Modular / portable power</t>
        </is>
      </c>
      <c r="D4818" s="12" t="inlineStr">
        <is>
          <t>Instrumentation</t>
        </is>
      </c>
      <c r="E4818" s="12" t="inlineStr"/>
      <c r="F4818" s="12" t="inlineStr">
        <is>
          <t>PCM: power control module</t>
        </is>
      </c>
      <c r="G4818" s="12" t="inlineStr">
        <is>
          <t>RICE</t>
        </is>
      </c>
      <c r="H4818" s="12" t="inlineStr">
        <is>
          <t>RICE engine hall (8 engines)</t>
        </is>
      </c>
      <c r="I4818" s="12" t="inlineStr">
        <is>
          <t>Instrumentation</t>
        </is>
      </c>
      <c r="J4818" s="12" t="inlineStr">
        <is>
          <t>Instrumentation PLTC / TC-ER 300 V, #18 twisted shielded pairs, overall shield</t>
        </is>
      </c>
      <c r="K4818" s="12" t="inlineStr">
        <is>
          <t>PLTC|12 pr|18</t>
        </is>
      </c>
      <c r="L4818" s="12" t="inlineStr">
        <is>
          <t>12 pr</t>
        </is>
      </c>
      <c r="M4818" s="12" t="inlineStr">
        <is>
          <t>18</t>
        </is>
      </c>
      <c r="N4818" s="12" t="n">
        <v>1</v>
      </c>
      <c r="O4818" s="12" t="n">
        <v>1</v>
      </c>
      <c r="P4818" s="12" t="n"/>
      <c r="Q4818" s="12" t="n"/>
      <c r="R4818" s="12" t="n"/>
      <c r="S4818" s="12" t="inlineStr">
        <is>
          <t>Duct bank</t>
        </is>
      </c>
      <c r="T4818" s="15" t="n">
        <v>26</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I-I-0216</t>
        </is>
      </c>
      <c r="B4819" s="12" t="inlineStr">
        <is>
          <t>I</t>
        </is>
      </c>
      <c r="C4819" s="12" t="inlineStr">
        <is>
          <t>Modular / portable power</t>
        </is>
      </c>
      <c r="D4819" s="12" t="inlineStr">
        <is>
          <t>Instrumentation</t>
        </is>
      </c>
      <c r="E4819" s="12" t="inlineStr"/>
      <c r="F4819" s="12" t="inlineStr">
        <is>
          <t>PCM: power control module</t>
        </is>
      </c>
      <c r="G4819" s="12" t="inlineStr">
        <is>
          <t>RICE</t>
        </is>
      </c>
      <c r="H4819" s="12" t="inlineStr">
        <is>
          <t>RICE engine hall (8 engines)</t>
        </is>
      </c>
      <c r="I4819" s="12" t="inlineStr">
        <is>
          <t>Instrumentation</t>
        </is>
      </c>
      <c r="J4819" s="12" t="inlineStr">
        <is>
          <t>Instrumentation PLTC / TC-ER 300 V, #18 twisted shielded pairs, overall shield</t>
        </is>
      </c>
      <c r="K4819" s="12" t="inlineStr">
        <is>
          <t>PLTC|12 pr|18</t>
        </is>
      </c>
      <c r="L4819" s="12" t="inlineStr">
        <is>
          <t>12 pr</t>
        </is>
      </c>
      <c r="M4819" s="12" t="inlineStr">
        <is>
          <t>18</t>
        </is>
      </c>
      <c r="N4819" s="12" t="n">
        <v>1</v>
      </c>
      <c r="O4819" s="12" t="n">
        <v>1</v>
      </c>
      <c r="P4819" s="12" t="n"/>
      <c r="Q4819" s="12" t="n"/>
      <c r="R4819" s="12" t="n"/>
      <c r="S4819" s="12" t="inlineStr">
        <is>
          <t>Duct bank</t>
        </is>
      </c>
      <c r="T4819" s="15" t="n">
        <v>26</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I-I-0217</t>
        </is>
      </c>
      <c r="B4820" s="12" t="inlineStr">
        <is>
          <t>I</t>
        </is>
      </c>
      <c r="C4820" s="12" t="inlineStr">
        <is>
          <t>Modular / portable power</t>
        </is>
      </c>
      <c r="D4820" s="12" t="inlineStr">
        <is>
          <t>Thermocouples</t>
        </is>
      </c>
      <c r="E4820" s="12" t="inlineStr"/>
      <c r="F4820" s="12" t="inlineStr">
        <is>
          <t>PCM: power control module</t>
        </is>
      </c>
      <c r="G4820" s="12" t="inlineStr">
        <is>
          <t>RICE</t>
        </is>
      </c>
      <c r="H4820" s="12" t="inlineStr">
        <is>
          <t>RICE engine hall (8 engines)</t>
        </is>
      </c>
      <c r="I4820" s="12" t="inlineStr">
        <is>
          <t>Instrumentation</t>
        </is>
      </c>
      <c r="J4820" s="12" t="inlineStr">
        <is>
          <t>Thermocouple extension KX, #16 shielded pairs, PLTC</t>
        </is>
      </c>
      <c r="K4820" s="12" t="inlineStr">
        <is>
          <t>TCX|12 pr|16</t>
        </is>
      </c>
      <c r="L4820" s="12" t="inlineStr">
        <is>
          <t>12 pr</t>
        </is>
      </c>
      <c r="M4820" s="12" t="inlineStr">
        <is>
          <t>16</t>
        </is>
      </c>
      <c r="N4820" s="12" t="n">
        <v>1</v>
      </c>
      <c r="O4820" s="12" t="n">
        <v>1</v>
      </c>
      <c r="P4820" s="12" t="n"/>
      <c r="Q4820" s="12" t="n"/>
      <c r="R4820" s="12" t="n"/>
      <c r="S4820" s="12" t="inlineStr">
        <is>
          <t>Duct bank</t>
        </is>
      </c>
      <c r="T4820" s="15" t="n">
        <v>26</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I-I-0218</t>
        </is>
      </c>
      <c r="B4821" s="12" t="inlineStr">
        <is>
          <t>I</t>
        </is>
      </c>
      <c r="C4821" s="12" t="inlineStr">
        <is>
          <t>Modular / portable power</t>
        </is>
      </c>
      <c r="D4821" s="12" t="inlineStr">
        <is>
          <t>Thermocouples</t>
        </is>
      </c>
      <c r="E4821" s="12" t="inlineStr"/>
      <c r="F4821" s="12" t="inlineStr">
        <is>
          <t>PCM: power control module</t>
        </is>
      </c>
      <c r="G4821" s="12" t="inlineStr">
        <is>
          <t>RICE</t>
        </is>
      </c>
      <c r="H4821" s="12" t="inlineStr">
        <is>
          <t>RICE engine hall (8 engines)</t>
        </is>
      </c>
      <c r="I4821" s="12" t="inlineStr">
        <is>
          <t>Instrumentation</t>
        </is>
      </c>
      <c r="J4821" s="12" t="inlineStr">
        <is>
          <t>Thermocouple extension KX, #16 shielded pairs, PLTC</t>
        </is>
      </c>
      <c r="K4821" s="12" t="inlineStr">
        <is>
          <t>TCX|12 pr|16</t>
        </is>
      </c>
      <c r="L4821" s="12" t="inlineStr">
        <is>
          <t>12 pr</t>
        </is>
      </c>
      <c r="M4821" s="12" t="inlineStr">
        <is>
          <t>16</t>
        </is>
      </c>
      <c r="N4821" s="12" t="n">
        <v>1</v>
      </c>
      <c r="O4821" s="12" t="n">
        <v>1</v>
      </c>
      <c r="P4821" s="12" t="n"/>
      <c r="Q4821" s="12" t="n"/>
      <c r="R4821" s="12" t="n"/>
      <c r="S4821" s="12" t="inlineStr">
        <is>
          <t>Duct bank</t>
        </is>
      </c>
      <c r="T4821" s="15" t="n">
        <v>26</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I-I-0219</t>
        </is>
      </c>
      <c r="B4822" s="12" t="inlineStr">
        <is>
          <t>I</t>
        </is>
      </c>
      <c r="C4822" s="12" t="inlineStr">
        <is>
          <t>Modular / portable power</t>
        </is>
      </c>
      <c r="D4822" s="12" t="inlineStr">
        <is>
          <t>Thermocouples</t>
        </is>
      </c>
      <c r="E4822" s="12" t="inlineStr"/>
      <c r="F4822" s="12" t="inlineStr">
        <is>
          <t>PCM: power control module</t>
        </is>
      </c>
      <c r="G4822" s="12" t="inlineStr">
        <is>
          <t>RICE</t>
        </is>
      </c>
      <c r="H4822" s="12" t="inlineStr">
        <is>
          <t>RICE engine hall (8 engines)</t>
        </is>
      </c>
      <c r="I4822" s="12" t="inlineStr">
        <is>
          <t>Instrumentation</t>
        </is>
      </c>
      <c r="J4822" s="12" t="inlineStr">
        <is>
          <t>Thermocouple extension KX, #16 shielded pairs, PLTC</t>
        </is>
      </c>
      <c r="K4822" s="12" t="inlineStr">
        <is>
          <t>TCX|12 pr|16</t>
        </is>
      </c>
      <c r="L4822" s="12" t="inlineStr">
        <is>
          <t>12 pr</t>
        </is>
      </c>
      <c r="M4822" s="12" t="inlineStr">
        <is>
          <t>16</t>
        </is>
      </c>
      <c r="N4822" s="12" t="n">
        <v>1</v>
      </c>
      <c r="O4822" s="12" t="n">
        <v>1</v>
      </c>
      <c r="P4822" s="12" t="n"/>
      <c r="Q4822" s="12" t="n"/>
      <c r="R4822" s="12" t="n"/>
      <c r="S4822" s="12" t="inlineStr">
        <is>
          <t>Duct bank</t>
        </is>
      </c>
      <c r="T4822" s="15" t="n">
        <v>26</v>
      </c>
      <c r="U4822" s="15" t="n">
        <v>83</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I-I-0220</t>
        </is>
      </c>
      <c r="B4823" s="12" t="inlineStr">
        <is>
          <t>I</t>
        </is>
      </c>
      <c r="C4823" s="12" t="inlineStr">
        <is>
          <t>Modular / portable power</t>
        </is>
      </c>
      <c r="D4823" s="12" t="inlineStr">
        <is>
          <t>Thermocouples</t>
        </is>
      </c>
      <c r="E4823" s="12" t="inlineStr"/>
      <c r="F4823" s="12" t="inlineStr">
        <is>
          <t>PCM: power control module</t>
        </is>
      </c>
      <c r="G4823" s="12" t="inlineStr">
        <is>
          <t>RICE</t>
        </is>
      </c>
      <c r="H4823" s="12" t="inlineStr">
        <is>
          <t>RICE engine hall (8 engines)</t>
        </is>
      </c>
      <c r="I4823" s="12" t="inlineStr">
        <is>
          <t>Instrumentation</t>
        </is>
      </c>
      <c r="J4823" s="12" t="inlineStr">
        <is>
          <t>Thermocouple extension KX, #16 shielded pairs, PLTC</t>
        </is>
      </c>
      <c r="K4823" s="12" t="inlineStr">
        <is>
          <t>TCX|12 pr|16</t>
        </is>
      </c>
      <c r="L4823" s="12" t="inlineStr">
        <is>
          <t>12 pr</t>
        </is>
      </c>
      <c r="M4823" s="12" t="inlineStr">
        <is>
          <t>16</t>
        </is>
      </c>
      <c r="N4823" s="12" t="n">
        <v>1</v>
      </c>
      <c r="O4823" s="12" t="n">
        <v>1</v>
      </c>
      <c r="P4823" s="12" t="n"/>
      <c r="Q4823" s="12" t="n"/>
      <c r="R4823" s="12" t="n"/>
      <c r="S4823" s="12" t="inlineStr">
        <is>
          <t>Duct bank</t>
        </is>
      </c>
      <c r="T4823" s="15" t="n">
        <v>26</v>
      </c>
      <c r="U4823" s="15" t="n">
        <v>83</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I-I-0221</t>
        </is>
      </c>
      <c r="B4824" s="12" t="inlineStr">
        <is>
          <t>I</t>
        </is>
      </c>
      <c r="C4824" s="12" t="inlineStr">
        <is>
          <t>Modular / portable power</t>
        </is>
      </c>
      <c r="D4824" s="12" t="inlineStr">
        <is>
          <t>Thermocouples</t>
        </is>
      </c>
      <c r="E4824" s="12" t="inlineStr"/>
      <c r="F4824" s="12" t="inlineStr">
        <is>
          <t>PCM: power control module</t>
        </is>
      </c>
      <c r="G4824" s="12" t="inlineStr">
        <is>
          <t>RICE</t>
        </is>
      </c>
      <c r="H4824" s="12" t="inlineStr">
        <is>
          <t>RICE engine hall (8 engines)</t>
        </is>
      </c>
      <c r="I4824" s="12" t="inlineStr">
        <is>
          <t>Instrumentation</t>
        </is>
      </c>
      <c r="J4824" s="12" t="inlineStr">
        <is>
          <t>Thermocouple extension KX, #16 shielded pairs, PLTC</t>
        </is>
      </c>
      <c r="K4824" s="12" t="inlineStr">
        <is>
          <t>TCX|12 pr|16</t>
        </is>
      </c>
      <c r="L4824" s="12" t="inlineStr">
        <is>
          <t>12 pr</t>
        </is>
      </c>
      <c r="M4824" s="12" t="inlineStr">
        <is>
          <t>16</t>
        </is>
      </c>
      <c r="N4824" s="12" t="n">
        <v>1</v>
      </c>
      <c r="O4824" s="12" t="n">
        <v>1</v>
      </c>
      <c r="P4824" s="12" t="n"/>
      <c r="Q4824" s="12" t="n"/>
      <c r="R4824" s="12" t="n"/>
      <c r="S4824" s="12" t="inlineStr">
        <is>
          <t>Duct bank</t>
        </is>
      </c>
      <c r="T4824" s="15" t="n">
        <v>26</v>
      </c>
      <c r="U4824" s="15" t="n">
        <v>83</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I-I-0222</t>
        </is>
      </c>
      <c r="B4825" s="12" t="inlineStr">
        <is>
          <t>I</t>
        </is>
      </c>
      <c r="C4825" s="12" t="inlineStr">
        <is>
          <t>Modular / portable power</t>
        </is>
      </c>
      <c r="D4825" s="12" t="inlineStr">
        <is>
          <t>Thermocouples</t>
        </is>
      </c>
      <c r="E4825" s="12" t="inlineStr"/>
      <c r="F4825" s="12" t="inlineStr">
        <is>
          <t>PCM: power control module</t>
        </is>
      </c>
      <c r="G4825" s="12" t="inlineStr">
        <is>
          <t>RICE</t>
        </is>
      </c>
      <c r="H4825" s="12" t="inlineStr">
        <is>
          <t>RICE engine hall (8 engines)</t>
        </is>
      </c>
      <c r="I4825" s="12" t="inlineStr">
        <is>
          <t>Instrumentation</t>
        </is>
      </c>
      <c r="J4825" s="12" t="inlineStr">
        <is>
          <t>Thermocouple extension KX, #16 shielded pairs, PLTC</t>
        </is>
      </c>
      <c r="K4825" s="12" t="inlineStr">
        <is>
          <t>TCX|12 pr|16</t>
        </is>
      </c>
      <c r="L4825" s="12" t="inlineStr">
        <is>
          <t>12 pr</t>
        </is>
      </c>
      <c r="M4825" s="12" t="inlineStr">
        <is>
          <t>16</t>
        </is>
      </c>
      <c r="N4825" s="12" t="n">
        <v>1</v>
      </c>
      <c r="O4825" s="12" t="n">
        <v>1</v>
      </c>
      <c r="P4825" s="12" t="n"/>
      <c r="Q4825" s="12" t="n"/>
      <c r="R4825" s="12" t="n"/>
      <c r="S4825" s="12" t="inlineStr">
        <is>
          <t>Duct bank</t>
        </is>
      </c>
      <c r="T4825" s="15" t="n">
        <v>26</v>
      </c>
      <c r="U4825" s="15" t="n">
        <v>83</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I-I-0223</t>
        </is>
      </c>
      <c r="B4826" s="12" t="inlineStr">
        <is>
          <t>I</t>
        </is>
      </c>
      <c r="C4826" s="12" t="inlineStr">
        <is>
          <t>Modular / portable power</t>
        </is>
      </c>
      <c r="D4826" s="12" t="inlineStr">
        <is>
          <t>Analog instrument to JB JB-RICE-1-AI01: 20 x 1 pr (field cables)</t>
        </is>
      </c>
      <c r="E4826" s="12" t="inlineStr">
        <is>
          <t>RICE-1</t>
        </is>
      </c>
      <c r="F4826" s="12" t="inlineStr">
        <is>
          <t>RICE engine-generator 1</t>
        </is>
      </c>
      <c r="G4826" s="12" t="inlineStr">
        <is>
          <t>JB-RICE-1-AI01</t>
        </is>
      </c>
      <c r="H4826" s="12" t="inlineStr">
        <is>
          <t>RICE engine-generator 1</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5" t="n">
        <v>72</v>
      </c>
      <c r="U4826" s="15" t="n">
        <v>10</v>
      </c>
      <c r="V4826" s="15">
        <f>ROUNDUP((T4826+U4826+2*'Read Me'!$B$13)*(1+'Read Me'!$B$12),-1)</f>
        <v/>
      </c>
      <c r="W4826" s="15">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I-I-0224</t>
        </is>
      </c>
      <c r="B4827" s="12" t="inlineStr">
        <is>
          <t>I</t>
        </is>
      </c>
      <c r="C4827" s="12" t="inlineStr">
        <is>
          <t>Modular / portable power</t>
        </is>
      </c>
      <c r="D4827" s="12" t="inlineStr">
        <is>
          <t>Home run JB-RICE-1-AI01 to the control / marshalling room</t>
        </is>
      </c>
      <c r="E4827" s="12" t="inlineStr"/>
      <c r="F4827" s="12" t="inlineStr">
        <is>
          <t>PCM: power control module</t>
        </is>
      </c>
      <c r="G4827" s="12" t="inlineStr">
        <is>
          <t>JB-RICE-1-AI01</t>
        </is>
      </c>
      <c r="H4827" s="12" t="inlineStr">
        <is>
          <t>RICE engine-generator 1</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5" t="n">
        <v>516</v>
      </c>
      <c r="U4827" s="15" t="n">
        <v>137</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I-I-0225</t>
        </is>
      </c>
      <c r="B4828" s="12" t="inlineStr">
        <is>
          <t>I</t>
        </is>
      </c>
      <c r="C4828" s="12" t="inlineStr">
        <is>
          <t>Modular / portable power</t>
        </is>
      </c>
      <c r="D4828" s="12" t="inlineStr">
        <is>
          <t>Analog instrument to JB JB-RICE-1-AI02: 20 x 1 pr (field cables)</t>
        </is>
      </c>
      <c r="E4828" s="12" t="inlineStr">
        <is>
          <t>RICE-1</t>
        </is>
      </c>
      <c r="F4828" s="12" t="inlineStr">
        <is>
          <t>RICE engine-generator 1</t>
        </is>
      </c>
      <c r="G4828" s="12" t="inlineStr">
        <is>
          <t>JB-RICE-1-AI02</t>
        </is>
      </c>
      <c r="H4828" s="12" t="inlineStr">
        <is>
          <t>RICE engine-generator 1</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I-I-0226</t>
        </is>
      </c>
      <c r="B4829" s="12" t="inlineStr">
        <is>
          <t>I</t>
        </is>
      </c>
      <c r="C4829" s="12" t="inlineStr">
        <is>
          <t>Modular / portable power</t>
        </is>
      </c>
      <c r="D4829" s="12" t="inlineStr">
        <is>
          <t>Home run JB-RICE-1-AI02 to the control / marshalling room</t>
        </is>
      </c>
      <c r="E4829" s="12" t="inlineStr"/>
      <c r="F4829" s="12" t="inlineStr">
        <is>
          <t>PCM: power control module</t>
        </is>
      </c>
      <c r="G4829" s="12" t="inlineStr">
        <is>
          <t>JB-RICE-1-AI02</t>
        </is>
      </c>
      <c r="H4829" s="12" t="inlineStr">
        <is>
          <t>RICE engine-generator 1</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5" t="n">
        <v>516</v>
      </c>
      <c r="U4829" s="15" t="n">
        <v>137</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I-I-0227</t>
        </is>
      </c>
      <c r="B4830" s="12" t="inlineStr">
        <is>
          <t>I</t>
        </is>
      </c>
      <c r="C4830" s="12" t="inlineStr">
        <is>
          <t>Modular / portable power</t>
        </is>
      </c>
      <c r="D4830" s="12" t="inlineStr">
        <is>
          <t>Analog instrument to JB JB-RICE-1-AI03: 20 x 1 pr (field cables)</t>
        </is>
      </c>
      <c r="E4830" s="12" t="inlineStr">
        <is>
          <t>RICE-1</t>
        </is>
      </c>
      <c r="F4830" s="12" t="inlineStr">
        <is>
          <t>RICE engine-generator 1</t>
        </is>
      </c>
      <c r="G4830" s="12" t="inlineStr">
        <is>
          <t>JB-RICE-1-AI03</t>
        </is>
      </c>
      <c r="H4830" s="12" t="inlineStr">
        <is>
          <t>RICE engine-generator 1</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I-I-0228</t>
        </is>
      </c>
      <c r="B4831" s="12" t="inlineStr">
        <is>
          <t>I</t>
        </is>
      </c>
      <c r="C4831" s="12" t="inlineStr">
        <is>
          <t>Modular / portable power</t>
        </is>
      </c>
      <c r="D4831" s="12" t="inlineStr">
        <is>
          <t>Home run JB-RICE-1-AI03 to the control / marshalling room</t>
        </is>
      </c>
      <c r="E4831" s="12" t="inlineStr"/>
      <c r="F4831" s="12" t="inlineStr">
        <is>
          <t>PCM: power control module</t>
        </is>
      </c>
      <c r="G4831" s="12" t="inlineStr">
        <is>
          <t>JB-RICE-1-AI03</t>
        </is>
      </c>
      <c r="H4831" s="12" t="inlineStr">
        <is>
          <t>RICE engine-generator 1</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5" t="n">
        <v>516</v>
      </c>
      <c r="U4831" s="15" t="n">
        <v>137</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I-I-0229</t>
        </is>
      </c>
      <c r="B4832" s="12" t="inlineStr">
        <is>
          <t>I</t>
        </is>
      </c>
      <c r="C4832" s="12" t="inlineStr">
        <is>
          <t>Modular / portable power</t>
        </is>
      </c>
      <c r="D4832" s="12" t="inlineStr">
        <is>
          <t>Analog instrument to JB JB-RICE-1-AI04: 20 x 1 pr (field cables)</t>
        </is>
      </c>
      <c r="E4832" s="12" t="inlineStr">
        <is>
          <t>RICE-1</t>
        </is>
      </c>
      <c r="F4832" s="12" t="inlineStr">
        <is>
          <t>RICE engine-generator 1</t>
        </is>
      </c>
      <c r="G4832" s="12" t="inlineStr">
        <is>
          <t>JB-RICE-1-AI04</t>
        </is>
      </c>
      <c r="H4832" s="12" t="inlineStr">
        <is>
          <t>RICE engine-generator 1</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I-I-0230</t>
        </is>
      </c>
      <c r="B4833" s="12" t="inlineStr">
        <is>
          <t>I</t>
        </is>
      </c>
      <c r="C4833" s="12" t="inlineStr">
        <is>
          <t>Modular / portable power</t>
        </is>
      </c>
      <c r="D4833" s="12" t="inlineStr">
        <is>
          <t>Home run JB-RICE-1-AI04 to the control / marshalling room</t>
        </is>
      </c>
      <c r="E4833" s="12" t="inlineStr"/>
      <c r="F4833" s="12" t="inlineStr">
        <is>
          <t>PCM: power control module</t>
        </is>
      </c>
      <c r="G4833" s="12" t="inlineStr">
        <is>
          <t>JB-RICE-1-AI04</t>
        </is>
      </c>
      <c r="H4833" s="12" t="inlineStr">
        <is>
          <t>RICE engine-generator 1</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5" t="n">
        <v>516</v>
      </c>
      <c r="U4833" s="15" t="n">
        <v>137</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I-I-0231</t>
        </is>
      </c>
      <c r="B4834" s="12" t="inlineStr">
        <is>
          <t>I</t>
        </is>
      </c>
      <c r="C4834" s="12" t="inlineStr">
        <is>
          <t>Modular / portable power</t>
        </is>
      </c>
      <c r="D4834" s="12" t="inlineStr">
        <is>
          <t>Discrete device to JB JB-RICE-1-DI01: 20 x 1 pr (field cables)</t>
        </is>
      </c>
      <c r="E4834" s="12" t="inlineStr">
        <is>
          <t>RICE-1</t>
        </is>
      </c>
      <c r="F4834" s="12" t="inlineStr">
        <is>
          <t>RICE engine-generator 1</t>
        </is>
      </c>
      <c r="G4834" s="12" t="inlineStr">
        <is>
          <t>JB-RICE-1-DI01</t>
        </is>
      </c>
      <c r="H4834" s="12" t="inlineStr">
        <is>
          <t>RICE engine-generator 1</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I-I-0232</t>
        </is>
      </c>
      <c r="B4835" s="12" t="inlineStr">
        <is>
          <t>I</t>
        </is>
      </c>
      <c r="C4835" s="12" t="inlineStr">
        <is>
          <t>Modular / portable power</t>
        </is>
      </c>
      <c r="D4835" s="12" t="inlineStr">
        <is>
          <t>Home run JB-RICE-1-DI01 to the control / marshalling room</t>
        </is>
      </c>
      <c r="E4835" s="12" t="inlineStr"/>
      <c r="F4835" s="12" t="inlineStr">
        <is>
          <t>PCM: power control module</t>
        </is>
      </c>
      <c r="G4835" s="12" t="inlineStr">
        <is>
          <t>JB-RICE-1-DI01</t>
        </is>
      </c>
      <c r="H4835" s="12" t="inlineStr">
        <is>
          <t>RICE engine-generator 1</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5" t="n">
        <v>516</v>
      </c>
      <c r="U4835" s="15" t="n">
        <v>137</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I-I-0233</t>
        </is>
      </c>
      <c r="B4836" s="12" t="inlineStr">
        <is>
          <t>I</t>
        </is>
      </c>
      <c r="C4836" s="12" t="inlineStr">
        <is>
          <t>Modular / portable power</t>
        </is>
      </c>
      <c r="D4836" s="12" t="inlineStr">
        <is>
          <t>Discrete device to JB JB-RICE-1-DI02: 20 x 1 pr (field cables)</t>
        </is>
      </c>
      <c r="E4836" s="12" t="inlineStr">
        <is>
          <t>RICE-1</t>
        </is>
      </c>
      <c r="F4836" s="12" t="inlineStr">
        <is>
          <t>RICE engine-generator 1</t>
        </is>
      </c>
      <c r="G4836" s="12" t="inlineStr">
        <is>
          <t>JB-RICE-1-DI02</t>
        </is>
      </c>
      <c r="H4836" s="12" t="inlineStr">
        <is>
          <t>RICE engine-generator 1</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I-I-0234</t>
        </is>
      </c>
      <c r="B4837" s="12" t="inlineStr">
        <is>
          <t>I</t>
        </is>
      </c>
      <c r="C4837" s="12" t="inlineStr">
        <is>
          <t>Modular / portable power</t>
        </is>
      </c>
      <c r="D4837" s="12" t="inlineStr">
        <is>
          <t>Home run JB-RICE-1-DI02 to the control / marshalling room</t>
        </is>
      </c>
      <c r="E4837" s="12" t="inlineStr"/>
      <c r="F4837" s="12" t="inlineStr">
        <is>
          <t>PCM: power control module</t>
        </is>
      </c>
      <c r="G4837" s="12" t="inlineStr">
        <is>
          <t>JB-RICE-1-DI02</t>
        </is>
      </c>
      <c r="H4837" s="12" t="inlineStr">
        <is>
          <t>RICE engine-generator 1</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Duct bank</t>
        </is>
      </c>
      <c r="T4837" s="15" t="n">
        <v>516</v>
      </c>
      <c r="U4837" s="15" t="n">
        <v>137</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I-I-0235</t>
        </is>
      </c>
      <c r="B4838" s="12" t="inlineStr">
        <is>
          <t>I</t>
        </is>
      </c>
      <c r="C4838" s="12" t="inlineStr">
        <is>
          <t>Modular / portable power</t>
        </is>
      </c>
      <c r="D4838" s="12" t="inlineStr">
        <is>
          <t>Discrete device to JB JB-RICE-1-DI03: 20 x 1 pr (field cables)</t>
        </is>
      </c>
      <c r="E4838" s="12" t="inlineStr">
        <is>
          <t>RICE-1</t>
        </is>
      </c>
      <c r="F4838" s="12" t="inlineStr">
        <is>
          <t>RICE engine-generator 1</t>
        </is>
      </c>
      <c r="G4838" s="12" t="inlineStr">
        <is>
          <t>JB-RICE-1-DI03</t>
        </is>
      </c>
      <c r="H4838" s="12" t="inlineStr">
        <is>
          <t>RICE engine-generator 1</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I-I-0236</t>
        </is>
      </c>
      <c r="B4839" s="12" t="inlineStr">
        <is>
          <t>I</t>
        </is>
      </c>
      <c r="C4839" s="12" t="inlineStr">
        <is>
          <t>Modular / portable power</t>
        </is>
      </c>
      <c r="D4839" s="12" t="inlineStr">
        <is>
          <t>Home run JB-RICE-1-DI03 to the control / marshalling room</t>
        </is>
      </c>
      <c r="E4839" s="12" t="inlineStr"/>
      <c r="F4839" s="12" t="inlineStr">
        <is>
          <t>PCM: power control module</t>
        </is>
      </c>
      <c r="G4839" s="12" t="inlineStr">
        <is>
          <t>JB-RICE-1-DI03</t>
        </is>
      </c>
      <c r="H4839" s="12" t="inlineStr">
        <is>
          <t>RICE engine-generator 1</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5" t="n">
        <v>516</v>
      </c>
      <c r="U4839" s="15" t="n">
        <v>137</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I-I-0237</t>
        </is>
      </c>
      <c r="B4840" s="12" t="inlineStr">
        <is>
          <t>I</t>
        </is>
      </c>
      <c r="C4840" s="12" t="inlineStr">
        <is>
          <t>Modular / portable power</t>
        </is>
      </c>
      <c r="D4840" s="12" t="inlineStr">
        <is>
          <t>Thermocouple to TC JB JB-RICE-1-TC01: 20 x 1 pr (field cables)</t>
        </is>
      </c>
      <c r="E4840" s="12" t="inlineStr">
        <is>
          <t>RICE-1</t>
        </is>
      </c>
      <c r="F4840" s="12" t="inlineStr">
        <is>
          <t>RICE engine-generator 1</t>
        </is>
      </c>
      <c r="G4840" s="12" t="inlineStr">
        <is>
          <t>JB-RICE-1-TC01</t>
        </is>
      </c>
      <c r="H4840" s="12" t="inlineStr">
        <is>
          <t>RICE engine-generator 1</t>
        </is>
      </c>
      <c r="I4840" s="12" t="inlineStr">
        <is>
          <t>Instrumentation</t>
        </is>
      </c>
      <c r="J4840" s="12" t="inlineStr">
        <is>
          <t>Thermocouple extension KX, #16 shielded pairs, PLTC</t>
        </is>
      </c>
      <c r="K4840" s="12" t="inlineStr">
        <is>
          <t>TCX|1 pr|16</t>
        </is>
      </c>
      <c r="L4840" s="12" t="inlineStr">
        <is>
          <t>1 pr</t>
        </is>
      </c>
      <c r="M4840" s="12" t="inlineStr">
        <is>
          <t>16</t>
        </is>
      </c>
      <c r="N4840" s="12" t="n">
        <v>20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I-I-0238</t>
        </is>
      </c>
      <c r="B4841" s="12" t="inlineStr">
        <is>
          <t>I</t>
        </is>
      </c>
      <c r="C4841" s="12" t="inlineStr">
        <is>
          <t>Modular / portable power</t>
        </is>
      </c>
      <c r="D4841" s="12" t="inlineStr">
        <is>
          <t>Home run JB-RICE-1-TC01 to the control / marshalling room</t>
        </is>
      </c>
      <c r="E4841" s="12" t="inlineStr"/>
      <c r="F4841" s="12" t="inlineStr">
        <is>
          <t>PCM: power control module</t>
        </is>
      </c>
      <c r="G4841" s="12" t="inlineStr">
        <is>
          <t>JB-RICE-1-TC01</t>
        </is>
      </c>
      <c r="H4841" s="12" t="inlineStr">
        <is>
          <t>RICE engine-generator 1</t>
        </is>
      </c>
      <c r="I4841" s="12" t="inlineStr">
        <is>
          <t>Instrumentation</t>
        </is>
      </c>
      <c r="J4841" s="12" t="inlineStr">
        <is>
          <t>Thermocouple extension KX, #16 shielded pairs, PLTC</t>
        </is>
      </c>
      <c r="K4841" s="12" t="inlineStr">
        <is>
          <t>TCX|24 pr|16</t>
        </is>
      </c>
      <c r="L4841" s="12" t="inlineStr">
        <is>
          <t>24 pr</t>
        </is>
      </c>
      <c r="M4841" s="12" t="inlineStr">
        <is>
          <t>16</t>
        </is>
      </c>
      <c r="N4841" s="12" t="n">
        <v>1</v>
      </c>
      <c r="O4841" s="12" t="n">
        <v>1</v>
      </c>
      <c r="P4841" s="12" t="n"/>
      <c r="Q4841" s="12" t="n"/>
      <c r="R4841" s="12" t="n"/>
      <c r="S4841" s="12" t="inlineStr">
        <is>
          <t>Duct bank</t>
        </is>
      </c>
      <c r="T4841" s="15" t="n">
        <v>516</v>
      </c>
      <c r="U4841" s="15" t="n">
        <v>137</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I-I-0239</t>
        </is>
      </c>
      <c r="B4842" s="12" t="inlineStr">
        <is>
          <t>I</t>
        </is>
      </c>
      <c r="C4842" s="12" t="inlineStr">
        <is>
          <t>Modular / portable power</t>
        </is>
      </c>
      <c r="D4842" s="12" t="inlineStr">
        <is>
          <t>Thermocouple to TC JB JB-RICE-1-TC02: 10 x 1 pr (field cables)</t>
        </is>
      </c>
      <c r="E4842" s="12" t="inlineStr">
        <is>
          <t>RICE-1</t>
        </is>
      </c>
      <c r="F4842" s="12" t="inlineStr">
        <is>
          <t>RICE engine-generator 1</t>
        </is>
      </c>
      <c r="G4842" s="12" t="inlineStr">
        <is>
          <t>JB-RICE-1-TC02</t>
        </is>
      </c>
      <c r="H4842" s="12" t="inlineStr">
        <is>
          <t>RICE engine-generator 1</t>
        </is>
      </c>
      <c r="I4842" s="12" t="inlineStr">
        <is>
          <t>Instrumentation</t>
        </is>
      </c>
      <c r="J4842" s="12" t="inlineStr">
        <is>
          <t>Thermocouple extension KX, #16 shielded pairs, PLTC</t>
        </is>
      </c>
      <c r="K4842" s="12" t="inlineStr">
        <is>
          <t>TCX|1 pr|16</t>
        </is>
      </c>
      <c r="L4842" s="12" t="inlineStr">
        <is>
          <t>1 pr</t>
        </is>
      </c>
      <c r="M4842" s="12" t="inlineStr">
        <is>
          <t>16</t>
        </is>
      </c>
      <c r="N4842" s="12" t="n">
        <v>10</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I-I-0240</t>
        </is>
      </c>
      <c r="B4843" s="12" t="inlineStr">
        <is>
          <t>I</t>
        </is>
      </c>
      <c r="C4843" s="12" t="inlineStr">
        <is>
          <t>Modular / portable power</t>
        </is>
      </c>
      <c r="D4843" s="12" t="inlineStr">
        <is>
          <t>Home run JB-RICE-1-TC02 to the control / marshalling room</t>
        </is>
      </c>
      <c r="E4843" s="12" t="inlineStr"/>
      <c r="F4843" s="12" t="inlineStr">
        <is>
          <t>PCM: power control module</t>
        </is>
      </c>
      <c r="G4843" s="12" t="inlineStr">
        <is>
          <t>JB-RICE-1-TC02</t>
        </is>
      </c>
      <c r="H4843" s="12" t="inlineStr">
        <is>
          <t>RICE engine-generator 1</t>
        </is>
      </c>
      <c r="I4843" s="12" t="inlineStr">
        <is>
          <t>Instrumentation</t>
        </is>
      </c>
      <c r="J4843" s="12" t="inlineStr">
        <is>
          <t>Thermocouple extension KX, #16 shielded pairs, PLTC</t>
        </is>
      </c>
      <c r="K4843" s="12" t="inlineStr">
        <is>
          <t>TCX|24 pr|16</t>
        </is>
      </c>
      <c r="L4843" s="12" t="inlineStr">
        <is>
          <t>24 pr</t>
        </is>
      </c>
      <c r="M4843" s="12" t="inlineStr">
        <is>
          <t>16</t>
        </is>
      </c>
      <c r="N4843" s="12" t="n">
        <v>1</v>
      </c>
      <c r="O4843" s="12" t="n">
        <v>1</v>
      </c>
      <c r="P4843" s="12" t="n"/>
      <c r="Q4843" s="12" t="n"/>
      <c r="R4843" s="12" t="n"/>
      <c r="S4843" s="12" t="inlineStr">
        <is>
          <t>Duct bank</t>
        </is>
      </c>
      <c r="T4843" s="15" t="n">
        <v>516</v>
      </c>
      <c r="U4843" s="15" t="n">
        <v>137</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I-I-0241</t>
        </is>
      </c>
      <c r="B4844" s="12" t="inlineStr">
        <is>
          <t>I</t>
        </is>
      </c>
      <c r="C4844" s="12" t="inlineStr">
        <is>
          <t>Modular / portable power</t>
        </is>
      </c>
      <c r="D4844" s="12" t="inlineStr">
        <is>
          <t>RTD to JB JB-RICE-1-RTD01: 10 x 1 tri (field cables)</t>
        </is>
      </c>
      <c r="E4844" s="12" t="inlineStr">
        <is>
          <t>RICE-1</t>
        </is>
      </c>
      <c r="F4844" s="12" t="inlineStr">
        <is>
          <t>RICE engine-generator 1</t>
        </is>
      </c>
      <c r="G4844" s="12" t="inlineStr">
        <is>
          <t>JB-RICE-1-RTD01</t>
        </is>
      </c>
      <c r="H4844" s="12" t="inlineStr">
        <is>
          <t>RICE engine-generator 1</t>
        </is>
      </c>
      <c r="I4844" s="12" t="inlineStr">
        <is>
          <t>Instrumentation</t>
        </is>
      </c>
      <c r="J4844" s="12" t="inlineStr">
        <is>
          <t>RTD cable, #18 shielded triads, PLTC</t>
        </is>
      </c>
      <c r="K4844" s="12" t="inlineStr">
        <is>
          <t>RTD|1 tri|18</t>
        </is>
      </c>
      <c r="L4844" s="12" t="inlineStr">
        <is>
          <t>1 tri</t>
        </is>
      </c>
      <c r="M4844" s="12" t="inlineStr">
        <is>
          <t>18</t>
        </is>
      </c>
      <c r="N4844" s="12" t="n">
        <v>10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I-I-0242</t>
        </is>
      </c>
      <c r="B4845" s="12" t="inlineStr">
        <is>
          <t>I</t>
        </is>
      </c>
      <c r="C4845" s="12" t="inlineStr">
        <is>
          <t>Modular / portable power</t>
        </is>
      </c>
      <c r="D4845" s="12" t="inlineStr">
        <is>
          <t>Home run JB-RICE-1-RTD01 to the control / marshalling room</t>
        </is>
      </c>
      <c r="E4845" s="12" t="inlineStr"/>
      <c r="F4845" s="12" t="inlineStr">
        <is>
          <t>PCM: power control module</t>
        </is>
      </c>
      <c r="G4845" s="12" t="inlineStr">
        <is>
          <t>JB-RICE-1-RTD01</t>
        </is>
      </c>
      <c r="H4845" s="12" t="inlineStr">
        <is>
          <t>RICE engine-generator 1</t>
        </is>
      </c>
      <c r="I4845" s="12" t="inlineStr">
        <is>
          <t>Instrumentation</t>
        </is>
      </c>
      <c r="J4845" s="12" t="inlineStr">
        <is>
          <t>RTD cable, #18 shielded triads, PLTC</t>
        </is>
      </c>
      <c r="K4845" s="12" t="inlineStr">
        <is>
          <t>RTD|12 tri|18</t>
        </is>
      </c>
      <c r="L4845" s="12" t="inlineStr">
        <is>
          <t>12 tri</t>
        </is>
      </c>
      <c r="M4845" s="12" t="inlineStr">
        <is>
          <t>18</t>
        </is>
      </c>
      <c r="N4845" s="12" t="n">
        <v>1</v>
      </c>
      <c r="O4845" s="12" t="n">
        <v>1</v>
      </c>
      <c r="P4845" s="12" t="n"/>
      <c r="Q4845" s="12" t="n"/>
      <c r="R4845" s="12" t="n"/>
      <c r="S4845" s="12" t="inlineStr">
        <is>
          <t>Duct bank</t>
        </is>
      </c>
      <c r="T4845" s="15" t="n">
        <v>516</v>
      </c>
      <c r="U4845" s="15" t="n">
        <v>137</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I-I-0243</t>
        </is>
      </c>
      <c r="B4846" s="12" t="inlineStr">
        <is>
          <t>I</t>
        </is>
      </c>
      <c r="C4846" s="12" t="inlineStr">
        <is>
          <t>Modular / portable power</t>
        </is>
      </c>
      <c r="D4846" s="12" t="inlineStr">
        <is>
          <t>RTD to JB JB-RICE-1-RTD02: 2 x 1 tri (field cables)</t>
        </is>
      </c>
      <c r="E4846" s="12" t="inlineStr">
        <is>
          <t>RICE-1</t>
        </is>
      </c>
      <c r="F4846" s="12" t="inlineStr">
        <is>
          <t>RICE engine-generator 1</t>
        </is>
      </c>
      <c r="G4846" s="12" t="inlineStr">
        <is>
          <t>JB-RICE-1-RTD02</t>
        </is>
      </c>
      <c r="H4846" s="12" t="inlineStr">
        <is>
          <t>RICE engine-generator 1</t>
        </is>
      </c>
      <c r="I4846" s="12" t="inlineStr">
        <is>
          <t>Instrumentation</t>
        </is>
      </c>
      <c r="J4846" s="12" t="inlineStr">
        <is>
          <t>RTD cable, #18 shielded triads, PLTC</t>
        </is>
      </c>
      <c r="K4846" s="12" t="inlineStr">
        <is>
          <t>RTD|1 tri|18</t>
        </is>
      </c>
      <c r="L4846" s="12" t="inlineStr">
        <is>
          <t>1 tri</t>
        </is>
      </c>
      <c r="M4846" s="12" t="inlineStr">
        <is>
          <t>18</t>
        </is>
      </c>
      <c r="N4846" s="12" t="n">
        <v>2</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I-I-0244</t>
        </is>
      </c>
      <c r="B4847" s="12" t="inlineStr">
        <is>
          <t>I</t>
        </is>
      </c>
      <c r="C4847" s="12" t="inlineStr">
        <is>
          <t>Modular / portable power</t>
        </is>
      </c>
      <c r="D4847" s="12" t="inlineStr">
        <is>
          <t>Home run JB-RICE-1-RTD02 to the control / marshalling room</t>
        </is>
      </c>
      <c r="E4847" s="12" t="inlineStr"/>
      <c r="F4847" s="12" t="inlineStr">
        <is>
          <t>PCM: power control module</t>
        </is>
      </c>
      <c r="G4847" s="12" t="inlineStr">
        <is>
          <t>JB-RICE-1-RTD02</t>
        </is>
      </c>
      <c r="H4847" s="12" t="inlineStr">
        <is>
          <t>RICE engine-generator 1</t>
        </is>
      </c>
      <c r="I4847" s="12" t="inlineStr">
        <is>
          <t>Instrumentation</t>
        </is>
      </c>
      <c r="J4847" s="12" t="inlineStr">
        <is>
          <t>RTD cable, #18 shielded triads, PLTC</t>
        </is>
      </c>
      <c r="K4847" s="12" t="inlineStr">
        <is>
          <t>RTD|12 tri|18</t>
        </is>
      </c>
      <c r="L4847" s="12" t="inlineStr">
        <is>
          <t>12 tri</t>
        </is>
      </c>
      <c r="M4847" s="12" t="inlineStr">
        <is>
          <t>18</t>
        </is>
      </c>
      <c r="N4847" s="12" t="n">
        <v>1</v>
      </c>
      <c r="O4847" s="12" t="n">
        <v>1</v>
      </c>
      <c r="P4847" s="12" t="n"/>
      <c r="Q4847" s="12" t="n"/>
      <c r="R4847" s="12" t="n"/>
      <c r="S4847" s="12" t="inlineStr">
        <is>
          <t>Duct bank</t>
        </is>
      </c>
      <c r="T4847" s="15" t="n">
        <v>516</v>
      </c>
      <c r="U4847" s="15" t="n">
        <v>137</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I-I-0245</t>
        </is>
      </c>
      <c r="B4848" s="12" t="inlineStr">
        <is>
          <t>I</t>
        </is>
      </c>
      <c r="C4848" s="12" t="inlineStr">
        <is>
          <t>Modular / portable power</t>
        </is>
      </c>
      <c r="D4848" s="12" t="inlineStr">
        <is>
          <t>Analog instrument to JB JB-RICE-2-AI01: 20 x 1 pr (field cables)</t>
        </is>
      </c>
      <c r="E4848" s="12" t="inlineStr">
        <is>
          <t>RICE-2</t>
        </is>
      </c>
      <c r="F4848" s="12" t="inlineStr">
        <is>
          <t>RICE engine-generator 2</t>
        </is>
      </c>
      <c r="G4848" s="12" t="inlineStr">
        <is>
          <t>JB-RICE-2-AI01</t>
        </is>
      </c>
      <c r="H4848" s="12" t="inlineStr">
        <is>
          <t>RICE engine-generator 2</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I-I-0246</t>
        </is>
      </c>
      <c r="B4849" s="12" t="inlineStr">
        <is>
          <t>I</t>
        </is>
      </c>
      <c r="C4849" s="12" t="inlineStr">
        <is>
          <t>Modular / portable power</t>
        </is>
      </c>
      <c r="D4849" s="12" t="inlineStr">
        <is>
          <t>Home run JB-RICE-2-AI01 to the control / marshalling room</t>
        </is>
      </c>
      <c r="E4849" s="12" t="inlineStr"/>
      <c r="F4849" s="12" t="inlineStr">
        <is>
          <t>PCM: power control module</t>
        </is>
      </c>
      <c r="G4849" s="12" t="inlineStr">
        <is>
          <t>JB-RICE-2-AI01</t>
        </is>
      </c>
      <c r="H4849" s="12" t="inlineStr">
        <is>
          <t>RICE engine-generator 2</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5" t="n">
        <v>516</v>
      </c>
      <c r="U4849" s="15" t="n">
        <v>109</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I-I-0247</t>
        </is>
      </c>
      <c r="B4850" s="12" t="inlineStr">
        <is>
          <t>I</t>
        </is>
      </c>
      <c r="C4850" s="12" t="inlineStr">
        <is>
          <t>Modular / portable power</t>
        </is>
      </c>
      <c r="D4850" s="12" t="inlineStr">
        <is>
          <t>Analog instrument to JB JB-RICE-2-AI02: 20 x 1 pr (field cables)</t>
        </is>
      </c>
      <c r="E4850" s="12" t="inlineStr">
        <is>
          <t>RICE-2</t>
        </is>
      </c>
      <c r="F4850" s="12" t="inlineStr">
        <is>
          <t>RICE engine-generator 2</t>
        </is>
      </c>
      <c r="G4850" s="12" t="inlineStr">
        <is>
          <t>JB-RICE-2-AI02</t>
        </is>
      </c>
      <c r="H4850" s="12" t="inlineStr">
        <is>
          <t>RICE engine-generator 2</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I-I-0248</t>
        </is>
      </c>
      <c r="B4851" s="12" t="inlineStr">
        <is>
          <t>I</t>
        </is>
      </c>
      <c r="C4851" s="12" t="inlineStr">
        <is>
          <t>Modular / portable power</t>
        </is>
      </c>
      <c r="D4851" s="12" t="inlineStr">
        <is>
          <t>Home run JB-RICE-2-AI02 to the control / marshalling room</t>
        </is>
      </c>
      <c r="E4851" s="12" t="inlineStr"/>
      <c r="F4851" s="12" t="inlineStr">
        <is>
          <t>PCM: power control module</t>
        </is>
      </c>
      <c r="G4851" s="12" t="inlineStr">
        <is>
          <t>JB-RICE-2-AI02</t>
        </is>
      </c>
      <c r="H4851" s="12" t="inlineStr">
        <is>
          <t>RICE engine-generator 2</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5" t="n">
        <v>516</v>
      </c>
      <c r="U4851" s="15" t="n">
        <v>109</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I-I-0249</t>
        </is>
      </c>
      <c r="B4852" s="12" t="inlineStr">
        <is>
          <t>I</t>
        </is>
      </c>
      <c r="C4852" s="12" t="inlineStr">
        <is>
          <t>Modular / portable power</t>
        </is>
      </c>
      <c r="D4852" s="12" t="inlineStr">
        <is>
          <t>Analog instrument to JB JB-RICE-2-AI03: 20 x 1 pr (field cables)</t>
        </is>
      </c>
      <c r="E4852" s="12" t="inlineStr">
        <is>
          <t>RICE-2</t>
        </is>
      </c>
      <c r="F4852" s="12" t="inlineStr">
        <is>
          <t>RICE engine-generator 2</t>
        </is>
      </c>
      <c r="G4852" s="12" t="inlineStr">
        <is>
          <t>JB-RICE-2-AI03</t>
        </is>
      </c>
      <c r="H4852" s="12" t="inlineStr">
        <is>
          <t>RICE engine-generator 2</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I-I-0250</t>
        </is>
      </c>
      <c r="B4853" s="12" t="inlineStr">
        <is>
          <t>I</t>
        </is>
      </c>
      <c r="C4853" s="12" t="inlineStr">
        <is>
          <t>Modular / portable power</t>
        </is>
      </c>
      <c r="D4853" s="12" t="inlineStr">
        <is>
          <t>Home run JB-RICE-2-AI03 to the control / marshalling room</t>
        </is>
      </c>
      <c r="E4853" s="12" t="inlineStr"/>
      <c r="F4853" s="12" t="inlineStr">
        <is>
          <t>PCM: power control module</t>
        </is>
      </c>
      <c r="G4853" s="12" t="inlineStr">
        <is>
          <t>JB-RICE-2-AI03</t>
        </is>
      </c>
      <c r="H4853" s="12" t="inlineStr">
        <is>
          <t>RICE engine-generator 2</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Duct bank</t>
        </is>
      </c>
      <c r="T4853" s="15" t="n">
        <v>516</v>
      </c>
      <c r="U4853" s="15" t="n">
        <v>109</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I-I-0251</t>
        </is>
      </c>
      <c r="B4854" s="12" t="inlineStr">
        <is>
          <t>I</t>
        </is>
      </c>
      <c r="C4854" s="12" t="inlineStr">
        <is>
          <t>Modular / portable power</t>
        </is>
      </c>
      <c r="D4854" s="12" t="inlineStr">
        <is>
          <t>Analog instrument to JB JB-RICE-2-AI04: 20 x 1 pr (field cables)</t>
        </is>
      </c>
      <c r="E4854" s="12" t="inlineStr">
        <is>
          <t>RICE-2</t>
        </is>
      </c>
      <c r="F4854" s="12" t="inlineStr">
        <is>
          <t>RICE engine-generator 2</t>
        </is>
      </c>
      <c r="G4854" s="12" t="inlineStr">
        <is>
          <t>JB-RICE-2-AI04</t>
        </is>
      </c>
      <c r="H4854" s="12" t="inlineStr">
        <is>
          <t>RICE engine-generator 2</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I-I-0252</t>
        </is>
      </c>
      <c r="B4855" s="12" t="inlineStr">
        <is>
          <t>I</t>
        </is>
      </c>
      <c r="C4855" s="12" t="inlineStr">
        <is>
          <t>Modular / portable power</t>
        </is>
      </c>
      <c r="D4855" s="12" t="inlineStr">
        <is>
          <t>Home run JB-RICE-2-AI04 to the control / marshalling room</t>
        </is>
      </c>
      <c r="E4855" s="12" t="inlineStr"/>
      <c r="F4855" s="12" t="inlineStr">
        <is>
          <t>PCM: power control module</t>
        </is>
      </c>
      <c r="G4855" s="12" t="inlineStr">
        <is>
          <t>JB-RICE-2-AI04</t>
        </is>
      </c>
      <c r="H4855" s="12" t="inlineStr">
        <is>
          <t>RICE engine-generator 2</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5" t="n">
        <v>516</v>
      </c>
      <c r="U4855" s="15" t="n">
        <v>109</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I-I-0253</t>
        </is>
      </c>
      <c r="B4856" s="12" t="inlineStr">
        <is>
          <t>I</t>
        </is>
      </c>
      <c r="C4856" s="12" t="inlineStr">
        <is>
          <t>Modular / portable power</t>
        </is>
      </c>
      <c r="D4856" s="12" t="inlineStr">
        <is>
          <t>Discrete device to JB JB-RICE-2-DI01: 20 x 1 pr (field cables)</t>
        </is>
      </c>
      <c r="E4856" s="12" t="inlineStr">
        <is>
          <t>RICE-2</t>
        </is>
      </c>
      <c r="F4856" s="12" t="inlineStr">
        <is>
          <t>RICE engine-generator 2</t>
        </is>
      </c>
      <c r="G4856" s="12" t="inlineStr">
        <is>
          <t>JB-RICE-2-DI01</t>
        </is>
      </c>
      <c r="H4856" s="12" t="inlineStr">
        <is>
          <t>RICE engine-generator 2</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I-I-0254</t>
        </is>
      </c>
      <c r="B4857" s="12" t="inlineStr">
        <is>
          <t>I</t>
        </is>
      </c>
      <c r="C4857" s="12" t="inlineStr">
        <is>
          <t>Modular / portable power</t>
        </is>
      </c>
      <c r="D4857" s="12" t="inlineStr">
        <is>
          <t>Home run JB-RICE-2-DI01 to the control / marshalling room</t>
        </is>
      </c>
      <c r="E4857" s="12" t="inlineStr"/>
      <c r="F4857" s="12" t="inlineStr">
        <is>
          <t>PCM: power control module</t>
        </is>
      </c>
      <c r="G4857" s="12" t="inlineStr">
        <is>
          <t>JB-RICE-2-DI01</t>
        </is>
      </c>
      <c r="H4857" s="12" t="inlineStr">
        <is>
          <t>RICE engine-generator 2</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5" t="n">
        <v>516</v>
      </c>
      <c r="U4857" s="15" t="n">
        <v>109</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I-I-0255</t>
        </is>
      </c>
      <c r="B4858" s="12" t="inlineStr">
        <is>
          <t>I</t>
        </is>
      </c>
      <c r="C4858" s="12" t="inlineStr">
        <is>
          <t>Modular / portable power</t>
        </is>
      </c>
      <c r="D4858" s="12" t="inlineStr">
        <is>
          <t>Discrete device to JB JB-RICE-2-DI02: 20 x 1 pr (field cables)</t>
        </is>
      </c>
      <c r="E4858" s="12" t="inlineStr">
        <is>
          <t>RICE-2</t>
        </is>
      </c>
      <c r="F4858" s="12" t="inlineStr">
        <is>
          <t>RICE engine-generator 2</t>
        </is>
      </c>
      <c r="G4858" s="12" t="inlineStr">
        <is>
          <t>JB-RICE-2-DI02</t>
        </is>
      </c>
      <c r="H4858" s="12" t="inlineStr">
        <is>
          <t>RICE engine-generator 2</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I-I-0256</t>
        </is>
      </c>
      <c r="B4859" s="12" t="inlineStr">
        <is>
          <t>I</t>
        </is>
      </c>
      <c r="C4859" s="12" t="inlineStr">
        <is>
          <t>Modular / portable power</t>
        </is>
      </c>
      <c r="D4859" s="12" t="inlineStr">
        <is>
          <t>Home run JB-RICE-2-DI02 to the control / marshalling room</t>
        </is>
      </c>
      <c r="E4859" s="12" t="inlineStr"/>
      <c r="F4859" s="12" t="inlineStr">
        <is>
          <t>PCM: power control module</t>
        </is>
      </c>
      <c r="G4859" s="12" t="inlineStr">
        <is>
          <t>JB-RICE-2-DI02</t>
        </is>
      </c>
      <c r="H4859" s="12" t="inlineStr">
        <is>
          <t>RICE engine-generator 2</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Duct bank</t>
        </is>
      </c>
      <c r="T4859" s="15" t="n">
        <v>516</v>
      </c>
      <c r="U4859" s="15" t="n">
        <v>109</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I-I-0257</t>
        </is>
      </c>
      <c r="B4860" s="12" t="inlineStr">
        <is>
          <t>I</t>
        </is>
      </c>
      <c r="C4860" s="12" t="inlineStr">
        <is>
          <t>Modular / portable power</t>
        </is>
      </c>
      <c r="D4860" s="12" t="inlineStr">
        <is>
          <t>Discrete device to JB JB-RICE-2-DI03: 20 x 1 pr (field cables)</t>
        </is>
      </c>
      <c r="E4860" s="12" t="inlineStr">
        <is>
          <t>RICE-2</t>
        </is>
      </c>
      <c r="F4860" s="12" t="inlineStr">
        <is>
          <t>RICE engine-generator 2</t>
        </is>
      </c>
      <c r="G4860" s="12" t="inlineStr">
        <is>
          <t>JB-RICE-2-DI03</t>
        </is>
      </c>
      <c r="H4860" s="12" t="inlineStr">
        <is>
          <t>RICE engine-generator 2</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I-I-0258</t>
        </is>
      </c>
      <c r="B4861" s="12" t="inlineStr">
        <is>
          <t>I</t>
        </is>
      </c>
      <c r="C4861" s="12" t="inlineStr">
        <is>
          <t>Modular / portable power</t>
        </is>
      </c>
      <c r="D4861" s="12" t="inlineStr">
        <is>
          <t>Home run JB-RICE-2-DI03 to the control / marshalling room</t>
        </is>
      </c>
      <c r="E4861" s="12" t="inlineStr"/>
      <c r="F4861" s="12" t="inlineStr">
        <is>
          <t>PCM: power control module</t>
        </is>
      </c>
      <c r="G4861" s="12" t="inlineStr">
        <is>
          <t>JB-RICE-2-DI03</t>
        </is>
      </c>
      <c r="H4861" s="12" t="inlineStr">
        <is>
          <t>RICE engine-generator 2</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5" t="n">
        <v>516</v>
      </c>
      <c r="U4861" s="15" t="n">
        <v>109</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I-I-0259</t>
        </is>
      </c>
      <c r="B4862" s="12" t="inlineStr">
        <is>
          <t>I</t>
        </is>
      </c>
      <c r="C4862" s="12" t="inlineStr">
        <is>
          <t>Modular / portable power</t>
        </is>
      </c>
      <c r="D4862" s="12" t="inlineStr">
        <is>
          <t>Thermocouple to TC JB JB-RICE-2-TC01: 20 x 1 pr (field cables)</t>
        </is>
      </c>
      <c r="E4862" s="12" t="inlineStr">
        <is>
          <t>RICE-2</t>
        </is>
      </c>
      <c r="F4862" s="12" t="inlineStr">
        <is>
          <t>RICE engine-generator 2</t>
        </is>
      </c>
      <c r="G4862" s="12" t="inlineStr">
        <is>
          <t>JB-RICE-2-TC01</t>
        </is>
      </c>
      <c r="H4862" s="12" t="inlineStr">
        <is>
          <t>RICE engine-generator 2</t>
        </is>
      </c>
      <c r="I4862" s="12" t="inlineStr">
        <is>
          <t>Instrumentation</t>
        </is>
      </c>
      <c r="J4862" s="12" t="inlineStr">
        <is>
          <t>Thermocouple extension KX, #16 shielded pairs, PLTC</t>
        </is>
      </c>
      <c r="K4862" s="12" t="inlineStr">
        <is>
          <t>TCX|1 pr|16</t>
        </is>
      </c>
      <c r="L4862" s="12" t="inlineStr">
        <is>
          <t>1 pr</t>
        </is>
      </c>
      <c r="M4862" s="12" t="inlineStr">
        <is>
          <t>16</t>
        </is>
      </c>
      <c r="N4862" s="12" t="n">
        <v>20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I-I-0260</t>
        </is>
      </c>
      <c r="B4863" s="12" t="inlineStr">
        <is>
          <t>I</t>
        </is>
      </c>
      <c r="C4863" s="12" t="inlineStr">
        <is>
          <t>Modular / portable power</t>
        </is>
      </c>
      <c r="D4863" s="12" t="inlineStr">
        <is>
          <t>Home run JB-RICE-2-TC01 to the control / marshalling room</t>
        </is>
      </c>
      <c r="E4863" s="12" t="inlineStr"/>
      <c r="F4863" s="12" t="inlineStr">
        <is>
          <t>PCM: power control module</t>
        </is>
      </c>
      <c r="G4863" s="12" t="inlineStr">
        <is>
          <t>JB-RICE-2-TC01</t>
        </is>
      </c>
      <c r="H4863" s="12" t="inlineStr">
        <is>
          <t>RICE engine-generator 2</t>
        </is>
      </c>
      <c r="I4863" s="12" t="inlineStr">
        <is>
          <t>Instrumentation</t>
        </is>
      </c>
      <c r="J4863" s="12" t="inlineStr">
        <is>
          <t>Thermocouple extension KX, #16 shielded pairs, PLTC</t>
        </is>
      </c>
      <c r="K4863" s="12" t="inlineStr">
        <is>
          <t>TCX|24 pr|16</t>
        </is>
      </c>
      <c r="L4863" s="12" t="inlineStr">
        <is>
          <t>24 pr</t>
        </is>
      </c>
      <c r="M4863" s="12" t="inlineStr">
        <is>
          <t>16</t>
        </is>
      </c>
      <c r="N4863" s="12" t="n">
        <v>1</v>
      </c>
      <c r="O4863" s="12" t="n">
        <v>1</v>
      </c>
      <c r="P4863" s="12" t="n"/>
      <c r="Q4863" s="12" t="n"/>
      <c r="R4863" s="12" t="n"/>
      <c r="S4863" s="12" t="inlineStr">
        <is>
          <t>Duct bank</t>
        </is>
      </c>
      <c r="T4863" s="15" t="n">
        <v>516</v>
      </c>
      <c r="U4863" s="15" t="n">
        <v>109</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I-I-0261</t>
        </is>
      </c>
      <c r="B4864" s="12" t="inlineStr">
        <is>
          <t>I</t>
        </is>
      </c>
      <c r="C4864" s="12" t="inlineStr">
        <is>
          <t>Modular / portable power</t>
        </is>
      </c>
      <c r="D4864" s="12" t="inlineStr">
        <is>
          <t>Thermocouple to TC JB JB-RICE-2-TC02: 10 x 1 pr (field cables)</t>
        </is>
      </c>
      <c r="E4864" s="12" t="inlineStr">
        <is>
          <t>RICE-2</t>
        </is>
      </c>
      <c r="F4864" s="12" t="inlineStr">
        <is>
          <t>RICE engine-generator 2</t>
        </is>
      </c>
      <c r="G4864" s="12" t="inlineStr">
        <is>
          <t>JB-RICE-2-TC02</t>
        </is>
      </c>
      <c r="H4864" s="12" t="inlineStr">
        <is>
          <t>RICE engine-generator 2</t>
        </is>
      </c>
      <c r="I4864" s="12" t="inlineStr">
        <is>
          <t>Instrumentation</t>
        </is>
      </c>
      <c r="J4864" s="12" t="inlineStr">
        <is>
          <t>Thermocouple extension KX, #16 shielded pairs, PLTC</t>
        </is>
      </c>
      <c r="K4864" s="12" t="inlineStr">
        <is>
          <t>TCX|1 pr|16</t>
        </is>
      </c>
      <c r="L4864" s="12" t="inlineStr">
        <is>
          <t>1 pr</t>
        </is>
      </c>
      <c r="M4864" s="12" t="inlineStr">
        <is>
          <t>16</t>
        </is>
      </c>
      <c r="N4864" s="12" t="n">
        <v>10</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I-I-0262</t>
        </is>
      </c>
      <c r="B4865" s="12" t="inlineStr">
        <is>
          <t>I</t>
        </is>
      </c>
      <c r="C4865" s="12" t="inlineStr">
        <is>
          <t>Modular / portable power</t>
        </is>
      </c>
      <c r="D4865" s="12" t="inlineStr">
        <is>
          <t>Home run JB-RICE-2-TC02 to the control / marshalling room</t>
        </is>
      </c>
      <c r="E4865" s="12" t="inlineStr"/>
      <c r="F4865" s="12" t="inlineStr">
        <is>
          <t>PCM: power control module</t>
        </is>
      </c>
      <c r="G4865" s="12" t="inlineStr">
        <is>
          <t>JB-RICE-2-TC02</t>
        </is>
      </c>
      <c r="H4865" s="12" t="inlineStr">
        <is>
          <t>RICE engine-generator 2</t>
        </is>
      </c>
      <c r="I4865" s="12" t="inlineStr">
        <is>
          <t>Instrumentation</t>
        </is>
      </c>
      <c r="J4865" s="12" t="inlineStr">
        <is>
          <t>Thermocouple extension KX, #16 shielded pairs, PLTC</t>
        </is>
      </c>
      <c r="K4865" s="12" t="inlineStr">
        <is>
          <t>TCX|24 pr|16</t>
        </is>
      </c>
      <c r="L4865" s="12" t="inlineStr">
        <is>
          <t>24 pr</t>
        </is>
      </c>
      <c r="M4865" s="12" t="inlineStr">
        <is>
          <t>16</t>
        </is>
      </c>
      <c r="N4865" s="12" t="n">
        <v>1</v>
      </c>
      <c r="O4865" s="12" t="n">
        <v>1</v>
      </c>
      <c r="P4865" s="12" t="n"/>
      <c r="Q4865" s="12" t="n"/>
      <c r="R4865" s="12" t="n"/>
      <c r="S4865" s="12" t="inlineStr">
        <is>
          <t>Duct bank</t>
        </is>
      </c>
      <c r="T4865" s="15" t="n">
        <v>516</v>
      </c>
      <c r="U4865" s="15" t="n">
        <v>109</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I-I-0263</t>
        </is>
      </c>
      <c r="B4866" s="12" t="inlineStr">
        <is>
          <t>I</t>
        </is>
      </c>
      <c r="C4866" s="12" t="inlineStr">
        <is>
          <t>Modular / portable power</t>
        </is>
      </c>
      <c r="D4866" s="12" t="inlineStr">
        <is>
          <t>RTD to JB JB-RICE-2-RTD01: 10 x 1 tri (field cables)</t>
        </is>
      </c>
      <c r="E4866" s="12" t="inlineStr">
        <is>
          <t>RICE-2</t>
        </is>
      </c>
      <c r="F4866" s="12" t="inlineStr">
        <is>
          <t>RICE engine-generator 2</t>
        </is>
      </c>
      <c r="G4866" s="12" t="inlineStr">
        <is>
          <t>JB-RICE-2-RTD01</t>
        </is>
      </c>
      <c r="H4866" s="12" t="inlineStr">
        <is>
          <t>RICE engine-generator 2</t>
        </is>
      </c>
      <c r="I4866" s="12" t="inlineStr">
        <is>
          <t>Instrumentation</t>
        </is>
      </c>
      <c r="J4866" s="12" t="inlineStr">
        <is>
          <t>RTD cable, #18 shielded triads, PLTC</t>
        </is>
      </c>
      <c r="K4866" s="12" t="inlineStr">
        <is>
          <t>RTD|1 tri|18</t>
        </is>
      </c>
      <c r="L4866" s="12" t="inlineStr">
        <is>
          <t>1 tri</t>
        </is>
      </c>
      <c r="M4866" s="12" t="inlineStr">
        <is>
          <t>18</t>
        </is>
      </c>
      <c r="N4866" s="12" t="n">
        <v>10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I-I-0264</t>
        </is>
      </c>
      <c r="B4867" s="12" t="inlineStr">
        <is>
          <t>I</t>
        </is>
      </c>
      <c r="C4867" s="12" t="inlineStr">
        <is>
          <t>Modular / portable power</t>
        </is>
      </c>
      <c r="D4867" s="12" t="inlineStr">
        <is>
          <t>Home run JB-RICE-2-RTD01 to the control / marshalling room</t>
        </is>
      </c>
      <c r="E4867" s="12" t="inlineStr"/>
      <c r="F4867" s="12" t="inlineStr">
        <is>
          <t>PCM: power control module</t>
        </is>
      </c>
      <c r="G4867" s="12" t="inlineStr">
        <is>
          <t>JB-RICE-2-RTD01</t>
        </is>
      </c>
      <c r="H4867" s="12" t="inlineStr">
        <is>
          <t>RICE engine-generator 2</t>
        </is>
      </c>
      <c r="I4867" s="12" t="inlineStr">
        <is>
          <t>Instrumentation</t>
        </is>
      </c>
      <c r="J4867" s="12" t="inlineStr">
        <is>
          <t>RTD cable, #18 shielded triads, PLTC</t>
        </is>
      </c>
      <c r="K4867" s="12" t="inlineStr">
        <is>
          <t>RTD|12 tri|18</t>
        </is>
      </c>
      <c r="L4867" s="12" t="inlineStr">
        <is>
          <t>12 tri</t>
        </is>
      </c>
      <c r="M4867" s="12" t="inlineStr">
        <is>
          <t>18</t>
        </is>
      </c>
      <c r="N4867" s="12" t="n">
        <v>1</v>
      </c>
      <c r="O4867" s="12" t="n">
        <v>1</v>
      </c>
      <c r="P4867" s="12" t="n"/>
      <c r="Q4867" s="12" t="n"/>
      <c r="R4867" s="12" t="n"/>
      <c r="S4867" s="12" t="inlineStr">
        <is>
          <t>Duct bank</t>
        </is>
      </c>
      <c r="T4867" s="15" t="n">
        <v>516</v>
      </c>
      <c r="U4867" s="15" t="n">
        <v>109</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I-I-0265</t>
        </is>
      </c>
      <c r="B4868" s="12" t="inlineStr">
        <is>
          <t>I</t>
        </is>
      </c>
      <c r="C4868" s="12" t="inlineStr">
        <is>
          <t>Modular / portable power</t>
        </is>
      </c>
      <c r="D4868" s="12" t="inlineStr">
        <is>
          <t>RTD to JB JB-RICE-2-RTD02: 2 x 1 tri (field cables)</t>
        </is>
      </c>
      <c r="E4868" s="12" t="inlineStr">
        <is>
          <t>RICE-2</t>
        </is>
      </c>
      <c r="F4868" s="12" t="inlineStr">
        <is>
          <t>RICE engine-generator 2</t>
        </is>
      </c>
      <c r="G4868" s="12" t="inlineStr">
        <is>
          <t>JB-RICE-2-RTD02</t>
        </is>
      </c>
      <c r="H4868" s="12" t="inlineStr">
        <is>
          <t>RICE engine-generator 2</t>
        </is>
      </c>
      <c r="I4868" s="12" t="inlineStr">
        <is>
          <t>Instrumentation</t>
        </is>
      </c>
      <c r="J4868" s="12" t="inlineStr">
        <is>
          <t>RTD cable, #18 shielded triads, PLTC</t>
        </is>
      </c>
      <c r="K4868" s="12" t="inlineStr">
        <is>
          <t>RTD|1 tri|18</t>
        </is>
      </c>
      <c r="L4868" s="12" t="inlineStr">
        <is>
          <t>1 tri</t>
        </is>
      </c>
      <c r="M4868" s="12" t="inlineStr">
        <is>
          <t>18</t>
        </is>
      </c>
      <c r="N4868" s="12" t="n">
        <v>2</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I-I-0266</t>
        </is>
      </c>
      <c r="B4869" s="12" t="inlineStr">
        <is>
          <t>I</t>
        </is>
      </c>
      <c r="C4869" s="12" t="inlineStr">
        <is>
          <t>Modular / portable power</t>
        </is>
      </c>
      <c r="D4869" s="12" t="inlineStr">
        <is>
          <t>Home run JB-RICE-2-RTD02 to the control / marshalling room</t>
        </is>
      </c>
      <c r="E4869" s="12" t="inlineStr"/>
      <c r="F4869" s="12" t="inlineStr">
        <is>
          <t>PCM: power control module</t>
        </is>
      </c>
      <c r="G4869" s="12" t="inlineStr">
        <is>
          <t>JB-RICE-2-RTD02</t>
        </is>
      </c>
      <c r="H4869" s="12" t="inlineStr">
        <is>
          <t>RICE engine-generator 2</t>
        </is>
      </c>
      <c r="I4869" s="12" t="inlineStr">
        <is>
          <t>Instrumentation</t>
        </is>
      </c>
      <c r="J4869" s="12" t="inlineStr">
        <is>
          <t>RTD cable, #18 shielded triads, PLTC</t>
        </is>
      </c>
      <c r="K4869" s="12" t="inlineStr">
        <is>
          <t>RTD|12 tri|18</t>
        </is>
      </c>
      <c r="L4869" s="12" t="inlineStr">
        <is>
          <t>12 tri</t>
        </is>
      </c>
      <c r="M4869" s="12" t="inlineStr">
        <is>
          <t>18</t>
        </is>
      </c>
      <c r="N4869" s="12" t="n">
        <v>1</v>
      </c>
      <c r="O4869" s="12" t="n">
        <v>1</v>
      </c>
      <c r="P4869" s="12" t="n"/>
      <c r="Q4869" s="12" t="n"/>
      <c r="R4869" s="12" t="n"/>
      <c r="S4869" s="12" t="inlineStr">
        <is>
          <t>Duct bank</t>
        </is>
      </c>
      <c r="T4869" s="15" t="n">
        <v>516</v>
      </c>
      <c r="U4869" s="15" t="n">
        <v>109</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I-I-0267</t>
        </is>
      </c>
      <c r="B4870" s="12" t="inlineStr">
        <is>
          <t>I</t>
        </is>
      </c>
      <c r="C4870" s="12" t="inlineStr">
        <is>
          <t>Modular / portable power</t>
        </is>
      </c>
      <c r="D4870" s="12" t="inlineStr">
        <is>
          <t>Analog instrument to JB JB-RICE-3-AI01: 20 x 1 pr (field cables)</t>
        </is>
      </c>
      <c r="E4870" s="12" t="inlineStr">
        <is>
          <t>RICE-3</t>
        </is>
      </c>
      <c r="F4870" s="12" t="inlineStr">
        <is>
          <t>RICE engine-generator 3</t>
        </is>
      </c>
      <c r="G4870" s="12" t="inlineStr">
        <is>
          <t>JB-RICE-3-AI01</t>
        </is>
      </c>
      <c r="H4870" s="12" t="inlineStr">
        <is>
          <t>RICE engine-generator 3</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I-I-0268</t>
        </is>
      </c>
      <c r="B4871" s="12" t="inlineStr">
        <is>
          <t>I</t>
        </is>
      </c>
      <c r="C4871" s="12" t="inlineStr">
        <is>
          <t>Modular / portable power</t>
        </is>
      </c>
      <c r="D4871" s="12" t="inlineStr">
        <is>
          <t>Home run JB-RICE-3-AI01 to the control / marshalling room</t>
        </is>
      </c>
      <c r="E4871" s="12" t="inlineStr"/>
      <c r="F4871" s="12" t="inlineStr">
        <is>
          <t>PCM: power control module</t>
        </is>
      </c>
      <c r="G4871" s="12" t="inlineStr">
        <is>
          <t>JB-RICE-3-AI01</t>
        </is>
      </c>
      <c r="H4871" s="12" t="inlineStr">
        <is>
          <t>RICE engine-generator 3</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Duct bank</t>
        </is>
      </c>
      <c r="T4871" s="15" t="n">
        <v>516</v>
      </c>
      <c r="U4871" s="15" t="n">
        <v>81</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I-I-0269</t>
        </is>
      </c>
      <c r="B4872" s="12" t="inlineStr">
        <is>
          <t>I</t>
        </is>
      </c>
      <c r="C4872" s="12" t="inlineStr">
        <is>
          <t>Modular / portable power</t>
        </is>
      </c>
      <c r="D4872" s="12" t="inlineStr">
        <is>
          <t>Analog instrument to JB JB-RICE-3-AI02: 20 x 1 pr (field cables)</t>
        </is>
      </c>
      <c r="E4872" s="12" t="inlineStr">
        <is>
          <t>RICE-3</t>
        </is>
      </c>
      <c r="F4872" s="12" t="inlineStr">
        <is>
          <t>RICE engine-generator 3</t>
        </is>
      </c>
      <c r="G4872" s="12" t="inlineStr">
        <is>
          <t>JB-RICE-3-AI02</t>
        </is>
      </c>
      <c r="H4872" s="12" t="inlineStr">
        <is>
          <t>RICE engine-generator 3</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I-I-0270</t>
        </is>
      </c>
      <c r="B4873" s="12" t="inlineStr">
        <is>
          <t>I</t>
        </is>
      </c>
      <c r="C4873" s="12" t="inlineStr">
        <is>
          <t>Modular / portable power</t>
        </is>
      </c>
      <c r="D4873" s="12" t="inlineStr">
        <is>
          <t>Home run JB-RICE-3-AI02 to the control / marshalling room</t>
        </is>
      </c>
      <c r="E4873" s="12" t="inlineStr"/>
      <c r="F4873" s="12" t="inlineStr">
        <is>
          <t>PCM: power control module</t>
        </is>
      </c>
      <c r="G4873" s="12" t="inlineStr">
        <is>
          <t>JB-RICE-3-AI02</t>
        </is>
      </c>
      <c r="H4873" s="12" t="inlineStr">
        <is>
          <t>RICE engine-generator 3</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Duct bank</t>
        </is>
      </c>
      <c r="T4873" s="15" t="n">
        <v>516</v>
      </c>
      <c r="U4873" s="15" t="n">
        <v>81</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I-I-0271</t>
        </is>
      </c>
      <c r="B4874" s="12" t="inlineStr">
        <is>
          <t>I</t>
        </is>
      </c>
      <c r="C4874" s="12" t="inlineStr">
        <is>
          <t>Modular / portable power</t>
        </is>
      </c>
      <c r="D4874" s="12" t="inlineStr">
        <is>
          <t>Analog instrument to JB JB-RICE-3-AI03: 20 x 1 pr (field cables)</t>
        </is>
      </c>
      <c r="E4874" s="12" t="inlineStr">
        <is>
          <t>RICE-3</t>
        </is>
      </c>
      <c r="F4874" s="12" t="inlineStr">
        <is>
          <t>RICE engine-generator 3</t>
        </is>
      </c>
      <c r="G4874" s="12" t="inlineStr">
        <is>
          <t>JB-RICE-3-AI03</t>
        </is>
      </c>
      <c r="H4874" s="12" t="inlineStr">
        <is>
          <t>RICE engine-generator 3</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I-I-0272</t>
        </is>
      </c>
      <c r="B4875" s="12" t="inlineStr">
        <is>
          <t>I</t>
        </is>
      </c>
      <c r="C4875" s="12" t="inlineStr">
        <is>
          <t>Modular / portable power</t>
        </is>
      </c>
      <c r="D4875" s="12" t="inlineStr">
        <is>
          <t>Home run JB-RICE-3-AI03 to the control / marshalling room</t>
        </is>
      </c>
      <c r="E4875" s="12" t="inlineStr"/>
      <c r="F4875" s="12" t="inlineStr">
        <is>
          <t>PCM: power control module</t>
        </is>
      </c>
      <c r="G4875" s="12" t="inlineStr">
        <is>
          <t>JB-RICE-3-AI03</t>
        </is>
      </c>
      <c r="H4875" s="12" t="inlineStr">
        <is>
          <t>RICE engine-generator 3</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Duct bank</t>
        </is>
      </c>
      <c r="T4875" s="15" t="n">
        <v>516</v>
      </c>
      <c r="U4875" s="15" t="n">
        <v>81</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I-I-0273</t>
        </is>
      </c>
      <c r="B4876" s="12" t="inlineStr">
        <is>
          <t>I</t>
        </is>
      </c>
      <c r="C4876" s="12" t="inlineStr">
        <is>
          <t>Modular / portable power</t>
        </is>
      </c>
      <c r="D4876" s="12" t="inlineStr">
        <is>
          <t>Analog instrument to JB JB-RICE-3-AI04: 20 x 1 pr (field cables)</t>
        </is>
      </c>
      <c r="E4876" s="12" t="inlineStr">
        <is>
          <t>RICE-3</t>
        </is>
      </c>
      <c r="F4876" s="12" t="inlineStr">
        <is>
          <t>RICE engine-generator 3</t>
        </is>
      </c>
      <c r="G4876" s="12" t="inlineStr">
        <is>
          <t>JB-RICE-3-AI04</t>
        </is>
      </c>
      <c r="H4876" s="12" t="inlineStr">
        <is>
          <t>RICE engine-generator 3</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I-I-0274</t>
        </is>
      </c>
      <c r="B4877" s="12" t="inlineStr">
        <is>
          <t>I</t>
        </is>
      </c>
      <c r="C4877" s="12" t="inlineStr">
        <is>
          <t>Modular / portable power</t>
        </is>
      </c>
      <c r="D4877" s="12" t="inlineStr">
        <is>
          <t>Home run JB-RICE-3-AI04 to the control / marshalling room</t>
        </is>
      </c>
      <c r="E4877" s="12" t="inlineStr"/>
      <c r="F4877" s="12" t="inlineStr">
        <is>
          <t>PCM: power control module</t>
        </is>
      </c>
      <c r="G4877" s="12" t="inlineStr">
        <is>
          <t>JB-RICE-3-AI04</t>
        </is>
      </c>
      <c r="H4877" s="12" t="inlineStr">
        <is>
          <t>RICE engine-generator 3</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Duct bank</t>
        </is>
      </c>
      <c r="T4877" s="15" t="n">
        <v>516</v>
      </c>
      <c r="U4877" s="15" t="n">
        <v>81</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I-I-0275</t>
        </is>
      </c>
      <c r="B4878" s="12" t="inlineStr">
        <is>
          <t>I</t>
        </is>
      </c>
      <c r="C4878" s="12" t="inlineStr">
        <is>
          <t>Modular / portable power</t>
        </is>
      </c>
      <c r="D4878" s="12" t="inlineStr">
        <is>
          <t>Discrete device to JB JB-RICE-3-DI01: 20 x 1 pr (field cables)</t>
        </is>
      </c>
      <c r="E4878" s="12" t="inlineStr">
        <is>
          <t>RICE-3</t>
        </is>
      </c>
      <c r="F4878" s="12" t="inlineStr">
        <is>
          <t>RICE engine-generator 3</t>
        </is>
      </c>
      <c r="G4878" s="12" t="inlineStr">
        <is>
          <t>JB-RICE-3-DI01</t>
        </is>
      </c>
      <c r="H4878" s="12" t="inlineStr">
        <is>
          <t>RICE engine-generator 3</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I-I-0276</t>
        </is>
      </c>
      <c r="B4879" s="12" t="inlineStr">
        <is>
          <t>I</t>
        </is>
      </c>
      <c r="C4879" s="12" t="inlineStr">
        <is>
          <t>Modular / portable power</t>
        </is>
      </c>
      <c r="D4879" s="12" t="inlineStr">
        <is>
          <t>Home run JB-RICE-3-DI01 to the control / marshalling room</t>
        </is>
      </c>
      <c r="E4879" s="12" t="inlineStr"/>
      <c r="F4879" s="12" t="inlineStr">
        <is>
          <t>PCM: power control module</t>
        </is>
      </c>
      <c r="G4879" s="12" t="inlineStr">
        <is>
          <t>JB-RICE-3-DI01</t>
        </is>
      </c>
      <c r="H4879" s="12" t="inlineStr">
        <is>
          <t>RICE engine-generator 3</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5" t="n">
        <v>516</v>
      </c>
      <c r="U4879" s="15" t="n">
        <v>81</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I-I-0277</t>
        </is>
      </c>
      <c r="B4880" s="12" t="inlineStr">
        <is>
          <t>I</t>
        </is>
      </c>
      <c r="C4880" s="12" t="inlineStr">
        <is>
          <t>Modular / portable power</t>
        </is>
      </c>
      <c r="D4880" s="12" t="inlineStr">
        <is>
          <t>Discrete device to JB JB-RICE-3-DI02: 20 x 1 pr (field cables)</t>
        </is>
      </c>
      <c r="E4880" s="12" t="inlineStr">
        <is>
          <t>RICE-3</t>
        </is>
      </c>
      <c r="F4880" s="12" t="inlineStr">
        <is>
          <t>RICE engine-generator 3</t>
        </is>
      </c>
      <c r="G4880" s="12" t="inlineStr">
        <is>
          <t>JB-RICE-3-DI02</t>
        </is>
      </c>
      <c r="H4880" s="12" t="inlineStr">
        <is>
          <t>RICE engine-generator 3</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20</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I-I-0278</t>
        </is>
      </c>
      <c r="B4881" s="12" t="inlineStr">
        <is>
          <t>I</t>
        </is>
      </c>
      <c r="C4881" s="12" t="inlineStr">
        <is>
          <t>Modular / portable power</t>
        </is>
      </c>
      <c r="D4881" s="12" t="inlineStr">
        <is>
          <t>Home run JB-RICE-3-DI02 to the control / marshalling room</t>
        </is>
      </c>
      <c r="E4881" s="12" t="inlineStr"/>
      <c r="F4881" s="12" t="inlineStr">
        <is>
          <t>PCM: power control module</t>
        </is>
      </c>
      <c r="G4881" s="12" t="inlineStr">
        <is>
          <t>JB-RICE-3-DI02</t>
        </is>
      </c>
      <c r="H4881" s="12" t="inlineStr">
        <is>
          <t>RICE engine-generator 3</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Duct bank</t>
        </is>
      </c>
      <c r="T4881" s="15" t="n">
        <v>516</v>
      </c>
      <c r="U4881" s="15" t="n">
        <v>81</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I-I-0279</t>
        </is>
      </c>
      <c r="B4882" s="12" t="inlineStr">
        <is>
          <t>I</t>
        </is>
      </c>
      <c r="C4882" s="12" t="inlineStr">
        <is>
          <t>Modular / portable power</t>
        </is>
      </c>
      <c r="D4882" s="12" t="inlineStr">
        <is>
          <t>Discrete device to JB JB-RICE-3-DI03: 20 x 1 pr (field cables)</t>
        </is>
      </c>
      <c r="E4882" s="12" t="inlineStr">
        <is>
          <t>RICE-3</t>
        </is>
      </c>
      <c r="F4882" s="12" t="inlineStr">
        <is>
          <t>RICE engine-generator 3</t>
        </is>
      </c>
      <c r="G4882" s="12" t="inlineStr">
        <is>
          <t>JB-RICE-3-DI03</t>
        </is>
      </c>
      <c r="H4882" s="12" t="inlineStr">
        <is>
          <t>RICE engine-generator 3</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I-I-0280</t>
        </is>
      </c>
      <c r="B4883" s="12" t="inlineStr">
        <is>
          <t>I</t>
        </is>
      </c>
      <c r="C4883" s="12" t="inlineStr">
        <is>
          <t>Modular / portable power</t>
        </is>
      </c>
      <c r="D4883" s="12" t="inlineStr">
        <is>
          <t>Home run JB-RICE-3-DI03 to the control / marshalling room</t>
        </is>
      </c>
      <c r="E4883" s="12" t="inlineStr"/>
      <c r="F4883" s="12" t="inlineStr">
        <is>
          <t>PCM: power control module</t>
        </is>
      </c>
      <c r="G4883" s="12" t="inlineStr">
        <is>
          <t>JB-RICE-3-DI03</t>
        </is>
      </c>
      <c r="H4883" s="12" t="inlineStr">
        <is>
          <t>RICE engine-generator 3</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Duct bank</t>
        </is>
      </c>
      <c r="T4883" s="15" t="n">
        <v>516</v>
      </c>
      <c r="U4883" s="15" t="n">
        <v>81</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I-I-0281</t>
        </is>
      </c>
      <c r="B4884" s="12" t="inlineStr">
        <is>
          <t>I</t>
        </is>
      </c>
      <c r="C4884" s="12" t="inlineStr">
        <is>
          <t>Modular / portable power</t>
        </is>
      </c>
      <c r="D4884" s="12" t="inlineStr">
        <is>
          <t>Thermocouple to TC JB JB-RICE-3-TC01: 20 x 1 pr (field cables)</t>
        </is>
      </c>
      <c r="E4884" s="12" t="inlineStr">
        <is>
          <t>RICE-3</t>
        </is>
      </c>
      <c r="F4884" s="12" t="inlineStr">
        <is>
          <t>RICE engine-generator 3</t>
        </is>
      </c>
      <c r="G4884" s="12" t="inlineStr">
        <is>
          <t>JB-RICE-3-TC01</t>
        </is>
      </c>
      <c r="H4884" s="12" t="inlineStr">
        <is>
          <t>RICE engine-generator 3</t>
        </is>
      </c>
      <c r="I4884" s="12" t="inlineStr">
        <is>
          <t>Instrumentation</t>
        </is>
      </c>
      <c r="J4884" s="12" t="inlineStr">
        <is>
          <t>Thermocouple extension KX, #16 shielded pairs, PLTC</t>
        </is>
      </c>
      <c r="K4884" s="12" t="inlineStr">
        <is>
          <t>TCX|1 pr|16</t>
        </is>
      </c>
      <c r="L4884" s="12" t="inlineStr">
        <is>
          <t>1 pr</t>
        </is>
      </c>
      <c r="M4884" s="12" t="inlineStr">
        <is>
          <t>16</t>
        </is>
      </c>
      <c r="N4884" s="12" t="n">
        <v>20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I-I-0282</t>
        </is>
      </c>
      <c r="B4885" s="12" t="inlineStr">
        <is>
          <t>I</t>
        </is>
      </c>
      <c r="C4885" s="12" t="inlineStr">
        <is>
          <t>Modular / portable power</t>
        </is>
      </c>
      <c r="D4885" s="12" t="inlineStr">
        <is>
          <t>Home run JB-RICE-3-TC01 to the control / marshalling room</t>
        </is>
      </c>
      <c r="E4885" s="12" t="inlineStr"/>
      <c r="F4885" s="12" t="inlineStr">
        <is>
          <t>PCM: power control module</t>
        </is>
      </c>
      <c r="G4885" s="12" t="inlineStr">
        <is>
          <t>JB-RICE-3-TC01</t>
        </is>
      </c>
      <c r="H4885" s="12" t="inlineStr">
        <is>
          <t>RICE engine-generator 3</t>
        </is>
      </c>
      <c r="I4885" s="12" t="inlineStr">
        <is>
          <t>Instrumentation</t>
        </is>
      </c>
      <c r="J4885" s="12" t="inlineStr">
        <is>
          <t>Thermocouple extension KX, #16 shielded pairs, PLTC</t>
        </is>
      </c>
      <c r="K4885" s="12" t="inlineStr">
        <is>
          <t>TCX|24 pr|16</t>
        </is>
      </c>
      <c r="L4885" s="12" t="inlineStr">
        <is>
          <t>24 pr</t>
        </is>
      </c>
      <c r="M4885" s="12" t="inlineStr">
        <is>
          <t>16</t>
        </is>
      </c>
      <c r="N4885" s="12" t="n">
        <v>1</v>
      </c>
      <c r="O4885" s="12" t="n">
        <v>1</v>
      </c>
      <c r="P4885" s="12" t="n"/>
      <c r="Q4885" s="12" t="n"/>
      <c r="R4885" s="12" t="n"/>
      <c r="S4885" s="12" t="inlineStr">
        <is>
          <t>Duct bank</t>
        </is>
      </c>
      <c r="T4885" s="15" t="n">
        <v>516</v>
      </c>
      <c r="U4885" s="15" t="n">
        <v>81</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I-I-0283</t>
        </is>
      </c>
      <c r="B4886" s="12" t="inlineStr">
        <is>
          <t>I</t>
        </is>
      </c>
      <c r="C4886" s="12" t="inlineStr">
        <is>
          <t>Modular / portable power</t>
        </is>
      </c>
      <c r="D4886" s="12" t="inlineStr">
        <is>
          <t>Thermocouple to TC JB JB-RICE-3-TC02: 10 x 1 pr (field cables)</t>
        </is>
      </c>
      <c r="E4886" s="12" t="inlineStr">
        <is>
          <t>RICE-3</t>
        </is>
      </c>
      <c r="F4886" s="12" t="inlineStr">
        <is>
          <t>RICE engine-generator 3</t>
        </is>
      </c>
      <c r="G4886" s="12" t="inlineStr">
        <is>
          <t>JB-RICE-3-TC02</t>
        </is>
      </c>
      <c r="H4886" s="12" t="inlineStr">
        <is>
          <t>RICE engine-generator 3</t>
        </is>
      </c>
      <c r="I4886" s="12" t="inlineStr">
        <is>
          <t>Instrumentation</t>
        </is>
      </c>
      <c r="J4886" s="12" t="inlineStr">
        <is>
          <t>Thermocouple extension KX, #16 shielded pairs, PLTC</t>
        </is>
      </c>
      <c r="K4886" s="12" t="inlineStr">
        <is>
          <t>TCX|1 pr|16</t>
        </is>
      </c>
      <c r="L4886" s="12" t="inlineStr">
        <is>
          <t>1 pr</t>
        </is>
      </c>
      <c r="M4886" s="12" t="inlineStr">
        <is>
          <t>16</t>
        </is>
      </c>
      <c r="N4886" s="12" t="n">
        <v>10</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I-I-0284</t>
        </is>
      </c>
      <c r="B4887" s="12" t="inlineStr">
        <is>
          <t>I</t>
        </is>
      </c>
      <c r="C4887" s="12" t="inlineStr">
        <is>
          <t>Modular / portable power</t>
        </is>
      </c>
      <c r="D4887" s="12" t="inlineStr">
        <is>
          <t>Home run JB-RICE-3-TC02 to the control / marshalling room</t>
        </is>
      </c>
      <c r="E4887" s="12" t="inlineStr"/>
      <c r="F4887" s="12" t="inlineStr">
        <is>
          <t>PCM: power control module</t>
        </is>
      </c>
      <c r="G4887" s="12" t="inlineStr">
        <is>
          <t>JB-RICE-3-TC02</t>
        </is>
      </c>
      <c r="H4887" s="12" t="inlineStr">
        <is>
          <t>RICE engine-generator 3</t>
        </is>
      </c>
      <c r="I4887" s="12" t="inlineStr">
        <is>
          <t>Instrumentation</t>
        </is>
      </c>
      <c r="J4887" s="12" t="inlineStr">
        <is>
          <t>Thermocouple extension KX, #16 shielded pairs, PLTC</t>
        </is>
      </c>
      <c r="K4887" s="12" t="inlineStr">
        <is>
          <t>TCX|24 pr|16</t>
        </is>
      </c>
      <c r="L4887" s="12" t="inlineStr">
        <is>
          <t>24 pr</t>
        </is>
      </c>
      <c r="M4887" s="12" t="inlineStr">
        <is>
          <t>16</t>
        </is>
      </c>
      <c r="N4887" s="12" t="n">
        <v>1</v>
      </c>
      <c r="O4887" s="12" t="n">
        <v>1</v>
      </c>
      <c r="P4887" s="12" t="n"/>
      <c r="Q4887" s="12" t="n"/>
      <c r="R4887" s="12" t="n"/>
      <c r="S4887" s="12" t="inlineStr">
        <is>
          <t>Duct bank</t>
        </is>
      </c>
      <c r="T4887" s="15" t="n">
        <v>516</v>
      </c>
      <c r="U4887" s="15" t="n">
        <v>81</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I-I-0285</t>
        </is>
      </c>
      <c r="B4888" s="12" t="inlineStr">
        <is>
          <t>I</t>
        </is>
      </c>
      <c r="C4888" s="12" t="inlineStr">
        <is>
          <t>Modular / portable power</t>
        </is>
      </c>
      <c r="D4888" s="12" t="inlineStr">
        <is>
          <t>RTD to JB JB-RICE-3-RTD01: 10 x 1 tri (field cables)</t>
        </is>
      </c>
      <c r="E4888" s="12" t="inlineStr">
        <is>
          <t>RICE-3</t>
        </is>
      </c>
      <c r="F4888" s="12" t="inlineStr">
        <is>
          <t>RICE engine-generator 3</t>
        </is>
      </c>
      <c r="G4888" s="12" t="inlineStr">
        <is>
          <t>JB-RICE-3-RTD01</t>
        </is>
      </c>
      <c r="H4888" s="12" t="inlineStr">
        <is>
          <t>RICE engine-generator 3</t>
        </is>
      </c>
      <c r="I4888" s="12" t="inlineStr">
        <is>
          <t>Instrumentation</t>
        </is>
      </c>
      <c r="J4888" s="12" t="inlineStr">
        <is>
          <t>RTD cable, #18 shielded triads, PLTC</t>
        </is>
      </c>
      <c r="K4888" s="12" t="inlineStr">
        <is>
          <t>RTD|1 tri|18</t>
        </is>
      </c>
      <c r="L4888" s="12" t="inlineStr">
        <is>
          <t>1 tri</t>
        </is>
      </c>
      <c r="M4888" s="12" t="inlineStr">
        <is>
          <t>18</t>
        </is>
      </c>
      <c r="N4888" s="12" t="n">
        <v>10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I-I-0286</t>
        </is>
      </c>
      <c r="B4889" s="12" t="inlineStr">
        <is>
          <t>I</t>
        </is>
      </c>
      <c r="C4889" s="12" t="inlineStr">
        <is>
          <t>Modular / portable power</t>
        </is>
      </c>
      <c r="D4889" s="12" t="inlineStr">
        <is>
          <t>Home run JB-RICE-3-RTD01 to the control / marshalling room</t>
        </is>
      </c>
      <c r="E4889" s="12" t="inlineStr"/>
      <c r="F4889" s="12" t="inlineStr">
        <is>
          <t>PCM: power control module</t>
        </is>
      </c>
      <c r="G4889" s="12" t="inlineStr">
        <is>
          <t>JB-RICE-3-RTD01</t>
        </is>
      </c>
      <c r="H4889" s="12" t="inlineStr">
        <is>
          <t>RICE engine-generator 3</t>
        </is>
      </c>
      <c r="I4889" s="12" t="inlineStr">
        <is>
          <t>Instrumentation</t>
        </is>
      </c>
      <c r="J4889" s="12" t="inlineStr">
        <is>
          <t>RTD cable, #18 shielded triads, PLTC</t>
        </is>
      </c>
      <c r="K4889" s="12" t="inlineStr">
        <is>
          <t>RTD|12 tri|18</t>
        </is>
      </c>
      <c r="L4889" s="12" t="inlineStr">
        <is>
          <t>12 tri</t>
        </is>
      </c>
      <c r="M4889" s="12" t="inlineStr">
        <is>
          <t>18</t>
        </is>
      </c>
      <c r="N4889" s="12" t="n">
        <v>1</v>
      </c>
      <c r="O4889" s="12" t="n">
        <v>1</v>
      </c>
      <c r="P4889" s="12" t="n"/>
      <c r="Q4889" s="12" t="n"/>
      <c r="R4889" s="12" t="n"/>
      <c r="S4889" s="12" t="inlineStr">
        <is>
          <t>Duct bank</t>
        </is>
      </c>
      <c r="T4889" s="15" t="n">
        <v>516</v>
      </c>
      <c r="U4889" s="15" t="n">
        <v>81</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I-I-0287</t>
        </is>
      </c>
      <c r="B4890" s="12" t="inlineStr">
        <is>
          <t>I</t>
        </is>
      </c>
      <c r="C4890" s="12" t="inlineStr">
        <is>
          <t>Modular / portable power</t>
        </is>
      </c>
      <c r="D4890" s="12" t="inlineStr">
        <is>
          <t>RTD to JB JB-RICE-3-RTD02: 2 x 1 tri (field cables)</t>
        </is>
      </c>
      <c r="E4890" s="12" t="inlineStr">
        <is>
          <t>RICE-3</t>
        </is>
      </c>
      <c r="F4890" s="12" t="inlineStr">
        <is>
          <t>RICE engine-generator 3</t>
        </is>
      </c>
      <c r="G4890" s="12" t="inlineStr">
        <is>
          <t>JB-RICE-3-RTD02</t>
        </is>
      </c>
      <c r="H4890" s="12" t="inlineStr">
        <is>
          <t>RICE engine-generator 3</t>
        </is>
      </c>
      <c r="I4890" s="12" t="inlineStr">
        <is>
          <t>Instrumentation</t>
        </is>
      </c>
      <c r="J4890" s="12" t="inlineStr">
        <is>
          <t>RTD cable, #18 shielded triads, PLTC</t>
        </is>
      </c>
      <c r="K4890" s="12" t="inlineStr">
        <is>
          <t>RTD|1 tri|18</t>
        </is>
      </c>
      <c r="L4890" s="12" t="inlineStr">
        <is>
          <t>1 tri</t>
        </is>
      </c>
      <c r="M4890" s="12" t="inlineStr">
        <is>
          <t>18</t>
        </is>
      </c>
      <c r="N4890" s="12" t="n">
        <v>2</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I-I-0288</t>
        </is>
      </c>
      <c r="B4891" s="12" t="inlineStr">
        <is>
          <t>I</t>
        </is>
      </c>
      <c r="C4891" s="12" t="inlineStr">
        <is>
          <t>Modular / portable power</t>
        </is>
      </c>
      <c r="D4891" s="12" t="inlineStr">
        <is>
          <t>Home run JB-RICE-3-RTD02 to the control / marshalling room</t>
        </is>
      </c>
      <c r="E4891" s="12" t="inlineStr"/>
      <c r="F4891" s="12" t="inlineStr">
        <is>
          <t>PCM: power control module</t>
        </is>
      </c>
      <c r="G4891" s="12" t="inlineStr">
        <is>
          <t>JB-RICE-3-RTD02</t>
        </is>
      </c>
      <c r="H4891" s="12" t="inlineStr">
        <is>
          <t>RICE engine-generator 3</t>
        </is>
      </c>
      <c r="I4891" s="12" t="inlineStr">
        <is>
          <t>Instrumentation</t>
        </is>
      </c>
      <c r="J4891" s="12" t="inlineStr">
        <is>
          <t>RTD cable, #18 shielded triads, PLTC</t>
        </is>
      </c>
      <c r="K4891" s="12" t="inlineStr">
        <is>
          <t>RTD|12 tri|18</t>
        </is>
      </c>
      <c r="L4891" s="12" t="inlineStr">
        <is>
          <t>12 tri</t>
        </is>
      </c>
      <c r="M4891" s="12" t="inlineStr">
        <is>
          <t>18</t>
        </is>
      </c>
      <c r="N4891" s="12" t="n">
        <v>1</v>
      </c>
      <c r="O4891" s="12" t="n">
        <v>1</v>
      </c>
      <c r="P4891" s="12" t="n"/>
      <c r="Q4891" s="12" t="n"/>
      <c r="R4891" s="12" t="n"/>
      <c r="S4891" s="12" t="inlineStr">
        <is>
          <t>Duct bank</t>
        </is>
      </c>
      <c r="T4891" s="15" t="n">
        <v>516</v>
      </c>
      <c r="U4891" s="15" t="n">
        <v>81</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I-I-0289</t>
        </is>
      </c>
      <c r="B4892" s="12" t="inlineStr">
        <is>
          <t>I</t>
        </is>
      </c>
      <c r="C4892" s="12" t="inlineStr">
        <is>
          <t>Modular / portable power</t>
        </is>
      </c>
      <c r="D4892" s="12" t="inlineStr">
        <is>
          <t>Analog instrument to JB JB-RICE-4-AI01: 20 x 1 pr (field cables)</t>
        </is>
      </c>
      <c r="E4892" s="12" t="inlineStr">
        <is>
          <t>RICE-4</t>
        </is>
      </c>
      <c r="F4892" s="12" t="inlineStr">
        <is>
          <t>RICE engine-generator 4</t>
        </is>
      </c>
      <c r="G4892" s="12" t="inlineStr">
        <is>
          <t>JB-RICE-4-AI01</t>
        </is>
      </c>
      <c r="H4892" s="12" t="inlineStr">
        <is>
          <t>RICE engine-generator 4</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I-I-0290</t>
        </is>
      </c>
      <c r="B4893" s="12" t="inlineStr">
        <is>
          <t>I</t>
        </is>
      </c>
      <c r="C4893" s="12" t="inlineStr">
        <is>
          <t>Modular / portable power</t>
        </is>
      </c>
      <c r="D4893" s="12" t="inlineStr">
        <is>
          <t>Home run JB-RICE-4-AI01 to the control / marshalling room</t>
        </is>
      </c>
      <c r="E4893" s="12" t="inlineStr"/>
      <c r="F4893" s="12" t="inlineStr">
        <is>
          <t>PCM: power control module</t>
        </is>
      </c>
      <c r="G4893" s="12" t="inlineStr">
        <is>
          <t>JB-RICE-4-AI01</t>
        </is>
      </c>
      <c r="H4893" s="12" t="inlineStr">
        <is>
          <t>RICE engine-generator 4</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5" t="n">
        <v>516</v>
      </c>
      <c r="U4893" s="15" t="n">
        <v>53</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I-I-0291</t>
        </is>
      </c>
      <c r="B4894" s="12" t="inlineStr">
        <is>
          <t>I</t>
        </is>
      </c>
      <c r="C4894" s="12" t="inlineStr">
        <is>
          <t>Modular / portable power</t>
        </is>
      </c>
      <c r="D4894" s="12" t="inlineStr">
        <is>
          <t>Analog instrument to JB JB-RICE-4-AI02: 20 x 1 pr (field cables)</t>
        </is>
      </c>
      <c r="E4894" s="12" t="inlineStr">
        <is>
          <t>RICE-4</t>
        </is>
      </c>
      <c r="F4894" s="12" t="inlineStr">
        <is>
          <t>RICE engine-generator 4</t>
        </is>
      </c>
      <c r="G4894" s="12" t="inlineStr">
        <is>
          <t>JB-RICE-4-AI02</t>
        </is>
      </c>
      <c r="H4894" s="12" t="inlineStr">
        <is>
          <t>RICE engine-generator 4</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I-I-0292</t>
        </is>
      </c>
      <c r="B4895" s="12" t="inlineStr">
        <is>
          <t>I</t>
        </is>
      </c>
      <c r="C4895" s="12" t="inlineStr">
        <is>
          <t>Modular / portable power</t>
        </is>
      </c>
      <c r="D4895" s="12" t="inlineStr">
        <is>
          <t>Home run JB-RICE-4-AI02 to the control / marshalling room</t>
        </is>
      </c>
      <c r="E4895" s="12" t="inlineStr"/>
      <c r="F4895" s="12" t="inlineStr">
        <is>
          <t>PCM: power control module</t>
        </is>
      </c>
      <c r="G4895" s="12" t="inlineStr">
        <is>
          <t>JB-RICE-4-AI02</t>
        </is>
      </c>
      <c r="H4895" s="12" t="inlineStr">
        <is>
          <t>RICE engine-generator 4</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5" t="n">
        <v>516</v>
      </c>
      <c r="U4895" s="15" t="n">
        <v>53</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I-I-0293</t>
        </is>
      </c>
      <c r="B4896" s="12" t="inlineStr">
        <is>
          <t>I</t>
        </is>
      </c>
      <c r="C4896" s="12" t="inlineStr">
        <is>
          <t>Modular / portable power</t>
        </is>
      </c>
      <c r="D4896" s="12" t="inlineStr">
        <is>
          <t>Analog instrument to JB JB-RICE-4-AI03: 20 x 1 pr (field cables)</t>
        </is>
      </c>
      <c r="E4896" s="12" t="inlineStr">
        <is>
          <t>RICE-4</t>
        </is>
      </c>
      <c r="F4896" s="12" t="inlineStr">
        <is>
          <t>RICE engine-generator 4</t>
        </is>
      </c>
      <c r="G4896" s="12" t="inlineStr">
        <is>
          <t>JB-RICE-4-AI03</t>
        </is>
      </c>
      <c r="H4896" s="12" t="inlineStr">
        <is>
          <t>RICE engine-generator 4</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20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I-I-0294</t>
        </is>
      </c>
      <c r="B4897" s="12" t="inlineStr">
        <is>
          <t>I</t>
        </is>
      </c>
      <c r="C4897" s="12" t="inlineStr">
        <is>
          <t>Modular / portable power</t>
        </is>
      </c>
      <c r="D4897" s="12" t="inlineStr">
        <is>
          <t>Home run JB-RICE-4-AI03 to the control / marshalling room</t>
        </is>
      </c>
      <c r="E4897" s="12" t="inlineStr"/>
      <c r="F4897" s="12" t="inlineStr">
        <is>
          <t>PCM: power control module</t>
        </is>
      </c>
      <c r="G4897" s="12" t="inlineStr">
        <is>
          <t>JB-RICE-4-AI03</t>
        </is>
      </c>
      <c r="H4897" s="12" t="inlineStr">
        <is>
          <t>RICE engine-generator 4</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Duct bank</t>
        </is>
      </c>
      <c r="T4897" s="15" t="n">
        <v>516</v>
      </c>
      <c r="U4897" s="15" t="n">
        <v>53</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I-I-0295</t>
        </is>
      </c>
      <c r="B4898" s="12" t="inlineStr">
        <is>
          <t>I</t>
        </is>
      </c>
      <c r="C4898" s="12" t="inlineStr">
        <is>
          <t>Modular / portable power</t>
        </is>
      </c>
      <c r="D4898" s="12" t="inlineStr">
        <is>
          <t>Analog instrument to JB JB-RICE-4-AI04: 20 x 1 pr (field cables)</t>
        </is>
      </c>
      <c r="E4898" s="12" t="inlineStr">
        <is>
          <t>RICE-4</t>
        </is>
      </c>
      <c r="F4898" s="12" t="inlineStr">
        <is>
          <t>RICE engine-generator 4</t>
        </is>
      </c>
      <c r="G4898" s="12" t="inlineStr">
        <is>
          <t>JB-RICE-4-AI04</t>
        </is>
      </c>
      <c r="H4898" s="12" t="inlineStr">
        <is>
          <t>RICE engine-generator 4</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I-I-0296</t>
        </is>
      </c>
      <c r="B4899" s="12" t="inlineStr">
        <is>
          <t>I</t>
        </is>
      </c>
      <c r="C4899" s="12" t="inlineStr">
        <is>
          <t>Modular / portable power</t>
        </is>
      </c>
      <c r="D4899" s="12" t="inlineStr">
        <is>
          <t>Home run JB-RICE-4-AI04 to the control / marshalling room</t>
        </is>
      </c>
      <c r="E4899" s="12" t="inlineStr"/>
      <c r="F4899" s="12" t="inlineStr">
        <is>
          <t>PCM: power control module</t>
        </is>
      </c>
      <c r="G4899" s="12" t="inlineStr">
        <is>
          <t>JB-RICE-4-AI04</t>
        </is>
      </c>
      <c r="H4899" s="12" t="inlineStr">
        <is>
          <t>RICE engine-generator 4</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Duct bank</t>
        </is>
      </c>
      <c r="T4899" s="15" t="n">
        <v>516</v>
      </c>
      <c r="U4899" s="15" t="n">
        <v>53</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I-I-0297</t>
        </is>
      </c>
      <c r="B4900" s="12" t="inlineStr">
        <is>
          <t>I</t>
        </is>
      </c>
      <c r="C4900" s="12" t="inlineStr">
        <is>
          <t>Modular / portable power</t>
        </is>
      </c>
      <c r="D4900" s="12" t="inlineStr">
        <is>
          <t>Discrete device to JB JB-RICE-4-DI01: 20 x 1 pr (field cables)</t>
        </is>
      </c>
      <c r="E4900" s="12" t="inlineStr">
        <is>
          <t>RICE-4</t>
        </is>
      </c>
      <c r="F4900" s="12" t="inlineStr">
        <is>
          <t>RICE engine-generator 4</t>
        </is>
      </c>
      <c r="G4900" s="12" t="inlineStr">
        <is>
          <t>JB-RICE-4-DI01</t>
        </is>
      </c>
      <c r="H4900" s="12" t="inlineStr">
        <is>
          <t>RICE engine-generator 4</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I-I-0298</t>
        </is>
      </c>
      <c r="B4901" s="12" t="inlineStr">
        <is>
          <t>I</t>
        </is>
      </c>
      <c r="C4901" s="12" t="inlineStr">
        <is>
          <t>Modular / portable power</t>
        </is>
      </c>
      <c r="D4901" s="12" t="inlineStr">
        <is>
          <t>Home run JB-RICE-4-DI01 to the control / marshalling room</t>
        </is>
      </c>
      <c r="E4901" s="12" t="inlineStr"/>
      <c r="F4901" s="12" t="inlineStr">
        <is>
          <t>PCM: power control module</t>
        </is>
      </c>
      <c r="G4901" s="12" t="inlineStr">
        <is>
          <t>JB-RICE-4-DI01</t>
        </is>
      </c>
      <c r="H4901" s="12" t="inlineStr">
        <is>
          <t>RICE engine-generator 4</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5" t="n">
        <v>516</v>
      </c>
      <c r="U4901" s="15" t="n">
        <v>53</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I-I-0299</t>
        </is>
      </c>
      <c r="B4902" s="12" t="inlineStr">
        <is>
          <t>I</t>
        </is>
      </c>
      <c r="C4902" s="12" t="inlineStr">
        <is>
          <t>Modular / portable power</t>
        </is>
      </c>
      <c r="D4902" s="12" t="inlineStr">
        <is>
          <t>Discrete device to JB JB-RICE-4-DI02: 20 x 1 pr (field cables)</t>
        </is>
      </c>
      <c r="E4902" s="12" t="inlineStr">
        <is>
          <t>RICE-4</t>
        </is>
      </c>
      <c r="F4902" s="12" t="inlineStr">
        <is>
          <t>RICE engine-generator 4</t>
        </is>
      </c>
      <c r="G4902" s="12" t="inlineStr">
        <is>
          <t>JB-RICE-4-DI02</t>
        </is>
      </c>
      <c r="H4902" s="12" t="inlineStr">
        <is>
          <t>RICE engine-generator 4</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20</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I-I-0300</t>
        </is>
      </c>
      <c r="B4903" s="12" t="inlineStr">
        <is>
          <t>I</t>
        </is>
      </c>
      <c r="C4903" s="12" t="inlineStr">
        <is>
          <t>Modular / portable power</t>
        </is>
      </c>
      <c r="D4903" s="12" t="inlineStr">
        <is>
          <t>Home run JB-RICE-4-DI02 to the control / marshalling room</t>
        </is>
      </c>
      <c r="E4903" s="12" t="inlineStr"/>
      <c r="F4903" s="12" t="inlineStr">
        <is>
          <t>PCM: power control module</t>
        </is>
      </c>
      <c r="G4903" s="12" t="inlineStr">
        <is>
          <t>JB-RICE-4-DI02</t>
        </is>
      </c>
      <c r="H4903" s="12" t="inlineStr">
        <is>
          <t>RICE engine-generator 4</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Duct bank</t>
        </is>
      </c>
      <c r="T4903" s="15" t="n">
        <v>516</v>
      </c>
      <c r="U4903" s="15" t="n">
        <v>53</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I-I-0301</t>
        </is>
      </c>
      <c r="B4904" s="12" t="inlineStr">
        <is>
          <t>I</t>
        </is>
      </c>
      <c r="C4904" s="12" t="inlineStr">
        <is>
          <t>Modular / portable power</t>
        </is>
      </c>
      <c r="D4904" s="12" t="inlineStr">
        <is>
          <t>Discrete device to JB JB-RICE-4-DI03: 20 x 1 pr (field cables)</t>
        </is>
      </c>
      <c r="E4904" s="12" t="inlineStr">
        <is>
          <t>RICE-4</t>
        </is>
      </c>
      <c r="F4904" s="12" t="inlineStr">
        <is>
          <t>RICE engine-generator 4</t>
        </is>
      </c>
      <c r="G4904" s="12" t="inlineStr">
        <is>
          <t>JB-RICE-4-DI03</t>
        </is>
      </c>
      <c r="H4904" s="12" t="inlineStr">
        <is>
          <t>RICE engine-generator 4</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I-I-0302</t>
        </is>
      </c>
      <c r="B4905" s="12" t="inlineStr">
        <is>
          <t>I</t>
        </is>
      </c>
      <c r="C4905" s="12" t="inlineStr">
        <is>
          <t>Modular / portable power</t>
        </is>
      </c>
      <c r="D4905" s="12" t="inlineStr">
        <is>
          <t>Home run JB-RICE-4-DI03 to the control / marshalling room</t>
        </is>
      </c>
      <c r="E4905" s="12" t="inlineStr"/>
      <c r="F4905" s="12" t="inlineStr">
        <is>
          <t>PCM: power control module</t>
        </is>
      </c>
      <c r="G4905" s="12" t="inlineStr">
        <is>
          <t>JB-RICE-4-DI03</t>
        </is>
      </c>
      <c r="H4905" s="12" t="inlineStr">
        <is>
          <t>RICE engine-generator 4</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Duct bank</t>
        </is>
      </c>
      <c r="T4905" s="15" t="n">
        <v>516</v>
      </c>
      <c r="U4905" s="15" t="n">
        <v>53</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I-I-0303</t>
        </is>
      </c>
      <c r="B4906" s="12" t="inlineStr">
        <is>
          <t>I</t>
        </is>
      </c>
      <c r="C4906" s="12" t="inlineStr">
        <is>
          <t>Modular / portable power</t>
        </is>
      </c>
      <c r="D4906" s="12" t="inlineStr">
        <is>
          <t>Thermocouple to TC JB JB-RICE-4-TC01: 20 x 1 pr (field cables)</t>
        </is>
      </c>
      <c r="E4906" s="12" t="inlineStr">
        <is>
          <t>RICE-4</t>
        </is>
      </c>
      <c r="F4906" s="12" t="inlineStr">
        <is>
          <t>RICE engine-generator 4</t>
        </is>
      </c>
      <c r="G4906" s="12" t="inlineStr">
        <is>
          <t>JB-RICE-4-TC01</t>
        </is>
      </c>
      <c r="H4906" s="12" t="inlineStr">
        <is>
          <t>RICE engine-generator 4</t>
        </is>
      </c>
      <c r="I4906" s="12" t="inlineStr">
        <is>
          <t>Instrumentation</t>
        </is>
      </c>
      <c r="J4906" s="12" t="inlineStr">
        <is>
          <t>Thermocouple extension KX, #16 shielded pairs, PLTC</t>
        </is>
      </c>
      <c r="K4906" s="12" t="inlineStr">
        <is>
          <t>TCX|1 pr|16</t>
        </is>
      </c>
      <c r="L4906" s="12" t="inlineStr">
        <is>
          <t>1 pr</t>
        </is>
      </c>
      <c r="M4906" s="12" t="inlineStr">
        <is>
          <t>16</t>
        </is>
      </c>
      <c r="N4906" s="12" t="n">
        <v>20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I-I-0304</t>
        </is>
      </c>
      <c r="B4907" s="12" t="inlineStr">
        <is>
          <t>I</t>
        </is>
      </c>
      <c r="C4907" s="12" t="inlineStr">
        <is>
          <t>Modular / portable power</t>
        </is>
      </c>
      <c r="D4907" s="12" t="inlineStr">
        <is>
          <t>Home run JB-RICE-4-TC01 to the control / marshalling room</t>
        </is>
      </c>
      <c r="E4907" s="12" t="inlineStr"/>
      <c r="F4907" s="12" t="inlineStr">
        <is>
          <t>PCM: power control module</t>
        </is>
      </c>
      <c r="G4907" s="12" t="inlineStr">
        <is>
          <t>JB-RICE-4-TC01</t>
        </is>
      </c>
      <c r="H4907" s="12" t="inlineStr">
        <is>
          <t>RICE engine-generator 4</t>
        </is>
      </c>
      <c r="I4907" s="12" t="inlineStr">
        <is>
          <t>Instrumentation</t>
        </is>
      </c>
      <c r="J4907" s="12" t="inlineStr">
        <is>
          <t>Thermocouple extension KX, #16 shielded pairs, PLTC</t>
        </is>
      </c>
      <c r="K4907" s="12" t="inlineStr">
        <is>
          <t>TCX|24 pr|16</t>
        </is>
      </c>
      <c r="L4907" s="12" t="inlineStr">
        <is>
          <t>24 pr</t>
        </is>
      </c>
      <c r="M4907" s="12" t="inlineStr">
        <is>
          <t>16</t>
        </is>
      </c>
      <c r="N4907" s="12" t="n">
        <v>1</v>
      </c>
      <c r="O4907" s="12" t="n">
        <v>1</v>
      </c>
      <c r="P4907" s="12" t="n"/>
      <c r="Q4907" s="12" t="n"/>
      <c r="R4907" s="12" t="n"/>
      <c r="S4907" s="12" t="inlineStr">
        <is>
          <t>Duct bank</t>
        </is>
      </c>
      <c r="T4907" s="15" t="n">
        <v>516</v>
      </c>
      <c r="U4907" s="15" t="n">
        <v>53</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I-I-0305</t>
        </is>
      </c>
      <c r="B4908" s="12" t="inlineStr">
        <is>
          <t>I</t>
        </is>
      </c>
      <c r="C4908" s="12" t="inlineStr">
        <is>
          <t>Modular / portable power</t>
        </is>
      </c>
      <c r="D4908" s="12" t="inlineStr">
        <is>
          <t>Thermocouple to TC JB JB-RICE-4-TC02: 10 x 1 pr (field cables)</t>
        </is>
      </c>
      <c r="E4908" s="12" t="inlineStr">
        <is>
          <t>RICE-4</t>
        </is>
      </c>
      <c r="F4908" s="12" t="inlineStr">
        <is>
          <t>RICE engine-generator 4</t>
        </is>
      </c>
      <c r="G4908" s="12" t="inlineStr">
        <is>
          <t>JB-RICE-4-TC02</t>
        </is>
      </c>
      <c r="H4908" s="12" t="inlineStr">
        <is>
          <t>RICE engine-generator 4</t>
        </is>
      </c>
      <c r="I4908" s="12" t="inlineStr">
        <is>
          <t>Instrumentation</t>
        </is>
      </c>
      <c r="J4908" s="12" t="inlineStr">
        <is>
          <t>Thermocouple extension KX, #16 shielded pairs, PLTC</t>
        </is>
      </c>
      <c r="K4908" s="12" t="inlineStr">
        <is>
          <t>TCX|1 pr|16</t>
        </is>
      </c>
      <c r="L4908" s="12" t="inlineStr">
        <is>
          <t>1 pr</t>
        </is>
      </c>
      <c r="M4908" s="12" t="inlineStr">
        <is>
          <t>16</t>
        </is>
      </c>
      <c r="N4908" s="12" t="n">
        <v>10</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I-I-0306</t>
        </is>
      </c>
      <c r="B4909" s="12" t="inlineStr">
        <is>
          <t>I</t>
        </is>
      </c>
      <c r="C4909" s="12" t="inlineStr">
        <is>
          <t>Modular / portable power</t>
        </is>
      </c>
      <c r="D4909" s="12" t="inlineStr">
        <is>
          <t>Home run JB-RICE-4-TC02 to the control / marshalling room</t>
        </is>
      </c>
      <c r="E4909" s="12" t="inlineStr"/>
      <c r="F4909" s="12" t="inlineStr">
        <is>
          <t>PCM: power control module</t>
        </is>
      </c>
      <c r="G4909" s="12" t="inlineStr">
        <is>
          <t>JB-RICE-4-TC02</t>
        </is>
      </c>
      <c r="H4909" s="12" t="inlineStr">
        <is>
          <t>RICE engine-generator 4</t>
        </is>
      </c>
      <c r="I4909" s="12" t="inlineStr">
        <is>
          <t>Instrumentation</t>
        </is>
      </c>
      <c r="J4909" s="12" t="inlineStr">
        <is>
          <t>Thermocouple extension KX, #16 shielded pairs, PLTC</t>
        </is>
      </c>
      <c r="K4909" s="12" t="inlineStr">
        <is>
          <t>TCX|24 pr|16</t>
        </is>
      </c>
      <c r="L4909" s="12" t="inlineStr">
        <is>
          <t>24 pr</t>
        </is>
      </c>
      <c r="M4909" s="12" t="inlineStr">
        <is>
          <t>16</t>
        </is>
      </c>
      <c r="N4909" s="12" t="n">
        <v>1</v>
      </c>
      <c r="O4909" s="12" t="n">
        <v>1</v>
      </c>
      <c r="P4909" s="12" t="n"/>
      <c r="Q4909" s="12" t="n"/>
      <c r="R4909" s="12" t="n"/>
      <c r="S4909" s="12" t="inlineStr">
        <is>
          <t>Duct bank</t>
        </is>
      </c>
      <c r="T4909" s="15" t="n">
        <v>516</v>
      </c>
      <c r="U4909" s="15" t="n">
        <v>53</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I-I-0307</t>
        </is>
      </c>
      <c r="B4910" s="12" t="inlineStr">
        <is>
          <t>I</t>
        </is>
      </c>
      <c r="C4910" s="12" t="inlineStr">
        <is>
          <t>Modular / portable power</t>
        </is>
      </c>
      <c r="D4910" s="12" t="inlineStr">
        <is>
          <t>RTD to JB JB-RICE-4-RTD01: 10 x 1 tri (field cables)</t>
        </is>
      </c>
      <c r="E4910" s="12" t="inlineStr">
        <is>
          <t>RICE-4</t>
        </is>
      </c>
      <c r="F4910" s="12" t="inlineStr">
        <is>
          <t>RICE engine-generator 4</t>
        </is>
      </c>
      <c r="G4910" s="12" t="inlineStr">
        <is>
          <t>JB-RICE-4-RTD01</t>
        </is>
      </c>
      <c r="H4910" s="12" t="inlineStr">
        <is>
          <t>RICE engine-generator 4</t>
        </is>
      </c>
      <c r="I4910" s="12" t="inlineStr">
        <is>
          <t>Instrumentation</t>
        </is>
      </c>
      <c r="J4910" s="12" t="inlineStr">
        <is>
          <t>RTD cable, #18 shielded triads, PLTC</t>
        </is>
      </c>
      <c r="K4910" s="12" t="inlineStr">
        <is>
          <t>RTD|1 tri|18</t>
        </is>
      </c>
      <c r="L4910" s="12" t="inlineStr">
        <is>
          <t>1 tri</t>
        </is>
      </c>
      <c r="M4910" s="12" t="inlineStr">
        <is>
          <t>18</t>
        </is>
      </c>
      <c r="N4910" s="12" t="n">
        <v>10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I-I-0308</t>
        </is>
      </c>
      <c r="B4911" s="12" t="inlineStr">
        <is>
          <t>I</t>
        </is>
      </c>
      <c r="C4911" s="12" t="inlineStr">
        <is>
          <t>Modular / portable power</t>
        </is>
      </c>
      <c r="D4911" s="12" t="inlineStr">
        <is>
          <t>Home run JB-RICE-4-RTD01 to the control / marshalling room</t>
        </is>
      </c>
      <c r="E4911" s="12" t="inlineStr"/>
      <c r="F4911" s="12" t="inlineStr">
        <is>
          <t>PCM: power control module</t>
        </is>
      </c>
      <c r="G4911" s="12" t="inlineStr">
        <is>
          <t>JB-RICE-4-RTD01</t>
        </is>
      </c>
      <c r="H4911" s="12" t="inlineStr">
        <is>
          <t>RICE engine-generator 4</t>
        </is>
      </c>
      <c r="I4911" s="12" t="inlineStr">
        <is>
          <t>Instrumentation</t>
        </is>
      </c>
      <c r="J4911" s="12" t="inlineStr">
        <is>
          <t>RTD cable, #18 shielded triads, PLTC</t>
        </is>
      </c>
      <c r="K4911" s="12" t="inlineStr">
        <is>
          <t>RTD|12 tri|18</t>
        </is>
      </c>
      <c r="L4911" s="12" t="inlineStr">
        <is>
          <t>12 tri</t>
        </is>
      </c>
      <c r="M4911" s="12" t="inlineStr">
        <is>
          <t>18</t>
        </is>
      </c>
      <c r="N4911" s="12" t="n">
        <v>1</v>
      </c>
      <c r="O4911" s="12" t="n">
        <v>1</v>
      </c>
      <c r="P4911" s="12" t="n"/>
      <c r="Q4911" s="12" t="n"/>
      <c r="R4911" s="12" t="n"/>
      <c r="S4911" s="12" t="inlineStr">
        <is>
          <t>Duct bank</t>
        </is>
      </c>
      <c r="T4911" s="15" t="n">
        <v>516</v>
      </c>
      <c r="U4911" s="15" t="n">
        <v>53</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I-I-0309</t>
        </is>
      </c>
      <c r="B4912" s="12" t="inlineStr">
        <is>
          <t>I</t>
        </is>
      </c>
      <c r="C4912" s="12" t="inlineStr">
        <is>
          <t>Modular / portable power</t>
        </is>
      </c>
      <c r="D4912" s="12" t="inlineStr">
        <is>
          <t>RTD to JB JB-RICE-4-RTD02: 2 x 1 tri (field cables)</t>
        </is>
      </c>
      <c r="E4912" s="12" t="inlineStr">
        <is>
          <t>RICE-4</t>
        </is>
      </c>
      <c r="F4912" s="12" t="inlineStr">
        <is>
          <t>RICE engine-generator 4</t>
        </is>
      </c>
      <c r="G4912" s="12" t="inlineStr">
        <is>
          <t>JB-RICE-4-RTD02</t>
        </is>
      </c>
      <c r="H4912" s="12" t="inlineStr">
        <is>
          <t>RICE engine-generator 4</t>
        </is>
      </c>
      <c r="I4912" s="12" t="inlineStr">
        <is>
          <t>Instrumentation</t>
        </is>
      </c>
      <c r="J4912" s="12" t="inlineStr">
        <is>
          <t>RTD cable, #18 shielded triads, PLTC</t>
        </is>
      </c>
      <c r="K4912" s="12" t="inlineStr">
        <is>
          <t>RTD|1 tri|18</t>
        </is>
      </c>
      <c r="L4912" s="12" t="inlineStr">
        <is>
          <t>1 tri</t>
        </is>
      </c>
      <c r="M4912" s="12" t="inlineStr">
        <is>
          <t>18</t>
        </is>
      </c>
      <c r="N4912" s="12" t="n">
        <v>2</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I-I-0310</t>
        </is>
      </c>
      <c r="B4913" s="12" t="inlineStr">
        <is>
          <t>I</t>
        </is>
      </c>
      <c r="C4913" s="12" t="inlineStr">
        <is>
          <t>Modular / portable power</t>
        </is>
      </c>
      <c r="D4913" s="12" t="inlineStr">
        <is>
          <t>Home run JB-RICE-4-RTD02 to the control / marshalling room</t>
        </is>
      </c>
      <c r="E4913" s="12" t="inlineStr"/>
      <c r="F4913" s="12" t="inlineStr">
        <is>
          <t>PCM: power control module</t>
        </is>
      </c>
      <c r="G4913" s="12" t="inlineStr">
        <is>
          <t>JB-RICE-4-RTD02</t>
        </is>
      </c>
      <c r="H4913" s="12" t="inlineStr">
        <is>
          <t>RICE engine-generator 4</t>
        </is>
      </c>
      <c r="I4913" s="12" t="inlineStr">
        <is>
          <t>Instrumentation</t>
        </is>
      </c>
      <c r="J4913" s="12" t="inlineStr">
        <is>
          <t>RTD cable, #18 shielded triads, PLTC</t>
        </is>
      </c>
      <c r="K4913" s="12" t="inlineStr">
        <is>
          <t>RTD|12 tri|18</t>
        </is>
      </c>
      <c r="L4913" s="12" t="inlineStr">
        <is>
          <t>12 tri</t>
        </is>
      </c>
      <c r="M4913" s="12" t="inlineStr">
        <is>
          <t>18</t>
        </is>
      </c>
      <c r="N4913" s="12" t="n">
        <v>1</v>
      </c>
      <c r="O4913" s="12" t="n">
        <v>1</v>
      </c>
      <c r="P4913" s="12" t="n"/>
      <c r="Q4913" s="12" t="n"/>
      <c r="R4913" s="12" t="n"/>
      <c r="S4913" s="12" t="inlineStr">
        <is>
          <t>Duct bank</t>
        </is>
      </c>
      <c r="T4913" s="15" t="n">
        <v>516</v>
      </c>
      <c r="U4913" s="15" t="n">
        <v>53</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I-I-0311</t>
        </is>
      </c>
      <c r="B4914" s="12" t="inlineStr">
        <is>
          <t>I</t>
        </is>
      </c>
      <c r="C4914" s="12" t="inlineStr">
        <is>
          <t>Modular / portable power</t>
        </is>
      </c>
      <c r="D4914" s="12" t="inlineStr">
        <is>
          <t>Analog instrument to JB JB-RICE-5-AI01: 20 x 1 pr (field cables)</t>
        </is>
      </c>
      <c r="E4914" s="12" t="inlineStr">
        <is>
          <t>RICE-5</t>
        </is>
      </c>
      <c r="F4914" s="12" t="inlineStr">
        <is>
          <t>RICE engine-generator 5</t>
        </is>
      </c>
      <c r="G4914" s="12" t="inlineStr">
        <is>
          <t>JB-RICE-5-AI01</t>
        </is>
      </c>
      <c r="H4914" s="12" t="inlineStr">
        <is>
          <t>RICE engine-generator 5</t>
        </is>
      </c>
      <c r="I4914" s="12" t="inlineStr">
        <is>
          <t>Instrumentation</t>
        </is>
      </c>
      <c r="J4914" s="12" t="inlineStr">
        <is>
          <t>Instrumentation PLTC / TC-ER 300 V, #18 twisted shielded pairs, overall shield</t>
        </is>
      </c>
      <c r="K4914" s="12" t="inlineStr">
        <is>
          <t>PLTC|1 pr|16</t>
        </is>
      </c>
      <c r="L4914" s="12" t="inlineStr">
        <is>
          <t>1 pr</t>
        </is>
      </c>
      <c r="M4914" s="12" t="inlineStr">
        <is>
          <t>16</t>
        </is>
      </c>
      <c r="N4914" s="12" t="n">
        <v>20</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I-I-0312</t>
        </is>
      </c>
      <c r="B4915" s="12" t="inlineStr">
        <is>
          <t>I</t>
        </is>
      </c>
      <c r="C4915" s="12" t="inlineStr">
        <is>
          <t>Modular / portable power</t>
        </is>
      </c>
      <c r="D4915" s="12" t="inlineStr">
        <is>
          <t>Home run JB-RICE-5-AI01 to the control / marshalling room</t>
        </is>
      </c>
      <c r="E4915" s="12" t="inlineStr"/>
      <c r="F4915" s="12" t="inlineStr">
        <is>
          <t>PCM: power control module</t>
        </is>
      </c>
      <c r="G4915" s="12" t="inlineStr">
        <is>
          <t>JB-RICE-5-AI01</t>
        </is>
      </c>
      <c r="H4915" s="12" t="inlineStr">
        <is>
          <t>RICE engine-generator 5</t>
        </is>
      </c>
      <c r="I4915" s="12" t="inlineStr">
        <is>
          <t>Instrumentation</t>
        </is>
      </c>
      <c r="J4915" s="12" t="inlineStr">
        <is>
          <t>Instrumentation PLTC / TC-ER 300 V, #18 twisted shielded pairs, overall shield</t>
        </is>
      </c>
      <c r="K4915" s="12" t="inlineStr">
        <is>
          <t>PLTC|24 pr|18</t>
        </is>
      </c>
      <c r="L4915" s="12" t="inlineStr">
        <is>
          <t>24 pr</t>
        </is>
      </c>
      <c r="M4915" s="12" t="inlineStr">
        <is>
          <t>18</t>
        </is>
      </c>
      <c r="N4915" s="12" t="n">
        <v>1</v>
      </c>
      <c r="O4915" s="12" t="n">
        <v>1</v>
      </c>
      <c r="P4915" s="12" t="n"/>
      <c r="Q4915" s="12" t="n"/>
      <c r="R4915" s="12" t="n"/>
      <c r="S4915" s="12" t="inlineStr">
        <is>
          <t>Duct bank</t>
        </is>
      </c>
      <c r="T4915" s="15" t="n">
        <v>52</v>
      </c>
      <c r="U4915" s="15" t="n">
        <v>182</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I-I-0313</t>
        </is>
      </c>
      <c r="B4916" s="12" t="inlineStr">
        <is>
          <t>I</t>
        </is>
      </c>
      <c r="C4916" s="12" t="inlineStr">
        <is>
          <t>Modular / portable power</t>
        </is>
      </c>
      <c r="D4916" s="12" t="inlineStr">
        <is>
          <t>Analog instrument to JB JB-RICE-5-AI02: 20 x 1 pr (field cables)</t>
        </is>
      </c>
      <c r="E4916" s="12" t="inlineStr">
        <is>
          <t>RICE-5</t>
        </is>
      </c>
      <c r="F4916" s="12" t="inlineStr">
        <is>
          <t>RICE engine-generator 5</t>
        </is>
      </c>
      <c r="G4916" s="12" t="inlineStr">
        <is>
          <t>JB-RICE-5-AI02</t>
        </is>
      </c>
      <c r="H4916" s="12" t="inlineStr">
        <is>
          <t>RICE engine-generator 5</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I-I-0314</t>
        </is>
      </c>
      <c r="B4917" s="12" t="inlineStr">
        <is>
          <t>I</t>
        </is>
      </c>
      <c r="C4917" s="12" t="inlineStr">
        <is>
          <t>Modular / portable power</t>
        </is>
      </c>
      <c r="D4917" s="12" t="inlineStr">
        <is>
          <t>Home run JB-RICE-5-AI02 to the control / marshalling room</t>
        </is>
      </c>
      <c r="E4917" s="12" t="inlineStr"/>
      <c r="F4917" s="12" t="inlineStr">
        <is>
          <t>PCM: power control module</t>
        </is>
      </c>
      <c r="G4917" s="12" t="inlineStr">
        <is>
          <t>JB-RICE-5-AI02</t>
        </is>
      </c>
      <c r="H4917" s="12" t="inlineStr">
        <is>
          <t>RICE engine-generator 5</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5" t="n">
        <v>52</v>
      </c>
      <c r="U4917" s="15" t="n">
        <v>182</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I-I-0315</t>
        </is>
      </c>
      <c r="B4918" s="12" t="inlineStr">
        <is>
          <t>I</t>
        </is>
      </c>
      <c r="C4918" s="12" t="inlineStr">
        <is>
          <t>Modular / portable power</t>
        </is>
      </c>
      <c r="D4918" s="12" t="inlineStr">
        <is>
          <t>Analog instrument to JB JB-RICE-5-AI03: 20 x 1 pr (field cables)</t>
        </is>
      </c>
      <c r="E4918" s="12" t="inlineStr">
        <is>
          <t>RICE-5</t>
        </is>
      </c>
      <c r="F4918" s="12" t="inlineStr">
        <is>
          <t>RICE engine-generator 5</t>
        </is>
      </c>
      <c r="G4918" s="12" t="inlineStr">
        <is>
          <t>JB-RICE-5-AI03</t>
        </is>
      </c>
      <c r="H4918" s="12" t="inlineStr">
        <is>
          <t>RICE engine-generator 5</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20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I-I-0316</t>
        </is>
      </c>
      <c r="B4919" s="12" t="inlineStr">
        <is>
          <t>I</t>
        </is>
      </c>
      <c r="C4919" s="12" t="inlineStr">
        <is>
          <t>Modular / portable power</t>
        </is>
      </c>
      <c r="D4919" s="12" t="inlineStr">
        <is>
          <t>Home run JB-RICE-5-AI03 to the control / marshalling room</t>
        </is>
      </c>
      <c r="E4919" s="12" t="inlineStr"/>
      <c r="F4919" s="12" t="inlineStr">
        <is>
          <t>PCM: power control module</t>
        </is>
      </c>
      <c r="G4919" s="12" t="inlineStr">
        <is>
          <t>JB-RICE-5-AI03</t>
        </is>
      </c>
      <c r="H4919" s="12" t="inlineStr">
        <is>
          <t>RICE engine-generator 5</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5" t="n">
        <v>52</v>
      </c>
      <c r="U4919" s="15" t="n">
        <v>182</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I-I-0317</t>
        </is>
      </c>
      <c r="B4920" s="12" t="inlineStr">
        <is>
          <t>I</t>
        </is>
      </c>
      <c r="C4920" s="12" t="inlineStr">
        <is>
          <t>Modular / portable power</t>
        </is>
      </c>
      <c r="D4920" s="12" t="inlineStr">
        <is>
          <t>Analog instrument to JB JB-RICE-5-AI04: 20 x 1 pr (field cables)</t>
        </is>
      </c>
      <c r="E4920" s="12" t="inlineStr">
        <is>
          <t>RICE-5</t>
        </is>
      </c>
      <c r="F4920" s="12" t="inlineStr">
        <is>
          <t>RICE engine-generator 5</t>
        </is>
      </c>
      <c r="G4920" s="12" t="inlineStr">
        <is>
          <t>JB-RICE-5-AI04</t>
        </is>
      </c>
      <c r="H4920" s="12" t="inlineStr">
        <is>
          <t>RICE engine-generator 5</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20</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I-I-0318</t>
        </is>
      </c>
      <c r="B4921" s="12" t="inlineStr">
        <is>
          <t>I</t>
        </is>
      </c>
      <c r="C4921" s="12" t="inlineStr">
        <is>
          <t>Modular / portable power</t>
        </is>
      </c>
      <c r="D4921" s="12" t="inlineStr">
        <is>
          <t>Home run JB-RICE-5-AI04 to the control / marshalling room</t>
        </is>
      </c>
      <c r="E4921" s="12" t="inlineStr"/>
      <c r="F4921" s="12" t="inlineStr">
        <is>
          <t>PCM: power control module</t>
        </is>
      </c>
      <c r="G4921" s="12" t="inlineStr">
        <is>
          <t>JB-RICE-5-AI04</t>
        </is>
      </c>
      <c r="H4921" s="12" t="inlineStr">
        <is>
          <t>RICE engine-generator 5</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5" t="n">
        <v>52</v>
      </c>
      <c r="U4921" s="15" t="n">
        <v>182</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I-I-0319</t>
        </is>
      </c>
      <c r="B4922" s="12" t="inlineStr">
        <is>
          <t>I</t>
        </is>
      </c>
      <c r="C4922" s="12" t="inlineStr">
        <is>
          <t>Modular / portable power</t>
        </is>
      </c>
      <c r="D4922" s="12" t="inlineStr">
        <is>
          <t>Discrete device to JB JB-RICE-5-DI01: 20 x 1 pr (field cables)</t>
        </is>
      </c>
      <c r="E4922" s="12" t="inlineStr">
        <is>
          <t>RICE-5</t>
        </is>
      </c>
      <c r="F4922" s="12" t="inlineStr">
        <is>
          <t>RICE engine-generator 5</t>
        </is>
      </c>
      <c r="G4922" s="12" t="inlineStr">
        <is>
          <t>JB-RICE-5-DI01</t>
        </is>
      </c>
      <c r="H4922" s="12" t="inlineStr">
        <is>
          <t>RICE engine-generator 5</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I-I-0320</t>
        </is>
      </c>
      <c r="B4923" s="12" t="inlineStr">
        <is>
          <t>I</t>
        </is>
      </c>
      <c r="C4923" s="12" t="inlineStr">
        <is>
          <t>Modular / portable power</t>
        </is>
      </c>
      <c r="D4923" s="12" t="inlineStr">
        <is>
          <t>Home run JB-RICE-5-DI01 to the control / marshalling room</t>
        </is>
      </c>
      <c r="E4923" s="12" t="inlineStr"/>
      <c r="F4923" s="12" t="inlineStr">
        <is>
          <t>PCM: power control module</t>
        </is>
      </c>
      <c r="G4923" s="12" t="inlineStr">
        <is>
          <t>JB-RICE-5-DI01</t>
        </is>
      </c>
      <c r="H4923" s="12" t="inlineStr">
        <is>
          <t>RICE engine-generator 5</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5" t="n">
        <v>52</v>
      </c>
      <c r="U4923" s="15" t="n">
        <v>182</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I-I-0321</t>
        </is>
      </c>
      <c r="B4924" s="12" t="inlineStr">
        <is>
          <t>I</t>
        </is>
      </c>
      <c r="C4924" s="12" t="inlineStr">
        <is>
          <t>Modular / portable power</t>
        </is>
      </c>
      <c r="D4924" s="12" t="inlineStr">
        <is>
          <t>Discrete device to JB JB-RICE-5-DI02: 20 x 1 pr (field cables)</t>
        </is>
      </c>
      <c r="E4924" s="12" t="inlineStr">
        <is>
          <t>RICE-5</t>
        </is>
      </c>
      <c r="F4924" s="12" t="inlineStr">
        <is>
          <t>RICE engine-generator 5</t>
        </is>
      </c>
      <c r="G4924" s="12" t="inlineStr">
        <is>
          <t>JB-RICE-5-DI02</t>
        </is>
      </c>
      <c r="H4924" s="12" t="inlineStr">
        <is>
          <t>RICE engine-generator 5</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20</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I-I-0322</t>
        </is>
      </c>
      <c r="B4925" s="12" t="inlineStr">
        <is>
          <t>I</t>
        </is>
      </c>
      <c r="C4925" s="12" t="inlineStr">
        <is>
          <t>Modular / portable power</t>
        </is>
      </c>
      <c r="D4925" s="12" t="inlineStr">
        <is>
          <t>Home run JB-RICE-5-DI02 to the control / marshalling room</t>
        </is>
      </c>
      <c r="E4925" s="12" t="inlineStr"/>
      <c r="F4925" s="12" t="inlineStr">
        <is>
          <t>PCM: power control module</t>
        </is>
      </c>
      <c r="G4925" s="12" t="inlineStr">
        <is>
          <t>JB-RICE-5-DI02</t>
        </is>
      </c>
      <c r="H4925" s="12" t="inlineStr">
        <is>
          <t>RICE engine-generator 5</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Duct bank</t>
        </is>
      </c>
      <c r="T4925" s="15" t="n">
        <v>52</v>
      </c>
      <c r="U4925" s="15" t="n">
        <v>182</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I-I-0323</t>
        </is>
      </c>
      <c r="B4926" s="12" t="inlineStr">
        <is>
          <t>I</t>
        </is>
      </c>
      <c r="C4926" s="12" t="inlineStr">
        <is>
          <t>Modular / portable power</t>
        </is>
      </c>
      <c r="D4926" s="12" t="inlineStr">
        <is>
          <t>Discrete device to JB JB-RICE-5-DI03: 20 x 1 pr (field cables)</t>
        </is>
      </c>
      <c r="E4926" s="12" t="inlineStr">
        <is>
          <t>RICE-5</t>
        </is>
      </c>
      <c r="F4926" s="12" t="inlineStr">
        <is>
          <t>RICE engine-generator 5</t>
        </is>
      </c>
      <c r="G4926" s="12" t="inlineStr">
        <is>
          <t>JB-RICE-5-DI03</t>
        </is>
      </c>
      <c r="H4926" s="12" t="inlineStr">
        <is>
          <t>RICE engine-generator 5</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I-I-0324</t>
        </is>
      </c>
      <c r="B4927" s="12" t="inlineStr">
        <is>
          <t>I</t>
        </is>
      </c>
      <c r="C4927" s="12" t="inlineStr">
        <is>
          <t>Modular / portable power</t>
        </is>
      </c>
      <c r="D4927" s="12" t="inlineStr">
        <is>
          <t>Home run JB-RICE-5-DI03 to the control / marshalling room</t>
        </is>
      </c>
      <c r="E4927" s="12" t="inlineStr"/>
      <c r="F4927" s="12" t="inlineStr">
        <is>
          <t>PCM: power control module</t>
        </is>
      </c>
      <c r="G4927" s="12" t="inlineStr">
        <is>
          <t>JB-RICE-5-DI03</t>
        </is>
      </c>
      <c r="H4927" s="12" t="inlineStr">
        <is>
          <t>RICE engine-generator 5</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Duct bank</t>
        </is>
      </c>
      <c r="T4927" s="15" t="n">
        <v>52</v>
      </c>
      <c r="U4927" s="15" t="n">
        <v>182</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I-I-0325</t>
        </is>
      </c>
      <c r="B4928" s="12" t="inlineStr">
        <is>
          <t>I</t>
        </is>
      </c>
      <c r="C4928" s="12" t="inlineStr">
        <is>
          <t>Modular / portable power</t>
        </is>
      </c>
      <c r="D4928" s="12" t="inlineStr">
        <is>
          <t>Thermocouple to TC JB JB-RICE-5-TC01: 20 x 1 pr (field cables)</t>
        </is>
      </c>
      <c r="E4928" s="12" t="inlineStr">
        <is>
          <t>RICE-5</t>
        </is>
      </c>
      <c r="F4928" s="12" t="inlineStr">
        <is>
          <t>RICE engine-generator 5</t>
        </is>
      </c>
      <c r="G4928" s="12" t="inlineStr">
        <is>
          <t>JB-RICE-5-TC01</t>
        </is>
      </c>
      <c r="H4928" s="12" t="inlineStr">
        <is>
          <t>RICE engine-generator 5</t>
        </is>
      </c>
      <c r="I4928" s="12" t="inlineStr">
        <is>
          <t>Instrumentation</t>
        </is>
      </c>
      <c r="J4928" s="12" t="inlineStr">
        <is>
          <t>Thermocouple extension KX, #16 shielded pairs, PLTC</t>
        </is>
      </c>
      <c r="K4928" s="12" t="inlineStr">
        <is>
          <t>TCX|1 pr|16</t>
        </is>
      </c>
      <c r="L4928" s="12" t="inlineStr">
        <is>
          <t>1 pr</t>
        </is>
      </c>
      <c r="M4928" s="12" t="inlineStr">
        <is>
          <t>16</t>
        </is>
      </c>
      <c r="N4928" s="12" t="n">
        <v>20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I-I-0326</t>
        </is>
      </c>
      <c r="B4929" s="12" t="inlineStr">
        <is>
          <t>I</t>
        </is>
      </c>
      <c r="C4929" s="12" t="inlineStr">
        <is>
          <t>Modular / portable power</t>
        </is>
      </c>
      <c r="D4929" s="12" t="inlineStr">
        <is>
          <t>Home run JB-RICE-5-TC01 to the control / marshalling room</t>
        </is>
      </c>
      <c r="E4929" s="12" t="inlineStr"/>
      <c r="F4929" s="12" t="inlineStr">
        <is>
          <t>PCM: power control module</t>
        </is>
      </c>
      <c r="G4929" s="12" t="inlineStr">
        <is>
          <t>JB-RICE-5-TC01</t>
        </is>
      </c>
      <c r="H4929" s="12" t="inlineStr">
        <is>
          <t>RICE engine-generator 5</t>
        </is>
      </c>
      <c r="I4929" s="12" t="inlineStr">
        <is>
          <t>Instrumentation</t>
        </is>
      </c>
      <c r="J4929" s="12" t="inlineStr">
        <is>
          <t>Thermocouple extension KX, #16 shielded pairs, PLTC</t>
        </is>
      </c>
      <c r="K4929" s="12" t="inlineStr">
        <is>
          <t>TCX|24 pr|16</t>
        </is>
      </c>
      <c r="L4929" s="12" t="inlineStr">
        <is>
          <t>24 pr</t>
        </is>
      </c>
      <c r="M4929" s="12" t="inlineStr">
        <is>
          <t>16</t>
        </is>
      </c>
      <c r="N4929" s="12" t="n">
        <v>1</v>
      </c>
      <c r="O4929" s="12" t="n">
        <v>1</v>
      </c>
      <c r="P4929" s="12" t="n"/>
      <c r="Q4929" s="12" t="n"/>
      <c r="R4929" s="12" t="n"/>
      <c r="S4929" s="12" t="inlineStr">
        <is>
          <t>Duct bank</t>
        </is>
      </c>
      <c r="T4929" s="15" t="n">
        <v>52</v>
      </c>
      <c r="U4929" s="15" t="n">
        <v>182</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I-I-0327</t>
        </is>
      </c>
      <c r="B4930" s="12" t="inlineStr">
        <is>
          <t>I</t>
        </is>
      </c>
      <c r="C4930" s="12" t="inlineStr">
        <is>
          <t>Modular / portable power</t>
        </is>
      </c>
      <c r="D4930" s="12" t="inlineStr">
        <is>
          <t>Thermocouple to TC JB JB-RICE-5-TC02: 10 x 1 pr (field cables)</t>
        </is>
      </c>
      <c r="E4930" s="12" t="inlineStr">
        <is>
          <t>RICE-5</t>
        </is>
      </c>
      <c r="F4930" s="12" t="inlineStr">
        <is>
          <t>RICE engine-generator 5</t>
        </is>
      </c>
      <c r="G4930" s="12" t="inlineStr">
        <is>
          <t>JB-RICE-5-TC02</t>
        </is>
      </c>
      <c r="H4930" s="12" t="inlineStr">
        <is>
          <t>RICE engine-generator 5</t>
        </is>
      </c>
      <c r="I4930" s="12" t="inlineStr">
        <is>
          <t>Instrumentation</t>
        </is>
      </c>
      <c r="J4930" s="12" t="inlineStr">
        <is>
          <t>Thermocouple extension KX, #16 shielded pairs, PLTC</t>
        </is>
      </c>
      <c r="K4930" s="12" t="inlineStr">
        <is>
          <t>TCX|1 pr|16</t>
        </is>
      </c>
      <c r="L4930" s="12" t="inlineStr">
        <is>
          <t>1 pr</t>
        </is>
      </c>
      <c r="M4930" s="12" t="inlineStr">
        <is>
          <t>16</t>
        </is>
      </c>
      <c r="N4930" s="12" t="n">
        <v>10</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I-I-0328</t>
        </is>
      </c>
      <c r="B4931" s="12" t="inlineStr">
        <is>
          <t>I</t>
        </is>
      </c>
      <c r="C4931" s="12" t="inlineStr">
        <is>
          <t>Modular / portable power</t>
        </is>
      </c>
      <c r="D4931" s="12" t="inlineStr">
        <is>
          <t>Home run JB-RICE-5-TC02 to the control / marshalling room</t>
        </is>
      </c>
      <c r="E4931" s="12" t="inlineStr"/>
      <c r="F4931" s="12" t="inlineStr">
        <is>
          <t>PCM: power control module</t>
        </is>
      </c>
      <c r="G4931" s="12" t="inlineStr">
        <is>
          <t>JB-RICE-5-TC02</t>
        </is>
      </c>
      <c r="H4931" s="12" t="inlineStr">
        <is>
          <t>RICE engine-generator 5</t>
        </is>
      </c>
      <c r="I4931" s="12" t="inlineStr">
        <is>
          <t>Instrumentation</t>
        </is>
      </c>
      <c r="J4931" s="12" t="inlineStr">
        <is>
          <t>Thermocouple extension KX, #16 shielded pairs, PLTC</t>
        </is>
      </c>
      <c r="K4931" s="12" t="inlineStr">
        <is>
          <t>TCX|24 pr|16</t>
        </is>
      </c>
      <c r="L4931" s="12" t="inlineStr">
        <is>
          <t>24 pr</t>
        </is>
      </c>
      <c r="M4931" s="12" t="inlineStr">
        <is>
          <t>16</t>
        </is>
      </c>
      <c r="N4931" s="12" t="n">
        <v>1</v>
      </c>
      <c r="O4931" s="12" t="n">
        <v>1</v>
      </c>
      <c r="P4931" s="12" t="n"/>
      <c r="Q4931" s="12" t="n"/>
      <c r="R4931" s="12" t="n"/>
      <c r="S4931" s="12" t="inlineStr">
        <is>
          <t>Duct bank</t>
        </is>
      </c>
      <c r="T4931" s="15" t="n">
        <v>52</v>
      </c>
      <c r="U4931" s="15" t="n">
        <v>182</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I-I-0329</t>
        </is>
      </c>
      <c r="B4932" s="12" t="inlineStr">
        <is>
          <t>I</t>
        </is>
      </c>
      <c r="C4932" s="12" t="inlineStr">
        <is>
          <t>Modular / portable power</t>
        </is>
      </c>
      <c r="D4932" s="12" t="inlineStr">
        <is>
          <t>RTD to JB JB-RICE-5-RTD01: 10 x 1 tri (field cables)</t>
        </is>
      </c>
      <c r="E4932" s="12" t="inlineStr">
        <is>
          <t>RICE-5</t>
        </is>
      </c>
      <c r="F4932" s="12" t="inlineStr">
        <is>
          <t>RICE engine-generator 5</t>
        </is>
      </c>
      <c r="G4932" s="12" t="inlineStr">
        <is>
          <t>JB-RICE-5-RTD01</t>
        </is>
      </c>
      <c r="H4932" s="12" t="inlineStr">
        <is>
          <t>RICE engine-generator 5</t>
        </is>
      </c>
      <c r="I4932" s="12" t="inlineStr">
        <is>
          <t>Instrumentation</t>
        </is>
      </c>
      <c r="J4932" s="12" t="inlineStr">
        <is>
          <t>RTD cable, #18 shielded triads, PLTC</t>
        </is>
      </c>
      <c r="K4932" s="12" t="inlineStr">
        <is>
          <t>RTD|1 tri|18</t>
        </is>
      </c>
      <c r="L4932" s="12" t="inlineStr">
        <is>
          <t>1 tri</t>
        </is>
      </c>
      <c r="M4932" s="12" t="inlineStr">
        <is>
          <t>18</t>
        </is>
      </c>
      <c r="N4932" s="12" t="n">
        <v>10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I-I-0330</t>
        </is>
      </c>
      <c r="B4933" s="12" t="inlineStr">
        <is>
          <t>I</t>
        </is>
      </c>
      <c r="C4933" s="12" t="inlineStr">
        <is>
          <t>Modular / portable power</t>
        </is>
      </c>
      <c r="D4933" s="12" t="inlineStr">
        <is>
          <t>Home run JB-RICE-5-RTD01 to the control / marshalling room</t>
        </is>
      </c>
      <c r="E4933" s="12" t="inlineStr"/>
      <c r="F4933" s="12" t="inlineStr">
        <is>
          <t>PCM: power control module</t>
        </is>
      </c>
      <c r="G4933" s="12" t="inlineStr">
        <is>
          <t>JB-RICE-5-RTD01</t>
        </is>
      </c>
      <c r="H4933" s="12" t="inlineStr">
        <is>
          <t>RICE engine-generator 5</t>
        </is>
      </c>
      <c r="I4933" s="12" t="inlineStr">
        <is>
          <t>Instrumentation</t>
        </is>
      </c>
      <c r="J4933" s="12" t="inlineStr">
        <is>
          <t>RTD cable, #18 shielded triads, PLTC</t>
        </is>
      </c>
      <c r="K4933" s="12" t="inlineStr">
        <is>
          <t>RTD|12 tri|18</t>
        </is>
      </c>
      <c r="L4933" s="12" t="inlineStr">
        <is>
          <t>12 tri</t>
        </is>
      </c>
      <c r="M4933" s="12" t="inlineStr">
        <is>
          <t>18</t>
        </is>
      </c>
      <c r="N4933" s="12" t="n">
        <v>1</v>
      </c>
      <c r="O4933" s="12" t="n">
        <v>1</v>
      </c>
      <c r="P4933" s="12" t="n"/>
      <c r="Q4933" s="12" t="n"/>
      <c r="R4933" s="12" t="n"/>
      <c r="S4933" s="12" t="inlineStr">
        <is>
          <t>Duct bank</t>
        </is>
      </c>
      <c r="T4933" s="15" t="n">
        <v>52</v>
      </c>
      <c r="U4933" s="15" t="n">
        <v>182</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I-I-0331</t>
        </is>
      </c>
      <c r="B4934" s="12" t="inlineStr">
        <is>
          <t>I</t>
        </is>
      </c>
      <c r="C4934" s="12" t="inlineStr">
        <is>
          <t>Modular / portable power</t>
        </is>
      </c>
      <c r="D4934" s="12" t="inlineStr">
        <is>
          <t>RTD to JB JB-RICE-5-RTD02: 2 x 1 tri (field cables)</t>
        </is>
      </c>
      <c r="E4934" s="12" t="inlineStr">
        <is>
          <t>RICE-5</t>
        </is>
      </c>
      <c r="F4934" s="12" t="inlineStr">
        <is>
          <t>RICE engine-generator 5</t>
        </is>
      </c>
      <c r="G4934" s="12" t="inlineStr">
        <is>
          <t>JB-RICE-5-RTD02</t>
        </is>
      </c>
      <c r="H4934" s="12" t="inlineStr">
        <is>
          <t>RICE engine-generator 5</t>
        </is>
      </c>
      <c r="I4934" s="12" t="inlineStr">
        <is>
          <t>Instrumentation</t>
        </is>
      </c>
      <c r="J4934" s="12" t="inlineStr">
        <is>
          <t>RTD cable, #18 shielded triads, PLTC</t>
        </is>
      </c>
      <c r="K4934" s="12" t="inlineStr">
        <is>
          <t>RTD|1 tri|18</t>
        </is>
      </c>
      <c r="L4934" s="12" t="inlineStr">
        <is>
          <t>1 tri</t>
        </is>
      </c>
      <c r="M4934" s="12" t="inlineStr">
        <is>
          <t>18</t>
        </is>
      </c>
      <c r="N4934" s="12" t="n">
        <v>2</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I-I-0332</t>
        </is>
      </c>
      <c r="B4935" s="12" t="inlineStr">
        <is>
          <t>I</t>
        </is>
      </c>
      <c r="C4935" s="12" t="inlineStr">
        <is>
          <t>Modular / portable power</t>
        </is>
      </c>
      <c r="D4935" s="12" t="inlineStr">
        <is>
          <t>Home run JB-RICE-5-RTD02 to the control / marshalling room</t>
        </is>
      </c>
      <c r="E4935" s="12" t="inlineStr"/>
      <c r="F4935" s="12" t="inlineStr">
        <is>
          <t>PCM: power control module</t>
        </is>
      </c>
      <c r="G4935" s="12" t="inlineStr">
        <is>
          <t>JB-RICE-5-RTD02</t>
        </is>
      </c>
      <c r="H4935" s="12" t="inlineStr">
        <is>
          <t>RICE engine-generator 5</t>
        </is>
      </c>
      <c r="I4935" s="12" t="inlineStr">
        <is>
          <t>Instrumentation</t>
        </is>
      </c>
      <c r="J4935" s="12" t="inlineStr">
        <is>
          <t>RTD cable, #18 shielded triads, PLTC</t>
        </is>
      </c>
      <c r="K4935" s="12" t="inlineStr">
        <is>
          <t>RTD|12 tri|18</t>
        </is>
      </c>
      <c r="L4935" s="12" t="inlineStr">
        <is>
          <t>12 tri</t>
        </is>
      </c>
      <c r="M4935" s="12" t="inlineStr">
        <is>
          <t>18</t>
        </is>
      </c>
      <c r="N4935" s="12" t="n">
        <v>1</v>
      </c>
      <c r="O4935" s="12" t="n">
        <v>1</v>
      </c>
      <c r="P4935" s="12" t="n"/>
      <c r="Q4935" s="12" t="n"/>
      <c r="R4935" s="12" t="n"/>
      <c r="S4935" s="12" t="inlineStr">
        <is>
          <t>Duct bank</t>
        </is>
      </c>
      <c r="T4935" s="15" t="n">
        <v>52</v>
      </c>
      <c r="U4935" s="15" t="n">
        <v>182</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I-I-0333</t>
        </is>
      </c>
      <c r="B4936" s="12" t="inlineStr">
        <is>
          <t>I</t>
        </is>
      </c>
      <c r="C4936" s="12" t="inlineStr">
        <is>
          <t>Modular / portable power</t>
        </is>
      </c>
      <c r="D4936" s="12" t="inlineStr">
        <is>
          <t>Analog instrument to JB JB-RICE-6-AI01: 20 x 1 pr (field cables)</t>
        </is>
      </c>
      <c r="E4936" s="12" t="inlineStr">
        <is>
          <t>RICE-6</t>
        </is>
      </c>
      <c r="F4936" s="12" t="inlineStr">
        <is>
          <t>RICE engine-generator 6</t>
        </is>
      </c>
      <c r="G4936" s="12" t="inlineStr">
        <is>
          <t>JB-RICE-6-AI01</t>
        </is>
      </c>
      <c r="H4936" s="12" t="inlineStr">
        <is>
          <t>RICE engine-generator 6</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I-I-0334</t>
        </is>
      </c>
      <c r="B4937" s="12" t="inlineStr">
        <is>
          <t>I</t>
        </is>
      </c>
      <c r="C4937" s="12" t="inlineStr">
        <is>
          <t>Modular / portable power</t>
        </is>
      </c>
      <c r="D4937" s="12" t="inlineStr">
        <is>
          <t>Home run JB-RICE-6-AI01 to the control / marshalling room</t>
        </is>
      </c>
      <c r="E4937" s="12" t="inlineStr"/>
      <c r="F4937" s="12" t="inlineStr">
        <is>
          <t>PCM: power control module</t>
        </is>
      </c>
      <c r="G4937" s="12" t="inlineStr">
        <is>
          <t>JB-RICE-6-AI01</t>
        </is>
      </c>
      <c r="H4937" s="12" t="inlineStr">
        <is>
          <t>RICE engine-generator 6</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Duct bank</t>
        </is>
      </c>
      <c r="T4937" s="15" t="n">
        <v>52</v>
      </c>
      <c r="U4937" s="15" t="n">
        <v>154</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I-I-0335</t>
        </is>
      </c>
      <c r="B4938" s="12" t="inlineStr">
        <is>
          <t>I</t>
        </is>
      </c>
      <c r="C4938" s="12" t="inlineStr">
        <is>
          <t>Modular / portable power</t>
        </is>
      </c>
      <c r="D4938" s="12" t="inlineStr">
        <is>
          <t>Analog instrument to JB JB-RICE-6-AI02: 20 x 1 pr (field cables)</t>
        </is>
      </c>
      <c r="E4938" s="12" t="inlineStr">
        <is>
          <t>RICE-6</t>
        </is>
      </c>
      <c r="F4938" s="12" t="inlineStr">
        <is>
          <t>RICE engine-generator 6</t>
        </is>
      </c>
      <c r="G4938" s="12" t="inlineStr">
        <is>
          <t>JB-RICE-6-AI02</t>
        </is>
      </c>
      <c r="H4938" s="12" t="inlineStr">
        <is>
          <t>RICE engine-generator 6</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I-I-0336</t>
        </is>
      </c>
      <c r="B4939" s="12" t="inlineStr">
        <is>
          <t>I</t>
        </is>
      </c>
      <c r="C4939" s="12" t="inlineStr">
        <is>
          <t>Modular / portable power</t>
        </is>
      </c>
      <c r="D4939" s="12" t="inlineStr">
        <is>
          <t>Home run JB-RICE-6-AI02 to the control / marshalling room</t>
        </is>
      </c>
      <c r="E4939" s="12" t="inlineStr"/>
      <c r="F4939" s="12" t="inlineStr">
        <is>
          <t>PCM: power control module</t>
        </is>
      </c>
      <c r="G4939" s="12" t="inlineStr">
        <is>
          <t>JB-RICE-6-AI02</t>
        </is>
      </c>
      <c r="H4939" s="12" t="inlineStr">
        <is>
          <t>RICE engine-generator 6</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5" t="n">
        <v>52</v>
      </c>
      <c r="U4939" s="15" t="n">
        <v>154</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I-I-0337</t>
        </is>
      </c>
      <c r="B4940" s="12" t="inlineStr">
        <is>
          <t>I</t>
        </is>
      </c>
      <c r="C4940" s="12" t="inlineStr">
        <is>
          <t>Modular / portable power</t>
        </is>
      </c>
      <c r="D4940" s="12" t="inlineStr">
        <is>
          <t>Analog instrument to JB JB-RICE-6-AI03: 20 x 1 pr (field cables)</t>
        </is>
      </c>
      <c r="E4940" s="12" t="inlineStr">
        <is>
          <t>RICE-6</t>
        </is>
      </c>
      <c r="F4940" s="12" t="inlineStr">
        <is>
          <t>RICE engine-generator 6</t>
        </is>
      </c>
      <c r="G4940" s="12" t="inlineStr">
        <is>
          <t>JB-RICE-6-AI03</t>
        </is>
      </c>
      <c r="H4940" s="12" t="inlineStr">
        <is>
          <t>RICE engine-generator 6</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I-I-0338</t>
        </is>
      </c>
      <c r="B4941" s="12" t="inlineStr">
        <is>
          <t>I</t>
        </is>
      </c>
      <c r="C4941" s="12" t="inlineStr">
        <is>
          <t>Modular / portable power</t>
        </is>
      </c>
      <c r="D4941" s="12" t="inlineStr">
        <is>
          <t>Home run JB-RICE-6-AI03 to the control / marshalling room</t>
        </is>
      </c>
      <c r="E4941" s="12" t="inlineStr"/>
      <c r="F4941" s="12" t="inlineStr">
        <is>
          <t>PCM: power control module</t>
        </is>
      </c>
      <c r="G4941" s="12" t="inlineStr">
        <is>
          <t>JB-RICE-6-AI03</t>
        </is>
      </c>
      <c r="H4941" s="12" t="inlineStr">
        <is>
          <t>RICE engine-generator 6</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Duct bank</t>
        </is>
      </c>
      <c r="T4941" s="15" t="n">
        <v>52</v>
      </c>
      <c r="U4941" s="15" t="n">
        <v>154</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I-I-0339</t>
        </is>
      </c>
      <c r="B4942" s="12" t="inlineStr">
        <is>
          <t>I</t>
        </is>
      </c>
      <c r="C4942" s="12" t="inlineStr">
        <is>
          <t>Modular / portable power</t>
        </is>
      </c>
      <c r="D4942" s="12" t="inlineStr">
        <is>
          <t>Analog instrument to JB JB-RICE-6-AI04: 20 x 1 pr (field cables)</t>
        </is>
      </c>
      <c r="E4942" s="12" t="inlineStr">
        <is>
          <t>RICE-6</t>
        </is>
      </c>
      <c r="F4942" s="12" t="inlineStr">
        <is>
          <t>RICE engine-generator 6</t>
        </is>
      </c>
      <c r="G4942" s="12" t="inlineStr">
        <is>
          <t>JB-RICE-6-AI04</t>
        </is>
      </c>
      <c r="H4942" s="12" t="inlineStr">
        <is>
          <t>RICE engine-generator 6</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I-I-0340</t>
        </is>
      </c>
      <c r="B4943" s="12" t="inlineStr">
        <is>
          <t>I</t>
        </is>
      </c>
      <c r="C4943" s="12" t="inlineStr">
        <is>
          <t>Modular / portable power</t>
        </is>
      </c>
      <c r="D4943" s="12" t="inlineStr">
        <is>
          <t>Home run JB-RICE-6-AI04 to the control / marshalling room</t>
        </is>
      </c>
      <c r="E4943" s="12" t="inlineStr"/>
      <c r="F4943" s="12" t="inlineStr">
        <is>
          <t>PCM: power control module</t>
        </is>
      </c>
      <c r="G4943" s="12" t="inlineStr">
        <is>
          <t>JB-RICE-6-AI04</t>
        </is>
      </c>
      <c r="H4943" s="12" t="inlineStr">
        <is>
          <t>RICE engine-generator 6</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Duct bank</t>
        </is>
      </c>
      <c r="T4943" s="15" t="n">
        <v>52</v>
      </c>
      <c r="U4943" s="15" t="n">
        <v>154</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I-I-0341</t>
        </is>
      </c>
      <c r="B4944" s="12" t="inlineStr">
        <is>
          <t>I</t>
        </is>
      </c>
      <c r="C4944" s="12" t="inlineStr">
        <is>
          <t>Modular / portable power</t>
        </is>
      </c>
      <c r="D4944" s="12" t="inlineStr">
        <is>
          <t>Discrete device to JB JB-RICE-6-DI01: 20 x 1 pr (field cables)</t>
        </is>
      </c>
      <c r="E4944" s="12" t="inlineStr">
        <is>
          <t>RICE-6</t>
        </is>
      </c>
      <c r="F4944" s="12" t="inlineStr">
        <is>
          <t>RICE engine-generator 6</t>
        </is>
      </c>
      <c r="G4944" s="12" t="inlineStr">
        <is>
          <t>JB-RICE-6-DI01</t>
        </is>
      </c>
      <c r="H4944" s="12" t="inlineStr">
        <is>
          <t>RICE engine-generator 6</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I-I-0342</t>
        </is>
      </c>
      <c r="B4945" s="12" t="inlineStr">
        <is>
          <t>I</t>
        </is>
      </c>
      <c r="C4945" s="12" t="inlineStr">
        <is>
          <t>Modular / portable power</t>
        </is>
      </c>
      <c r="D4945" s="12" t="inlineStr">
        <is>
          <t>Home run JB-RICE-6-DI01 to the control / marshalling room</t>
        </is>
      </c>
      <c r="E4945" s="12" t="inlineStr"/>
      <c r="F4945" s="12" t="inlineStr">
        <is>
          <t>PCM: power control module</t>
        </is>
      </c>
      <c r="G4945" s="12" t="inlineStr">
        <is>
          <t>JB-RICE-6-DI01</t>
        </is>
      </c>
      <c r="H4945" s="12" t="inlineStr">
        <is>
          <t>RICE engine-generator 6</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Duct bank</t>
        </is>
      </c>
      <c r="T4945" s="15" t="n">
        <v>52</v>
      </c>
      <c r="U4945" s="15" t="n">
        <v>154</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I-I-0343</t>
        </is>
      </c>
      <c r="B4946" s="12" t="inlineStr">
        <is>
          <t>I</t>
        </is>
      </c>
      <c r="C4946" s="12" t="inlineStr">
        <is>
          <t>Modular / portable power</t>
        </is>
      </c>
      <c r="D4946" s="12" t="inlineStr">
        <is>
          <t>Discrete device to JB JB-RICE-6-DI02: 20 x 1 pr (field cables)</t>
        </is>
      </c>
      <c r="E4946" s="12" t="inlineStr">
        <is>
          <t>RICE-6</t>
        </is>
      </c>
      <c r="F4946" s="12" t="inlineStr">
        <is>
          <t>RICE engine-generator 6</t>
        </is>
      </c>
      <c r="G4946" s="12" t="inlineStr">
        <is>
          <t>JB-RICE-6-DI02</t>
        </is>
      </c>
      <c r="H4946" s="12" t="inlineStr">
        <is>
          <t>RICE engine-generator 6</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I-I-0344</t>
        </is>
      </c>
      <c r="B4947" s="12" t="inlineStr">
        <is>
          <t>I</t>
        </is>
      </c>
      <c r="C4947" s="12" t="inlineStr">
        <is>
          <t>Modular / portable power</t>
        </is>
      </c>
      <c r="D4947" s="12" t="inlineStr">
        <is>
          <t>Home run JB-RICE-6-DI02 to the control / marshalling room</t>
        </is>
      </c>
      <c r="E4947" s="12" t="inlineStr"/>
      <c r="F4947" s="12" t="inlineStr">
        <is>
          <t>PCM: power control module</t>
        </is>
      </c>
      <c r="G4947" s="12" t="inlineStr">
        <is>
          <t>JB-RICE-6-DI02</t>
        </is>
      </c>
      <c r="H4947" s="12" t="inlineStr">
        <is>
          <t>RICE engine-generator 6</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Duct bank</t>
        </is>
      </c>
      <c r="T4947" s="15" t="n">
        <v>52</v>
      </c>
      <c r="U4947" s="15" t="n">
        <v>154</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I-I-0345</t>
        </is>
      </c>
      <c r="B4948" s="12" t="inlineStr">
        <is>
          <t>I</t>
        </is>
      </c>
      <c r="C4948" s="12" t="inlineStr">
        <is>
          <t>Modular / portable power</t>
        </is>
      </c>
      <c r="D4948" s="12" t="inlineStr">
        <is>
          <t>Discrete device to JB JB-RICE-6-DI03: 20 x 1 pr (field cables)</t>
        </is>
      </c>
      <c r="E4948" s="12" t="inlineStr">
        <is>
          <t>RICE-6</t>
        </is>
      </c>
      <c r="F4948" s="12" t="inlineStr">
        <is>
          <t>RICE engine-generator 6</t>
        </is>
      </c>
      <c r="G4948" s="12" t="inlineStr">
        <is>
          <t>JB-RICE-6-DI03</t>
        </is>
      </c>
      <c r="H4948" s="12" t="inlineStr">
        <is>
          <t>RICE engine-generator 6</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I-I-0346</t>
        </is>
      </c>
      <c r="B4949" s="12" t="inlineStr">
        <is>
          <t>I</t>
        </is>
      </c>
      <c r="C4949" s="12" t="inlineStr">
        <is>
          <t>Modular / portable power</t>
        </is>
      </c>
      <c r="D4949" s="12" t="inlineStr">
        <is>
          <t>Home run JB-RICE-6-DI03 to the control / marshalling room</t>
        </is>
      </c>
      <c r="E4949" s="12" t="inlineStr"/>
      <c r="F4949" s="12" t="inlineStr">
        <is>
          <t>PCM: power control module</t>
        </is>
      </c>
      <c r="G4949" s="12" t="inlineStr">
        <is>
          <t>JB-RICE-6-DI03</t>
        </is>
      </c>
      <c r="H4949" s="12" t="inlineStr">
        <is>
          <t>RICE engine-generator 6</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Duct bank</t>
        </is>
      </c>
      <c r="T4949" s="15" t="n">
        <v>52</v>
      </c>
      <c r="U4949" s="15" t="n">
        <v>154</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I-I-0347</t>
        </is>
      </c>
      <c r="B4950" s="12" t="inlineStr">
        <is>
          <t>I</t>
        </is>
      </c>
      <c r="C4950" s="12" t="inlineStr">
        <is>
          <t>Modular / portable power</t>
        </is>
      </c>
      <c r="D4950" s="12" t="inlineStr">
        <is>
          <t>Thermocouple to TC JB JB-RICE-6-TC01: 20 x 1 pr (field cables)</t>
        </is>
      </c>
      <c r="E4950" s="12" t="inlineStr">
        <is>
          <t>RICE-6</t>
        </is>
      </c>
      <c r="F4950" s="12" t="inlineStr">
        <is>
          <t>RICE engine-generator 6</t>
        </is>
      </c>
      <c r="G4950" s="12" t="inlineStr">
        <is>
          <t>JB-RICE-6-TC01</t>
        </is>
      </c>
      <c r="H4950" s="12" t="inlineStr">
        <is>
          <t>RICE engine-generator 6</t>
        </is>
      </c>
      <c r="I4950" s="12" t="inlineStr">
        <is>
          <t>Instrumentation</t>
        </is>
      </c>
      <c r="J4950" s="12" t="inlineStr">
        <is>
          <t>Thermocouple extension KX, #16 shielded pairs, PLTC</t>
        </is>
      </c>
      <c r="K4950" s="12" t="inlineStr">
        <is>
          <t>TCX|1 pr|16</t>
        </is>
      </c>
      <c r="L4950" s="12" t="inlineStr">
        <is>
          <t>1 pr</t>
        </is>
      </c>
      <c r="M4950" s="12" t="inlineStr">
        <is>
          <t>16</t>
        </is>
      </c>
      <c r="N4950" s="12" t="n">
        <v>20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I-I-0348</t>
        </is>
      </c>
      <c r="B4951" s="12" t="inlineStr">
        <is>
          <t>I</t>
        </is>
      </c>
      <c r="C4951" s="12" t="inlineStr">
        <is>
          <t>Modular / portable power</t>
        </is>
      </c>
      <c r="D4951" s="12" t="inlineStr">
        <is>
          <t>Home run JB-RICE-6-TC01 to the control / marshalling room</t>
        </is>
      </c>
      <c r="E4951" s="12" t="inlineStr"/>
      <c r="F4951" s="12" t="inlineStr">
        <is>
          <t>PCM: power control module</t>
        </is>
      </c>
      <c r="G4951" s="12" t="inlineStr">
        <is>
          <t>JB-RICE-6-TC01</t>
        </is>
      </c>
      <c r="H4951" s="12" t="inlineStr">
        <is>
          <t>RICE engine-generator 6</t>
        </is>
      </c>
      <c r="I4951" s="12" t="inlineStr">
        <is>
          <t>Instrumentation</t>
        </is>
      </c>
      <c r="J4951" s="12" t="inlineStr">
        <is>
          <t>Thermocouple extension KX, #16 shielded pairs, PLTC</t>
        </is>
      </c>
      <c r="K4951" s="12" t="inlineStr">
        <is>
          <t>TCX|24 pr|16</t>
        </is>
      </c>
      <c r="L4951" s="12" t="inlineStr">
        <is>
          <t>24 pr</t>
        </is>
      </c>
      <c r="M4951" s="12" t="inlineStr">
        <is>
          <t>16</t>
        </is>
      </c>
      <c r="N4951" s="12" t="n">
        <v>1</v>
      </c>
      <c r="O4951" s="12" t="n">
        <v>1</v>
      </c>
      <c r="P4951" s="12" t="n"/>
      <c r="Q4951" s="12" t="n"/>
      <c r="R4951" s="12" t="n"/>
      <c r="S4951" s="12" t="inlineStr">
        <is>
          <t>Duct bank</t>
        </is>
      </c>
      <c r="T4951" s="15" t="n">
        <v>52</v>
      </c>
      <c r="U4951" s="15" t="n">
        <v>154</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I-I-0349</t>
        </is>
      </c>
      <c r="B4952" s="12" t="inlineStr">
        <is>
          <t>I</t>
        </is>
      </c>
      <c r="C4952" s="12" t="inlineStr">
        <is>
          <t>Modular / portable power</t>
        </is>
      </c>
      <c r="D4952" s="12" t="inlineStr">
        <is>
          <t>Thermocouple to TC JB JB-RICE-6-TC02: 10 x 1 pr (field cables)</t>
        </is>
      </c>
      <c r="E4952" s="12" t="inlineStr">
        <is>
          <t>RICE-6</t>
        </is>
      </c>
      <c r="F4952" s="12" t="inlineStr">
        <is>
          <t>RICE engine-generator 6</t>
        </is>
      </c>
      <c r="G4952" s="12" t="inlineStr">
        <is>
          <t>JB-RICE-6-TC02</t>
        </is>
      </c>
      <c r="H4952" s="12" t="inlineStr">
        <is>
          <t>RICE engine-generator 6</t>
        </is>
      </c>
      <c r="I4952" s="12" t="inlineStr">
        <is>
          <t>Instrumentation</t>
        </is>
      </c>
      <c r="J4952" s="12" t="inlineStr">
        <is>
          <t>Thermocouple extension KX, #16 shielded pairs, PLTC</t>
        </is>
      </c>
      <c r="K4952" s="12" t="inlineStr">
        <is>
          <t>TCX|1 pr|16</t>
        </is>
      </c>
      <c r="L4952" s="12" t="inlineStr">
        <is>
          <t>1 pr</t>
        </is>
      </c>
      <c r="M4952" s="12" t="inlineStr">
        <is>
          <t>16</t>
        </is>
      </c>
      <c r="N4952" s="12" t="n">
        <v>10</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I-I-0350</t>
        </is>
      </c>
      <c r="B4953" s="12" t="inlineStr">
        <is>
          <t>I</t>
        </is>
      </c>
      <c r="C4953" s="12" t="inlineStr">
        <is>
          <t>Modular / portable power</t>
        </is>
      </c>
      <c r="D4953" s="12" t="inlineStr">
        <is>
          <t>Home run JB-RICE-6-TC02 to the control / marshalling room</t>
        </is>
      </c>
      <c r="E4953" s="12" t="inlineStr"/>
      <c r="F4953" s="12" t="inlineStr">
        <is>
          <t>PCM: power control module</t>
        </is>
      </c>
      <c r="G4953" s="12" t="inlineStr">
        <is>
          <t>JB-RICE-6-TC02</t>
        </is>
      </c>
      <c r="H4953" s="12" t="inlineStr">
        <is>
          <t>RICE engine-generator 6</t>
        </is>
      </c>
      <c r="I4953" s="12" t="inlineStr">
        <is>
          <t>Instrumentation</t>
        </is>
      </c>
      <c r="J4953" s="12" t="inlineStr">
        <is>
          <t>Thermocouple extension KX, #16 shielded pairs, PLTC</t>
        </is>
      </c>
      <c r="K4953" s="12" t="inlineStr">
        <is>
          <t>TCX|24 pr|16</t>
        </is>
      </c>
      <c r="L4953" s="12" t="inlineStr">
        <is>
          <t>24 pr</t>
        </is>
      </c>
      <c r="M4953" s="12" t="inlineStr">
        <is>
          <t>16</t>
        </is>
      </c>
      <c r="N4953" s="12" t="n">
        <v>1</v>
      </c>
      <c r="O4953" s="12" t="n">
        <v>1</v>
      </c>
      <c r="P4953" s="12" t="n"/>
      <c r="Q4953" s="12" t="n"/>
      <c r="R4953" s="12" t="n"/>
      <c r="S4953" s="12" t="inlineStr">
        <is>
          <t>Duct bank</t>
        </is>
      </c>
      <c r="T4953" s="15" t="n">
        <v>52</v>
      </c>
      <c r="U4953" s="15" t="n">
        <v>154</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I-I-0351</t>
        </is>
      </c>
      <c r="B4954" s="12" t="inlineStr">
        <is>
          <t>I</t>
        </is>
      </c>
      <c r="C4954" s="12" t="inlineStr">
        <is>
          <t>Modular / portable power</t>
        </is>
      </c>
      <c r="D4954" s="12" t="inlineStr">
        <is>
          <t>RTD to JB JB-RICE-6-RTD01: 10 x 1 tri (field cables)</t>
        </is>
      </c>
      <c r="E4954" s="12" t="inlineStr">
        <is>
          <t>RICE-6</t>
        </is>
      </c>
      <c r="F4954" s="12" t="inlineStr">
        <is>
          <t>RICE engine-generator 6</t>
        </is>
      </c>
      <c r="G4954" s="12" t="inlineStr">
        <is>
          <t>JB-RICE-6-RTD01</t>
        </is>
      </c>
      <c r="H4954" s="12" t="inlineStr">
        <is>
          <t>RICE engine-generator 6</t>
        </is>
      </c>
      <c r="I4954" s="12" t="inlineStr">
        <is>
          <t>Instrumentation</t>
        </is>
      </c>
      <c r="J4954" s="12" t="inlineStr">
        <is>
          <t>RTD cable, #18 shielded triads, PLTC</t>
        </is>
      </c>
      <c r="K4954" s="12" t="inlineStr">
        <is>
          <t>RTD|1 tri|18</t>
        </is>
      </c>
      <c r="L4954" s="12" t="inlineStr">
        <is>
          <t>1 tri</t>
        </is>
      </c>
      <c r="M4954" s="12" t="inlineStr">
        <is>
          <t>18</t>
        </is>
      </c>
      <c r="N4954" s="12" t="n">
        <v>10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I-I-0352</t>
        </is>
      </c>
      <c r="B4955" s="12" t="inlineStr">
        <is>
          <t>I</t>
        </is>
      </c>
      <c r="C4955" s="12" t="inlineStr">
        <is>
          <t>Modular / portable power</t>
        </is>
      </c>
      <c r="D4955" s="12" t="inlineStr">
        <is>
          <t>Home run JB-RICE-6-RTD01 to the control / marshalling room</t>
        </is>
      </c>
      <c r="E4955" s="12" t="inlineStr"/>
      <c r="F4955" s="12" t="inlineStr">
        <is>
          <t>PCM: power control module</t>
        </is>
      </c>
      <c r="G4955" s="12" t="inlineStr">
        <is>
          <t>JB-RICE-6-RTD01</t>
        </is>
      </c>
      <c r="H4955" s="12" t="inlineStr">
        <is>
          <t>RICE engine-generator 6</t>
        </is>
      </c>
      <c r="I4955" s="12" t="inlineStr">
        <is>
          <t>Instrumentation</t>
        </is>
      </c>
      <c r="J4955" s="12" t="inlineStr">
        <is>
          <t>RTD cable, #18 shielded triads, PLTC</t>
        </is>
      </c>
      <c r="K4955" s="12" t="inlineStr">
        <is>
          <t>RTD|12 tri|18</t>
        </is>
      </c>
      <c r="L4955" s="12" t="inlineStr">
        <is>
          <t>12 tri</t>
        </is>
      </c>
      <c r="M4955" s="12" t="inlineStr">
        <is>
          <t>18</t>
        </is>
      </c>
      <c r="N4955" s="12" t="n">
        <v>1</v>
      </c>
      <c r="O4955" s="12" t="n">
        <v>1</v>
      </c>
      <c r="P4955" s="12" t="n"/>
      <c r="Q4955" s="12" t="n"/>
      <c r="R4955" s="12" t="n"/>
      <c r="S4955" s="12" t="inlineStr">
        <is>
          <t>Duct bank</t>
        </is>
      </c>
      <c r="T4955" s="15" t="n">
        <v>52</v>
      </c>
      <c r="U4955" s="15" t="n">
        <v>154</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I-I-0353</t>
        </is>
      </c>
      <c r="B4956" s="12" t="inlineStr">
        <is>
          <t>I</t>
        </is>
      </c>
      <c r="C4956" s="12" t="inlineStr">
        <is>
          <t>Modular / portable power</t>
        </is>
      </c>
      <c r="D4956" s="12" t="inlineStr">
        <is>
          <t>RTD to JB JB-RICE-6-RTD02: 2 x 1 tri (field cables)</t>
        </is>
      </c>
      <c r="E4956" s="12" t="inlineStr">
        <is>
          <t>RICE-6</t>
        </is>
      </c>
      <c r="F4956" s="12" t="inlineStr">
        <is>
          <t>RICE engine-generator 6</t>
        </is>
      </c>
      <c r="G4956" s="12" t="inlineStr">
        <is>
          <t>JB-RICE-6-RTD02</t>
        </is>
      </c>
      <c r="H4956" s="12" t="inlineStr">
        <is>
          <t>RICE engine-generator 6</t>
        </is>
      </c>
      <c r="I4956" s="12" t="inlineStr">
        <is>
          <t>Instrumentation</t>
        </is>
      </c>
      <c r="J4956" s="12" t="inlineStr">
        <is>
          <t>RTD cable, #18 shielded triads, PLTC</t>
        </is>
      </c>
      <c r="K4956" s="12" t="inlineStr">
        <is>
          <t>RTD|1 tri|18</t>
        </is>
      </c>
      <c r="L4956" s="12" t="inlineStr">
        <is>
          <t>1 tri</t>
        </is>
      </c>
      <c r="M4956" s="12" t="inlineStr">
        <is>
          <t>18</t>
        </is>
      </c>
      <c r="N4956" s="12" t="n">
        <v>2</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I-I-0354</t>
        </is>
      </c>
      <c r="B4957" s="12" t="inlineStr">
        <is>
          <t>I</t>
        </is>
      </c>
      <c r="C4957" s="12" t="inlineStr">
        <is>
          <t>Modular / portable power</t>
        </is>
      </c>
      <c r="D4957" s="12" t="inlineStr">
        <is>
          <t>Home run JB-RICE-6-RTD02 to the control / marshalling room</t>
        </is>
      </c>
      <c r="E4957" s="12" t="inlineStr"/>
      <c r="F4957" s="12" t="inlineStr">
        <is>
          <t>PCM: power control module</t>
        </is>
      </c>
      <c r="G4957" s="12" t="inlineStr">
        <is>
          <t>JB-RICE-6-RTD02</t>
        </is>
      </c>
      <c r="H4957" s="12" t="inlineStr">
        <is>
          <t>RICE engine-generator 6</t>
        </is>
      </c>
      <c r="I4957" s="12" t="inlineStr">
        <is>
          <t>Instrumentation</t>
        </is>
      </c>
      <c r="J4957" s="12" t="inlineStr">
        <is>
          <t>RTD cable, #18 shielded triads, PLTC</t>
        </is>
      </c>
      <c r="K4957" s="12" t="inlineStr">
        <is>
          <t>RTD|12 tri|18</t>
        </is>
      </c>
      <c r="L4957" s="12" t="inlineStr">
        <is>
          <t>12 tri</t>
        </is>
      </c>
      <c r="M4957" s="12" t="inlineStr">
        <is>
          <t>18</t>
        </is>
      </c>
      <c r="N4957" s="12" t="n">
        <v>1</v>
      </c>
      <c r="O4957" s="12" t="n">
        <v>1</v>
      </c>
      <c r="P4957" s="12" t="n"/>
      <c r="Q4957" s="12" t="n"/>
      <c r="R4957" s="12" t="n"/>
      <c r="S4957" s="12" t="inlineStr">
        <is>
          <t>Duct bank</t>
        </is>
      </c>
      <c r="T4957" s="15" t="n">
        <v>52</v>
      </c>
      <c r="U4957" s="15" t="n">
        <v>154</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I-I-0355</t>
        </is>
      </c>
      <c r="B4958" s="12" t="inlineStr">
        <is>
          <t>I</t>
        </is>
      </c>
      <c r="C4958" s="12" t="inlineStr">
        <is>
          <t>Modular / portable power</t>
        </is>
      </c>
      <c r="D4958" s="12" t="inlineStr">
        <is>
          <t>Analog instrument to JB JB-RICE-7-AI01: 20 x 1 pr (field cables)</t>
        </is>
      </c>
      <c r="E4958" s="12" t="inlineStr">
        <is>
          <t>RICE-7</t>
        </is>
      </c>
      <c r="F4958" s="12" t="inlineStr">
        <is>
          <t>RICE engine-generator 7</t>
        </is>
      </c>
      <c r="G4958" s="12" t="inlineStr">
        <is>
          <t>JB-RICE-7-AI01</t>
        </is>
      </c>
      <c r="H4958" s="12" t="inlineStr">
        <is>
          <t>RICE engine-generator 7</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I-I-0356</t>
        </is>
      </c>
      <c r="B4959" s="12" t="inlineStr">
        <is>
          <t>I</t>
        </is>
      </c>
      <c r="C4959" s="12" t="inlineStr">
        <is>
          <t>Modular / portable power</t>
        </is>
      </c>
      <c r="D4959" s="12" t="inlineStr">
        <is>
          <t>Home run JB-RICE-7-AI01 to the control / marshalling room</t>
        </is>
      </c>
      <c r="E4959" s="12" t="inlineStr"/>
      <c r="F4959" s="12" t="inlineStr">
        <is>
          <t>PCM: power control module</t>
        </is>
      </c>
      <c r="G4959" s="12" t="inlineStr">
        <is>
          <t>JB-RICE-7-AI01</t>
        </is>
      </c>
      <c r="H4959" s="12" t="inlineStr">
        <is>
          <t>RICE engine-generator 7</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Duct bank</t>
        </is>
      </c>
      <c r="T4959" s="15" t="n">
        <v>52</v>
      </c>
      <c r="U4959" s="15" t="n">
        <v>126</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I-I-0357</t>
        </is>
      </c>
      <c r="B4960" s="12" t="inlineStr">
        <is>
          <t>I</t>
        </is>
      </c>
      <c r="C4960" s="12" t="inlineStr">
        <is>
          <t>Modular / portable power</t>
        </is>
      </c>
      <c r="D4960" s="12" t="inlineStr">
        <is>
          <t>Analog instrument to JB JB-RICE-7-AI02: 20 x 1 pr (field cables)</t>
        </is>
      </c>
      <c r="E4960" s="12" t="inlineStr">
        <is>
          <t>RICE-7</t>
        </is>
      </c>
      <c r="F4960" s="12" t="inlineStr">
        <is>
          <t>RICE engine-generator 7</t>
        </is>
      </c>
      <c r="G4960" s="12" t="inlineStr">
        <is>
          <t>JB-RICE-7-AI02</t>
        </is>
      </c>
      <c r="H4960" s="12" t="inlineStr">
        <is>
          <t>RICE engine-generator 7</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I-I-0358</t>
        </is>
      </c>
      <c r="B4961" s="12" t="inlineStr">
        <is>
          <t>I</t>
        </is>
      </c>
      <c r="C4961" s="12" t="inlineStr">
        <is>
          <t>Modular / portable power</t>
        </is>
      </c>
      <c r="D4961" s="12" t="inlineStr">
        <is>
          <t>Home run JB-RICE-7-AI02 to the control / marshalling room</t>
        </is>
      </c>
      <c r="E4961" s="12" t="inlineStr"/>
      <c r="F4961" s="12" t="inlineStr">
        <is>
          <t>PCM: power control module</t>
        </is>
      </c>
      <c r="G4961" s="12" t="inlineStr">
        <is>
          <t>JB-RICE-7-AI02</t>
        </is>
      </c>
      <c r="H4961" s="12" t="inlineStr">
        <is>
          <t>RICE engine-generator 7</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5" t="n">
        <v>52</v>
      </c>
      <c r="U4961" s="15" t="n">
        <v>126</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I-I-0359</t>
        </is>
      </c>
      <c r="B4962" s="12" t="inlineStr">
        <is>
          <t>I</t>
        </is>
      </c>
      <c r="C4962" s="12" t="inlineStr">
        <is>
          <t>Modular / portable power</t>
        </is>
      </c>
      <c r="D4962" s="12" t="inlineStr">
        <is>
          <t>Analog instrument to JB JB-RICE-7-AI03: 20 x 1 pr (field cables)</t>
        </is>
      </c>
      <c r="E4962" s="12" t="inlineStr">
        <is>
          <t>RICE-7</t>
        </is>
      </c>
      <c r="F4962" s="12" t="inlineStr">
        <is>
          <t>RICE engine-generator 7</t>
        </is>
      </c>
      <c r="G4962" s="12" t="inlineStr">
        <is>
          <t>JB-RICE-7-AI03</t>
        </is>
      </c>
      <c r="H4962" s="12" t="inlineStr">
        <is>
          <t>RICE engine-generator 7</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I-I-0360</t>
        </is>
      </c>
      <c r="B4963" s="12" t="inlineStr">
        <is>
          <t>I</t>
        </is>
      </c>
      <c r="C4963" s="12" t="inlineStr">
        <is>
          <t>Modular / portable power</t>
        </is>
      </c>
      <c r="D4963" s="12" t="inlineStr">
        <is>
          <t>Home run JB-RICE-7-AI03 to the control / marshalling room</t>
        </is>
      </c>
      <c r="E4963" s="12" t="inlineStr"/>
      <c r="F4963" s="12" t="inlineStr">
        <is>
          <t>PCM: power control module</t>
        </is>
      </c>
      <c r="G4963" s="12" t="inlineStr">
        <is>
          <t>JB-RICE-7-AI03</t>
        </is>
      </c>
      <c r="H4963" s="12" t="inlineStr">
        <is>
          <t>RICE engine-generator 7</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Duct bank</t>
        </is>
      </c>
      <c r="T4963" s="15" t="n">
        <v>52</v>
      </c>
      <c r="U4963" s="15" t="n">
        <v>126</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I-I-0361</t>
        </is>
      </c>
      <c r="B4964" s="12" t="inlineStr">
        <is>
          <t>I</t>
        </is>
      </c>
      <c r="C4964" s="12" t="inlineStr">
        <is>
          <t>Modular / portable power</t>
        </is>
      </c>
      <c r="D4964" s="12" t="inlineStr">
        <is>
          <t>Analog instrument to JB JB-RICE-7-AI04: 20 x 1 pr (field cables)</t>
        </is>
      </c>
      <c r="E4964" s="12" t="inlineStr">
        <is>
          <t>RICE-7</t>
        </is>
      </c>
      <c r="F4964" s="12" t="inlineStr">
        <is>
          <t>RICE engine-generator 7</t>
        </is>
      </c>
      <c r="G4964" s="12" t="inlineStr">
        <is>
          <t>JB-RICE-7-AI04</t>
        </is>
      </c>
      <c r="H4964" s="12" t="inlineStr">
        <is>
          <t>RICE engine-generator 7</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I-I-0362</t>
        </is>
      </c>
      <c r="B4965" s="12" t="inlineStr">
        <is>
          <t>I</t>
        </is>
      </c>
      <c r="C4965" s="12" t="inlineStr">
        <is>
          <t>Modular / portable power</t>
        </is>
      </c>
      <c r="D4965" s="12" t="inlineStr">
        <is>
          <t>Home run JB-RICE-7-AI04 to the control / marshalling room</t>
        </is>
      </c>
      <c r="E4965" s="12" t="inlineStr"/>
      <c r="F4965" s="12" t="inlineStr">
        <is>
          <t>PCM: power control module</t>
        </is>
      </c>
      <c r="G4965" s="12" t="inlineStr">
        <is>
          <t>JB-RICE-7-AI04</t>
        </is>
      </c>
      <c r="H4965" s="12" t="inlineStr">
        <is>
          <t>RICE engine-generator 7</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Duct bank</t>
        </is>
      </c>
      <c r="T4965" s="15" t="n">
        <v>52</v>
      </c>
      <c r="U4965" s="15" t="n">
        <v>126</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I-I-0363</t>
        </is>
      </c>
      <c r="B4966" s="12" t="inlineStr">
        <is>
          <t>I</t>
        </is>
      </c>
      <c r="C4966" s="12" t="inlineStr">
        <is>
          <t>Modular / portable power</t>
        </is>
      </c>
      <c r="D4966" s="12" t="inlineStr">
        <is>
          <t>Discrete device to JB JB-RICE-7-DI01: 20 x 1 pr (field cables)</t>
        </is>
      </c>
      <c r="E4966" s="12" t="inlineStr">
        <is>
          <t>RICE-7</t>
        </is>
      </c>
      <c r="F4966" s="12" t="inlineStr">
        <is>
          <t>RICE engine-generator 7</t>
        </is>
      </c>
      <c r="G4966" s="12" t="inlineStr">
        <is>
          <t>JB-RICE-7-DI01</t>
        </is>
      </c>
      <c r="H4966" s="12" t="inlineStr">
        <is>
          <t>RICE engine-generator 7</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5" t="n">
        <v>72</v>
      </c>
      <c r="U4966" s="15" t="n">
        <v>10</v>
      </c>
      <c r="V4966" s="15">
        <f>ROUNDUP((T4966+U4966+2*'Read Me'!$B$13)*(1+'Read Me'!$B$12),-1)</f>
        <v/>
      </c>
      <c r="W4966" s="15">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I-I-0364</t>
        </is>
      </c>
      <c r="B4967" s="12" t="inlineStr">
        <is>
          <t>I</t>
        </is>
      </c>
      <c r="C4967" s="12" t="inlineStr">
        <is>
          <t>Modular / portable power</t>
        </is>
      </c>
      <c r="D4967" s="12" t="inlineStr">
        <is>
          <t>Home run JB-RICE-7-DI01 to the control / marshalling room</t>
        </is>
      </c>
      <c r="E4967" s="12" t="inlineStr"/>
      <c r="F4967" s="12" t="inlineStr">
        <is>
          <t>PCM: power control module</t>
        </is>
      </c>
      <c r="G4967" s="12" t="inlineStr">
        <is>
          <t>JB-RICE-7-DI01</t>
        </is>
      </c>
      <c r="H4967" s="12" t="inlineStr">
        <is>
          <t>RICE engine-generator 7</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Duct bank</t>
        </is>
      </c>
      <c r="T4967" s="15" t="n">
        <v>52</v>
      </c>
      <c r="U4967" s="15" t="n">
        <v>126</v>
      </c>
      <c r="V4967" s="15">
        <f>ROUNDUP((T4967+U4967+2*'Read Me'!$B$13)*(1+'Read Me'!$B$12),-1)</f>
        <v/>
      </c>
      <c r="W4967" s="15">
        <f>V4967*N4967*O4967</f>
        <v/>
      </c>
      <c r="X4967" s="12">
        <f>IF(LEFT(I4967,2)="MV",2*N4967*IF(L4967="1/C",O4967,1),0)</f>
        <v/>
      </c>
      <c r="Y4967" s="12">
        <f>IF(OR(LEFT(K4967,4)="LVAX",LEFT(K4967,6)="MV15AX",LEFT(K4967,4)="CTAX",LEFT(K4967,2)="W|"),2*N4967*O4967,0)</f>
        <v/>
      </c>
      <c r="Z4967" s="12" t="inlineStr"/>
      <c r="AA4967" s="12">
        <f>N4967*O4967</f>
        <v/>
      </c>
    </row>
    <row r="4968">
      <c r="A4968" s="12" t="inlineStr">
        <is>
          <t>I-I-0365</t>
        </is>
      </c>
      <c r="B4968" s="12" t="inlineStr">
        <is>
          <t>I</t>
        </is>
      </c>
      <c r="C4968" s="12" t="inlineStr">
        <is>
          <t>Modular / portable power</t>
        </is>
      </c>
      <c r="D4968" s="12" t="inlineStr">
        <is>
          <t>Discrete device to JB JB-RICE-7-DI02: 20 x 1 pr (field cables)</t>
        </is>
      </c>
      <c r="E4968" s="12" t="inlineStr">
        <is>
          <t>RICE-7</t>
        </is>
      </c>
      <c r="F4968" s="12" t="inlineStr">
        <is>
          <t>RICE engine-generator 7</t>
        </is>
      </c>
      <c r="G4968" s="12" t="inlineStr">
        <is>
          <t>JB-RICE-7-DI02</t>
        </is>
      </c>
      <c r="H4968" s="12" t="inlineStr">
        <is>
          <t>RICE engine-generator 7</t>
        </is>
      </c>
      <c r="I4968" s="12" t="inlineStr">
        <is>
          <t>Instrumentation</t>
        </is>
      </c>
      <c r="J4968" s="12" t="inlineStr">
        <is>
          <t>Instrumentation PLTC / TC-ER 300 V, #18 twisted shielded pairs, overall shield</t>
        </is>
      </c>
      <c r="K4968" s="12" t="inlineStr">
        <is>
          <t>PLTC|1 pr|16</t>
        </is>
      </c>
      <c r="L4968" s="12" t="inlineStr">
        <is>
          <t>1 pr</t>
        </is>
      </c>
      <c r="M4968" s="12" t="inlineStr">
        <is>
          <t>16</t>
        </is>
      </c>
      <c r="N4968" s="12" t="n">
        <v>20</v>
      </c>
      <c r="O4968" s="12" t="n">
        <v>1</v>
      </c>
      <c r="P4968" s="12" t="n"/>
      <c r="Q4968" s="12" t="n"/>
      <c r="R4968" s="12" t="n"/>
      <c r="S4968" s="12" t="inlineStr">
        <is>
          <t>Tray / conduit</t>
        </is>
      </c>
      <c r="T4968" s="15" t="n">
        <v>72</v>
      </c>
      <c r="U4968" s="15" t="n">
        <v>10</v>
      </c>
      <c r="V4968" s="15">
        <f>ROUNDUP((T4968+U4968+2*'Read Me'!$B$13)*(1+'Read Me'!$B$12),-1)</f>
        <v/>
      </c>
      <c r="W4968" s="15">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I-I-0366</t>
        </is>
      </c>
      <c r="B4969" s="12" t="inlineStr">
        <is>
          <t>I</t>
        </is>
      </c>
      <c r="C4969" s="12" t="inlineStr">
        <is>
          <t>Modular / portable power</t>
        </is>
      </c>
      <c r="D4969" s="12" t="inlineStr">
        <is>
          <t>Home run JB-RICE-7-DI02 to the control / marshalling room</t>
        </is>
      </c>
      <c r="E4969" s="12" t="inlineStr"/>
      <c r="F4969" s="12" t="inlineStr">
        <is>
          <t>PCM: power control module</t>
        </is>
      </c>
      <c r="G4969" s="12" t="inlineStr">
        <is>
          <t>JB-RICE-7-DI02</t>
        </is>
      </c>
      <c r="H4969" s="12" t="inlineStr">
        <is>
          <t>RICE engine-generator 7</t>
        </is>
      </c>
      <c r="I4969" s="12" t="inlineStr">
        <is>
          <t>Instrumentation</t>
        </is>
      </c>
      <c r="J4969" s="12" t="inlineStr">
        <is>
          <t>Instrumentation PLTC / TC-ER 300 V, #18 twisted shielded pairs, overall shield</t>
        </is>
      </c>
      <c r="K4969" s="12" t="inlineStr">
        <is>
          <t>PLTC|24 pr|18</t>
        </is>
      </c>
      <c r="L4969" s="12" t="inlineStr">
        <is>
          <t>24 pr</t>
        </is>
      </c>
      <c r="M4969" s="12" t="inlineStr">
        <is>
          <t>18</t>
        </is>
      </c>
      <c r="N4969" s="12" t="n">
        <v>1</v>
      </c>
      <c r="O4969" s="12" t="n">
        <v>1</v>
      </c>
      <c r="P4969" s="12" t="n"/>
      <c r="Q4969" s="12" t="n"/>
      <c r="R4969" s="12" t="n"/>
      <c r="S4969" s="12" t="inlineStr">
        <is>
          <t>Duct bank</t>
        </is>
      </c>
      <c r="T4969" s="15" t="n">
        <v>52</v>
      </c>
      <c r="U4969" s="15" t="n">
        <v>126</v>
      </c>
      <c r="V4969" s="15">
        <f>ROUNDUP((T4969+U4969+2*'Read Me'!$B$13)*(1+'Read Me'!$B$12),-1)</f>
        <v/>
      </c>
      <c r="W4969" s="15">
        <f>V4969*N4969*O4969</f>
        <v/>
      </c>
      <c r="X4969" s="12">
        <f>IF(LEFT(I4969,2)="MV",2*N4969*IF(L4969="1/C",O4969,1),0)</f>
        <v/>
      </c>
      <c r="Y4969" s="12">
        <f>IF(OR(LEFT(K4969,4)="LVAX",LEFT(K4969,6)="MV15AX",LEFT(K4969,4)="CTAX",LEFT(K4969,2)="W|"),2*N4969*O4969,0)</f>
        <v/>
      </c>
      <c r="Z4969" s="12" t="inlineStr"/>
      <c r="AA4969" s="12">
        <f>N4969*O4969</f>
        <v/>
      </c>
    </row>
    <row r="4970">
      <c r="A4970" s="12" t="inlineStr">
        <is>
          <t>I-I-0367</t>
        </is>
      </c>
      <c r="B4970" s="12" t="inlineStr">
        <is>
          <t>I</t>
        </is>
      </c>
      <c r="C4970" s="12" t="inlineStr">
        <is>
          <t>Modular / portable power</t>
        </is>
      </c>
      <c r="D4970" s="12" t="inlineStr">
        <is>
          <t>Discrete device to JB JB-RICE-7-DI03: 20 x 1 pr (field cables)</t>
        </is>
      </c>
      <c r="E4970" s="12" t="inlineStr">
        <is>
          <t>RICE-7</t>
        </is>
      </c>
      <c r="F4970" s="12" t="inlineStr">
        <is>
          <t>RICE engine-generator 7</t>
        </is>
      </c>
      <c r="G4970" s="12" t="inlineStr">
        <is>
          <t>JB-RICE-7-DI03</t>
        </is>
      </c>
      <c r="H4970" s="12" t="inlineStr">
        <is>
          <t>RICE engine-generator 7</t>
        </is>
      </c>
      <c r="I4970" s="12" t="inlineStr">
        <is>
          <t>Instrumentation</t>
        </is>
      </c>
      <c r="J4970" s="12" t="inlineStr">
        <is>
          <t>Instrumentation PLTC / TC-ER 300 V, #18 twisted shielded pairs, overall shield</t>
        </is>
      </c>
      <c r="K4970" s="12" t="inlineStr">
        <is>
          <t>PLTC|1 pr|16</t>
        </is>
      </c>
      <c r="L4970" s="12" t="inlineStr">
        <is>
          <t>1 pr</t>
        </is>
      </c>
      <c r="M4970" s="12" t="inlineStr">
        <is>
          <t>16</t>
        </is>
      </c>
      <c r="N4970" s="12" t="n">
        <v>20</v>
      </c>
      <c r="O4970" s="12" t="n">
        <v>1</v>
      </c>
      <c r="P4970" s="12" t="n"/>
      <c r="Q4970" s="12" t="n"/>
      <c r="R4970" s="12" t="n"/>
      <c r="S4970" s="12" t="inlineStr">
        <is>
          <t>Tray / conduit</t>
        </is>
      </c>
      <c r="T4970" s="15" t="n">
        <v>72</v>
      </c>
      <c r="U4970" s="15" t="n">
        <v>10</v>
      </c>
      <c r="V4970" s="15">
        <f>ROUNDUP((T4970+U4970+2*'Read Me'!$B$13)*(1+'Read Me'!$B$12),-1)</f>
        <v/>
      </c>
      <c r="W4970" s="15">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I-I-0368</t>
        </is>
      </c>
      <c r="B4971" s="12" t="inlineStr">
        <is>
          <t>I</t>
        </is>
      </c>
      <c r="C4971" s="12" t="inlineStr">
        <is>
          <t>Modular / portable power</t>
        </is>
      </c>
      <c r="D4971" s="12" t="inlineStr">
        <is>
          <t>Home run JB-RICE-7-DI03 to the control / marshalling room</t>
        </is>
      </c>
      <c r="E4971" s="12" t="inlineStr"/>
      <c r="F4971" s="12" t="inlineStr">
        <is>
          <t>PCM: power control module</t>
        </is>
      </c>
      <c r="G4971" s="12" t="inlineStr">
        <is>
          <t>JB-RICE-7-DI03</t>
        </is>
      </c>
      <c r="H4971" s="12" t="inlineStr">
        <is>
          <t>RICE engine-generator 7</t>
        </is>
      </c>
      <c r="I4971" s="12" t="inlineStr">
        <is>
          <t>Instrumentation</t>
        </is>
      </c>
      <c r="J4971" s="12" t="inlineStr">
        <is>
          <t>Instrumentation PLTC / TC-ER 300 V, #18 twisted shielded pairs, overall shield</t>
        </is>
      </c>
      <c r="K4971" s="12" t="inlineStr">
        <is>
          <t>PLTC|24 pr|18</t>
        </is>
      </c>
      <c r="L4971" s="12" t="inlineStr">
        <is>
          <t>24 pr</t>
        </is>
      </c>
      <c r="M4971" s="12" t="inlineStr">
        <is>
          <t>18</t>
        </is>
      </c>
      <c r="N4971" s="12" t="n">
        <v>1</v>
      </c>
      <c r="O4971" s="12" t="n">
        <v>1</v>
      </c>
      <c r="P4971" s="12" t="n"/>
      <c r="Q4971" s="12" t="n"/>
      <c r="R4971" s="12" t="n"/>
      <c r="S4971" s="12" t="inlineStr">
        <is>
          <t>Duct bank</t>
        </is>
      </c>
      <c r="T4971" s="15" t="n">
        <v>52</v>
      </c>
      <c r="U4971" s="15" t="n">
        <v>126</v>
      </c>
      <c r="V4971" s="15">
        <f>ROUNDUP((T4971+U4971+2*'Read Me'!$B$13)*(1+'Read Me'!$B$12),-1)</f>
        <v/>
      </c>
      <c r="W4971" s="15">
        <f>V4971*N4971*O4971</f>
        <v/>
      </c>
      <c r="X4971" s="12">
        <f>IF(LEFT(I4971,2)="MV",2*N4971*IF(L4971="1/C",O4971,1),0)</f>
        <v/>
      </c>
      <c r="Y4971" s="12">
        <f>IF(OR(LEFT(K4971,4)="LVAX",LEFT(K4971,6)="MV15AX",LEFT(K4971,4)="CTAX",LEFT(K4971,2)="W|"),2*N4971*O4971,0)</f>
        <v/>
      </c>
      <c r="Z4971" s="12" t="inlineStr"/>
      <c r="AA4971" s="12">
        <f>N4971*O4971</f>
        <v/>
      </c>
    </row>
    <row r="4972">
      <c r="A4972" s="12" t="inlineStr">
        <is>
          <t>I-I-0369</t>
        </is>
      </c>
      <c r="B4972" s="12" t="inlineStr">
        <is>
          <t>I</t>
        </is>
      </c>
      <c r="C4972" s="12" t="inlineStr">
        <is>
          <t>Modular / portable power</t>
        </is>
      </c>
      <c r="D4972" s="12" t="inlineStr">
        <is>
          <t>Thermocouple to TC JB JB-RICE-7-TC01: 20 x 1 pr (field cables)</t>
        </is>
      </c>
      <c r="E4972" s="12" t="inlineStr">
        <is>
          <t>RICE-7</t>
        </is>
      </c>
      <c r="F4972" s="12" t="inlineStr">
        <is>
          <t>RICE engine-generator 7</t>
        </is>
      </c>
      <c r="G4972" s="12" t="inlineStr">
        <is>
          <t>JB-RICE-7-TC01</t>
        </is>
      </c>
      <c r="H4972" s="12" t="inlineStr">
        <is>
          <t>RICE engine-generator 7</t>
        </is>
      </c>
      <c r="I4972" s="12" t="inlineStr">
        <is>
          <t>Instrumentation</t>
        </is>
      </c>
      <c r="J4972" s="12" t="inlineStr">
        <is>
          <t>Thermocouple extension KX, #16 shielded pairs, PLTC</t>
        </is>
      </c>
      <c r="K4972" s="12" t="inlineStr">
        <is>
          <t>TCX|1 pr|16</t>
        </is>
      </c>
      <c r="L4972" s="12" t="inlineStr">
        <is>
          <t>1 pr</t>
        </is>
      </c>
      <c r="M4972" s="12" t="inlineStr">
        <is>
          <t>16</t>
        </is>
      </c>
      <c r="N4972" s="12" t="n">
        <v>20</v>
      </c>
      <c r="O4972" s="12" t="n">
        <v>1</v>
      </c>
      <c r="P4972" s="12" t="n"/>
      <c r="Q4972" s="12" t="n"/>
      <c r="R4972" s="12" t="n"/>
      <c r="S4972" s="12" t="inlineStr">
        <is>
          <t>Tray / conduit</t>
        </is>
      </c>
      <c r="T4972" s="15" t="n">
        <v>72</v>
      </c>
      <c r="U4972" s="15" t="n">
        <v>10</v>
      </c>
      <c r="V4972" s="15">
        <f>ROUNDUP((T4972+U4972+2*'Read Me'!$B$13)*(1+'Read Me'!$B$12),-1)</f>
        <v/>
      </c>
      <c r="W4972" s="15">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I-I-0370</t>
        </is>
      </c>
      <c r="B4973" s="12" t="inlineStr">
        <is>
          <t>I</t>
        </is>
      </c>
      <c r="C4973" s="12" t="inlineStr">
        <is>
          <t>Modular / portable power</t>
        </is>
      </c>
      <c r="D4973" s="12" t="inlineStr">
        <is>
          <t>Home run JB-RICE-7-TC01 to the control / marshalling room</t>
        </is>
      </c>
      <c r="E4973" s="12" t="inlineStr"/>
      <c r="F4973" s="12" t="inlineStr">
        <is>
          <t>PCM: power control module</t>
        </is>
      </c>
      <c r="G4973" s="12" t="inlineStr">
        <is>
          <t>JB-RICE-7-TC01</t>
        </is>
      </c>
      <c r="H4973" s="12" t="inlineStr">
        <is>
          <t>RICE engine-generator 7</t>
        </is>
      </c>
      <c r="I4973" s="12" t="inlineStr">
        <is>
          <t>Instrumentation</t>
        </is>
      </c>
      <c r="J4973" s="12" t="inlineStr">
        <is>
          <t>Thermocouple extension KX, #16 shielded pairs, PLTC</t>
        </is>
      </c>
      <c r="K4973" s="12" t="inlineStr">
        <is>
          <t>TCX|24 pr|16</t>
        </is>
      </c>
      <c r="L4973" s="12" t="inlineStr">
        <is>
          <t>24 pr</t>
        </is>
      </c>
      <c r="M4973" s="12" t="inlineStr">
        <is>
          <t>16</t>
        </is>
      </c>
      <c r="N4973" s="12" t="n">
        <v>1</v>
      </c>
      <c r="O4973" s="12" t="n">
        <v>1</v>
      </c>
      <c r="P4973" s="12" t="n"/>
      <c r="Q4973" s="12" t="n"/>
      <c r="R4973" s="12" t="n"/>
      <c r="S4973" s="12" t="inlineStr">
        <is>
          <t>Duct bank</t>
        </is>
      </c>
      <c r="T4973" s="15" t="n">
        <v>52</v>
      </c>
      <c r="U4973" s="15" t="n">
        <v>126</v>
      </c>
      <c r="V4973" s="15">
        <f>ROUNDUP((T4973+U4973+2*'Read Me'!$B$13)*(1+'Read Me'!$B$12),-1)</f>
        <v/>
      </c>
      <c r="W4973" s="15">
        <f>V4973*N4973*O4973</f>
        <v/>
      </c>
      <c r="X4973" s="12">
        <f>IF(LEFT(I4973,2)="MV",2*N4973*IF(L4973="1/C",O4973,1),0)</f>
        <v/>
      </c>
      <c r="Y4973" s="12">
        <f>IF(OR(LEFT(K4973,4)="LVAX",LEFT(K4973,6)="MV15AX",LEFT(K4973,4)="CTAX",LEFT(K4973,2)="W|"),2*N4973*O4973,0)</f>
        <v/>
      </c>
      <c r="Z4973" s="12" t="inlineStr"/>
      <c r="AA4973" s="12">
        <f>N4973*O4973</f>
        <v/>
      </c>
    </row>
    <row r="4974">
      <c r="A4974" s="12" t="inlineStr">
        <is>
          <t>I-I-0371</t>
        </is>
      </c>
      <c r="B4974" s="12" t="inlineStr">
        <is>
          <t>I</t>
        </is>
      </c>
      <c r="C4974" s="12" t="inlineStr">
        <is>
          <t>Modular / portable power</t>
        </is>
      </c>
      <c r="D4974" s="12" t="inlineStr">
        <is>
          <t>Thermocouple to TC JB JB-RICE-7-TC02: 10 x 1 pr (field cables)</t>
        </is>
      </c>
      <c r="E4974" s="12" t="inlineStr">
        <is>
          <t>RICE-7</t>
        </is>
      </c>
      <c r="F4974" s="12" t="inlineStr">
        <is>
          <t>RICE engine-generator 7</t>
        </is>
      </c>
      <c r="G4974" s="12" t="inlineStr">
        <is>
          <t>JB-RICE-7-TC02</t>
        </is>
      </c>
      <c r="H4974" s="12" t="inlineStr">
        <is>
          <t>RICE engine-generator 7</t>
        </is>
      </c>
      <c r="I4974" s="12" t="inlineStr">
        <is>
          <t>Instrumentation</t>
        </is>
      </c>
      <c r="J4974" s="12" t="inlineStr">
        <is>
          <t>Thermocouple extension KX, #16 shielded pairs, PLTC</t>
        </is>
      </c>
      <c r="K4974" s="12" t="inlineStr">
        <is>
          <t>TCX|1 pr|16</t>
        </is>
      </c>
      <c r="L4974" s="12" t="inlineStr">
        <is>
          <t>1 pr</t>
        </is>
      </c>
      <c r="M4974" s="12" t="inlineStr">
        <is>
          <t>16</t>
        </is>
      </c>
      <c r="N4974" s="12" t="n">
        <v>10</v>
      </c>
      <c r="O4974" s="12" t="n">
        <v>1</v>
      </c>
      <c r="P4974" s="12" t="n"/>
      <c r="Q4974" s="12" t="n"/>
      <c r="R4974" s="12" t="n"/>
      <c r="S4974" s="12" t="inlineStr">
        <is>
          <t>Tray / conduit</t>
        </is>
      </c>
      <c r="T4974" s="15" t="n">
        <v>72</v>
      </c>
      <c r="U4974" s="15" t="n">
        <v>10</v>
      </c>
      <c r="V4974" s="15">
        <f>ROUNDUP((T4974+U4974+2*'Read Me'!$B$13)*(1+'Read Me'!$B$12),-1)</f>
        <v/>
      </c>
      <c r="W4974" s="15">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I-I-0372</t>
        </is>
      </c>
      <c r="B4975" s="12" t="inlineStr">
        <is>
          <t>I</t>
        </is>
      </c>
      <c r="C4975" s="12" t="inlineStr">
        <is>
          <t>Modular / portable power</t>
        </is>
      </c>
      <c r="D4975" s="12" t="inlineStr">
        <is>
          <t>Home run JB-RICE-7-TC02 to the control / marshalling room</t>
        </is>
      </c>
      <c r="E4975" s="12" t="inlineStr"/>
      <c r="F4975" s="12" t="inlineStr">
        <is>
          <t>PCM: power control module</t>
        </is>
      </c>
      <c r="G4975" s="12" t="inlineStr">
        <is>
          <t>JB-RICE-7-TC02</t>
        </is>
      </c>
      <c r="H4975" s="12" t="inlineStr">
        <is>
          <t>RICE engine-generator 7</t>
        </is>
      </c>
      <c r="I4975" s="12" t="inlineStr">
        <is>
          <t>Instrumentation</t>
        </is>
      </c>
      <c r="J4975" s="12" t="inlineStr">
        <is>
          <t>Thermocouple extension KX, #16 shielded pairs, PLTC</t>
        </is>
      </c>
      <c r="K4975" s="12" t="inlineStr">
        <is>
          <t>TCX|24 pr|16</t>
        </is>
      </c>
      <c r="L4975" s="12" t="inlineStr">
        <is>
          <t>24 pr</t>
        </is>
      </c>
      <c r="M4975" s="12" t="inlineStr">
        <is>
          <t>16</t>
        </is>
      </c>
      <c r="N4975" s="12" t="n">
        <v>1</v>
      </c>
      <c r="O4975" s="12" t="n">
        <v>1</v>
      </c>
      <c r="P4975" s="12" t="n"/>
      <c r="Q4975" s="12" t="n"/>
      <c r="R4975" s="12" t="n"/>
      <c r="S4975" s="12" t="inlineStr">
        <is>
          <t>Duct bank</t>
        </is>
      </c>
      <c r="T4975" s="15" t="n">
        <v>52</v>
      </c>
      <c r="U4975" s="15" t="n">
        <v>126</v>
      </c>
      <c r="V4975" s="15">
        <f>ROUNDUP((T4975+U4975+2*'Read Me'!$B$13)*(1+'Read Me'!$B$12),-1)</f>
        <v/>
      </c>
      <c r="W4975" s="15">
        <f>V4975*N4975*O4975</f>
        <v/>
      </c>
      <c r="X4975" s="12">
        <f>IF(LEFT(I4975,2)="MV",2*N4975*IF(L4975="1/C",O4975,1),0)</f>
        <v/>
      </c>
      <c r="Y4975" s="12">
        <f>IF(OR(LEFT(K4975,4)="LVAX",LEFT(K4975,6)="MV15AX",LEFT(K4975,4)="CTAX",LEFT(K4975,2)="W|"),2*N4975*O4975,0)</f>
        <v/>
      </c>
      <c r="Z4975" s="12" t="inlineStr"/>
      <c r="AA4975" s="12">
        <f>N4975*O4975</f>
        <v/>
      </c>
    </row>
    <row r="4976">
      <c r="A4976" s="12" t="inlineStr">
        <is>
          <t>I-I-0373</t>
        </is>
      </c>
      <c r="B4976" s="12" t="inlineStr">
        <is>
          <t>I</t>
        </is>
      </c>
      <c r="C4976" s="12" t="inlineStr">
        <is>
          <t>Modular / portable power</t>
        </is>
      </c>
      <c r="D4976" s="12" t="inlineStr">
        <is>
          <t>RTD to JB JB-RICE-7-RTD01: 10 x 1 tri (field cables)</t>
        </is>
      </c>
      <c r="E4976" s="12" t="inlineStr">
        <is>
          <t>RICE-7</t>
        </is>
      </c>
      <c r="F4976" s="12" t="inlineStr">
        <is>
          <t>RICE engine-generator 7</t>
        </is>
      </c>
      <c r="G4976" s="12" t="inlineStr">
        <is>
          <t>JB-RICE-7-RTD01</t>
        </is>
      </c>
      <c r="H4976" s="12" t="inlineStr">
        <is>
          <t>RICE engine-generator 7</t>
        </is>
      </c>
      <c r="I4976" s="12" t="inlineStr">
        <is>
          <t>Instrumentation</t>
        </is>
      </c>
      <c r="J4976" s="12" t="inlineStr">
        <is>
          <t>RTD cable, #18 shielded triads, PLTC</t>
        </is>
      </c>
      <c r="K4976" s="12" t="inlineStr">
        <is>
          <t>RTD|1 tri|18</t>
        </is>
      </c>
      <c r="L4976" s="12" t="inlineStr">
        <is>
          <t>1 tri</t>
        </is>
      </c>
      <c r="M4976" s="12" t="inlineStr">
        <is>
          <t>18</t>
        </is>
      </c>
      <c r="N4976" s="12" t="n">
        <v>10</v>
      </c>
      <c r="O4976" s="12" t="n">
        <v>1</v>
      </c>
      <c r="P4976" s="12" t="n"/>
      <c r="Q4976" s="12" t="n"/>
      <c r="R4976" s="12" t="n"/>
      <c r="S4976" s="12" t="inlineStr">
        <is>
          <t>Tray / conduit</t>
        </is>
      </c>
      <c r="T4976" s="15" t="n">
        <v>72</v>
      </c>
      <c r="U4976" s="15" t="n">
        <v>10</v>
      </c>
      <c r="V4976" s="15">
        <f>ROUNDUP((T4976+U4976+2*'Read Me'!$B$13)*(1+'Read Me'!$B$12),-1)</f>
        <v/>
      </c>
      <c r="W4976" s="15">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I-I-0374</t>
        </is>
      </c>
      <c r="B4977" s="12" t="inlineStr">
        <is>
          <t>I</t>
        </is>
      </c>
      <c r="C4977" s="12" t="inlineStr">
        <is>
          <t>Modular / portable power</t>
        </is>
      </c>
      <c r="D4977" s="12" t="inlineStr">
        <is>
          <t>Home run JB-RICE-7-RTD01 to the control / marshalling room</t>
        </is>
      </c>
      <c r="E4977" s="12" t="inlineStr"/>
      <c r="F4977" s="12" t="inlineStr">
        <is>
          <t>PCM: power control module</t>
        </is>
      </c>
      <c r="G4977" s="12" t="inlineStr">
        <is>
          <t>JB-RICE-7-RTD01</t>
        </is>
      </c>
      <c r="H4977" s="12" t="inlineStr">
        <is>
          <t>RICE engine-generator 7</t>
        </is>
      </c>
      <c r="I4977" s="12" t="inlineStr">
        <is>
          <t>Instrumentation</t>
        </is>
      </c>
      <c r="J4977" s="12" t="inlineStr">
        <is>
          <t>RTD cable, #18 shielded triads, PLTC</t>
        </is>
      </c>
      <c r="K4977" s="12" t="inlineStr">
        <is>
          <t>RTD|12 tri|18</t>
        </is>
      </c>
      <c r="L4977" s="12" t="inlineStr">
        <is>
          <t>12 tri</t>
        </is>
      </c>
      <c r="M4977" s="12" t="inlineStr">
        <is>
          <t>18</t>
        </is>
      </c>
      <c r="N4977" s="12" t="n">
        <v>1</v>
      </c>
      <c r="O4977" s="12" t="n">
        <v>1</v>
      </c>
      <c r="P4977" s="12" t="n"/>
      <c r="Q4977" s="12" t="n"/>
      <c r="R4977" s="12" t="n"/>
      <c r="S4977" s="12" t="inlineStr">
        <is>
          <t>Duct bank</t>
        </is>
      </c>
      <c r="T4977" s="15" t="n">
        <v>52</v>
      </c>
      <c r="U4977" s="15" t="n">
        <v>126</v>
      </c>
      <c r="V4977" s="15">
        <f>ROUNDUP((T4977+U4977+2*'Read Me'!$B$13)*(1+'Read Me'!$B$12),-1)</f>
        <v/>
      </c>
      <c r="W4977" s="15">
        <f>V4977*N4977*O4977</f>
        <v/>
      </c>
      <c r="X4977" s="12">
        <f>IF(LEFT(I4977,2)="MV",2*N4977*IF(L4977="1/C",O4977,1),0)</f>
        <v/>
      </c>
      <c r="Y4977" s="12">
        <f>IF(OR(LEFT(K4977,4)="LVAX",LEFT(K4977,6)="MV15AX",LEFT(K4977,4)="CTAX",LEFT(K4977,2)="W|"),2*N4977*O4977,0)</f>
        <v/>
      </c>
      <c r="Z4977" s="12" t="inlineStr"/>
      <c r="AA4977" s="12">
        <f>N4977*O4977</f>
        <v/>
      </c>
    </row>
    <row r="4978">
      <c r="A4978" s="12" t="inlineStr">
        <is>
          <t>I-I-0375</t>
        </is>
      </c>
      <c r="B4978" s="12" t="inlineStr">
        <is>
          <t>I</t>
        </is>
      </c>
      <c r="C4978" s="12" t="inlineStr">
        <is>
          <t>Modular / portable power</t>
        </is>
      </c>
      <c r="D4978" s="12" t="inlineStr">
        <is>
          <t>RTD to JB JB-RICE-7-RTD02: 2 x 1 tri (field cables)</t>
        </is>
      </c>
      <c r="E4978" s="12" t="inlineStr">
        <is>
          <t>RICE-7</t>
        </is>
      </c>
      <c r="F4978" s="12" t="inlineStr">
        <is>
          <t>RICE engine-generator 7</t>
        </is>
      </c>
      <c r="G4978" s="12" t="inlineStr">
        <is>
          <t>JB-RICE-7-RTD02</t>
        </is>
      </c>
      <c r="H4978" s="12" t="inlineStr">
        <is>
          <t>RICE engine-generator 7</t>
        </is>
      </c>
      <c r="I4978" s="12" t="inlineStr">
        <is>
          <t>Instrumentation</t>
        </is>
      </c>
      <c r="J4978" s="12" t="inlineStr">
        <is>
          <t>RTD cable, #18 shielded triads, PLTC</t>
        </is>
      </c>
      <c r="K4978" s="12" t="inlineStr">
        <is>
          <t>RTD|1 tri|18</t>
        </is>
      </c>
      <c r="L4978" s="12" t="inlineStr">
        <is>
          <t>1 tri</t>
        </is>
      </c>
      <c r="M4978" s="12" t="inlineStr">
        <is>
          <t>18</t>
        </is>
      </c>
      <c r="N4978" s="12" t="n">
        <v>2</v>
      </c>
      <c r="O4978" s="12" t="n">
        <v>1</v>
      </c>
      <c r="P4978" s="12" t="n"/>
      <c r="Q4978" s="12" t="n"/>
      <c r="R4978" s="12" t="n"/>
      <c r="S4978" s="12" t="inlineStr">
        <is>
          <t>Tray / conduit</t>
        </is>
      </c>
      <c r="T4978" s="15" t="n">
        <v>72</v>
      </c>
      <c r="U4978" s="15" t="n">
        <v>10</v>
      </c>
      <c r="V4978" s="15">
        <f>ROUNDUP((T4978+U4978+2*'Read Me'!$B$13)*(1+'Read Me'!$B$12),-1)</f>
        <v/>
      </c>
      <c r="W4978" s="15">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I-I-0376</t>
        </is>
      </c>
      <c r="B4979" s="12" t="inlineStr">
        <is>
          <t>I</t>
        </is>
      </c>
      <c r="C4979" s="12" t="inlineStr">
        <is>
          <t>Modular / portable power</t>
        </is>
      </c>
      <c r="D4979" s="12" t="inlineStr">
        <is>
          <t>Home run JB-RICE-7-RTD02 to the control / marshalling room</t>
        </is>
      </c>
      <c r="E4979" s="12" t="inlineStr"/>
      <c r="F4979" s="12" t="inlineStr">
        <is>
          <t>PCM: power control module</t>
        </is>
      </c>
      <c r="G4979" s="12" t="inlineStr">
        <is>
          <t>JB-RICE-7-RTD02</t>
        </is>
      </c>
      <c r="H4979" s="12" t="inlineStr">
        <is>
          <t>RICE engine-generator 7</t>
        </is>
      </c>
      <c r="I4979" s="12" t="inlineStr">
        <is>
          <t>Instrumentation</t>
        </is>
      </c>
      <c r="J4979" s="12" t="inlineStr">
        <is>
          <t>RTD cable, #18 shielded triads, PLTC</t>
        </is>
      </c>
      <c r="K4979" s="12" t="inlineStr">
        <is>
          <t>RTD|12 tri|18</t>
        </is>
      </c>
      <c r="L4979" s="12" t="inlineStr">
        <is>
          <t>12 tri</t>
        </is>
      </c>
      <c r="M4979" s="12" t="inlineStr">
        <is>
          <t>18</t>
        </is>
      </c>
      <c r="N4979" s="12" t="n">
        <v>1</v>
      </c>
      <c r="O4979" s="12" t="n">
        <v>1</v>
      </c>
      <c r="P4979" s="12" t="n"/>
      <c r="Q4979" s="12" t="n"/>
      <c r="R4979" s="12" t="n"/>
      <c r="S4979" s="12" t="inlineStr">
        <is>
          <t>Duct bank</t>
        </is>
      </c>
      <c r="T4979" s="15" t="n">
        <v>52</v>
      </c>
      <c r="U4979" s="15" t="n">
        <v>126</v>
      </c>
      <c r="V4979" s="15">
        <f>ROUNDUP((T4979+U4979+2*'Read Me'!$B$13)*(1+'Read Me'!$B$12),-1)</f>
        <v/>
      </c>
      <c r="W4979" s="15">
        <f>V4979*N4979*O4979</f>
        <v/>
      </c>
      <c r="X4979" s="12">
        <f>IF(LEFT(I4979,2)="MV",2*N4979*IF(L4979="1/C",O4979,1),0)</f>
        <v/>
      </c>
      <c r="Y4979" s="12">
        <f>IF(OR(LEFT(K4979,4)="LVAX",LEFT(K4979,6)="MV15AX",LEFT(K4979,4)="CTAX",LEFT(K4979,2)="W|"),2*N4979*O4979,0)</f>
        <v/>
      </c>
      <c r="Z4979" s="12" t="inlineStr"/>
      <c r="AA4979" s="12">
        <f>N4979*O4979</f>
        <v/>
      </c>
    </row>
    <row r="4980">
      <c r="A4980" s="12" t="inlineStr">
        <is>
          <t>I-I-0377</t>
        </is>
      </c>
      <c r="B4980" s="12" t="inlineStr">
        <is>
          <t>I</t>
        </is>
      </c>
      <c r="C4980" s="12" t="inlineStr">
        <is>
          <t>Modular / portable power</t>
        </is>
      </c>
      <c r="D4980" s="12" t="inlineStr">
        <is>
          <t>Analog instrument to JB JB-RICE-8-AI01: 20 x 1 pr (field cables)</t>
        </is>
      </c>
      <c r="E4980" s="12" t="inlineStr">
        <is>
          <t>RICE-8</t>
        </is>
      </c>
      <c r="F4980" s="12" t="inlineStr">
        <is>
          <t>RICE engine-generator 8</t>
        </is>
      </c>
      <c r="G4980" s="12" t="inlineStr">
        <is>
          <t>JB-RICE-8-AI01</t>
        </is>
      </c>
      <c r="H4980" s="12" t="inlineStr">
        <is>
          <t>RICE engine-generator 8</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5" t="n">
        <v>72</v>
      </c>
      <c r="U4980" s="15" t="n">
        <v>10</v>
      </c>
      <c r="V4980" s="15">
        <f>ROUNDUP((T4980+U4980+2*'Read Me'!$B$13)*(1+'Read Me'!$B$12),-1)</f>
        <v/>
      </c>
      <c r="W4980" s="15">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I-I-0378</t>
        </is>
      </c>
      <c r="B4981" s="12" t="inlineStr">
        <is>
          <t>I</t>
        </is>
      </c>
      <c r="C4981" s="12" t="inlineStr">
        <is>
          <t>Modular / portable power</t>
        </is>
      </c>
      <c r="D4981" s="12" t="inlineStr">
        <is>
          <t>Home run JB-RICE-8-AI01 to the control / marshalling room</t>
        </is>
      </c>
      <c r="E4981" s="12" t="inlineStr"/>
      <c r="F4981" s="12" t="inlineStr">
        <is>
          <t>PCM: power control module</t>
        </is>
      </c>
      <c r="G4981" s="12" t="inlineStr">
        <is>
          <t>JB-RICE-8-AI01</t>
        </is>
      </c>
      <c r="H4981" s="12" t="inlineStr">
        <is>
          <t>RICE engine-generator 8</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Duct bank</t>
        </is>
      </c>
      <c r="T4981" s="15" t="n">
        <v>52</v>
      </c>
      <c r="U4981" s="15" t="n">
        <v>98</v>
      </c>
      <c r="V4981" s="15">
        <f>ROUNDUP((T4981+U4981+2*'Read Me'!$B$13)*(1+'Read Me'!$B$12),-1)</f>
        <v/>
      </c>
      <c r="W4981" s="15">
        <f>V4981*N4981*O4981</f>
        <v/>
      </c>
      <c r="X4981" s="12">
        <f>IF(LEFT(I4981,2)="MV",2*N4981*IF(L4981="1/C",O4981,1),0)</f>
        <v/>
      </c>
      <c r="Y4981" s="12">
        <f>IF(OR(LEFT(K4981,4)="LVAX",LEFT(K4981,6)="MV15AX",LEFT(K4981,4)="CTAX",LEFT(K4981,2)="W|"),2*N4981*O4981,0)</f>
        <v/>
      </c>
      <c r="Z4981" s="12" t="inlineStr"/>
      <c r="AA4981" s="12">
        <f>N4981*O4981</f>
        <v/>
      </c>
    </row>
    <row r="4982">
      <c r="A4982" s="12" t="inlineStr">
        <is>
          <t>I-I-0379</t>
        </is>
      </c>
      <c r="B4982" s="12" t="inlineStr">
        <is>
          <t>I</t>
        </is>
      </c>
      <c r="C4982" s="12" t="inlineStr">
        <is>
          <t>Modular / portable power</t>
        </is>
      </c>
      <c r="D4982" s="12" t="inlineStr">
        <is>
          <t>Analog instrument to JB JB-RICE-8-AI02: 20 x 1 pr (field cables)</t>
        </is>
      </c>
      <c r="E4982" s="12" t="inlineStr">
        <is>
          <t>RICE-8</t>
        </is>
      </c>
      <c r="F4982" s="12" t="inlineStr">
        <is>
          <t>RICE engine-generator 8</t>
        </is>
      </c>
      <c r="G4982" s="12" t="inlineStr">
        <is>
          <t>JB-RICE-8-AI02</t>
        </is>
      </c>
      <c r="H4982" s="12" t="inlineStr">
        <is>
          <t>RICE engine-generator 8</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5" t="n">
        <v>72</v>
      </c>
      <c r="U4982" s="15" t="n">
        <v>10</v>
      </c>
      <c r="V4982" s="15">
        <f>ROUNDUP((T4982+U4982+2*'Read Me'!$B$13)*(1+'Read Me'!$B$12),-1)</f>
        <v/>
      </c>
      <c r="W4982" s="15">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I-I-0380</t>
        </is>
      </c>
      <c r="B4983" s="12" t="inlineStr">
        <is>
          <t>I</t>
        </is>
      </c>
      <c r="C4983" s="12" t="inlineStr">
        <is>
          <t>Modular / portable power</t>
        </is>
      </c>
      <c r="D4983" s="12" t="inlineStr">
        <is>
          <t>Home run JB-RICE-8-AI02 to the control / marshalling room</t>
        </is>
      </c>
      <c r="E4983" s="12" t="inlineStr"/>
      <c r="F4983" s="12" t="inlineStr">
        <is>
          <t>PCM: power control module</t>
        </is>
      </c>
      <c r="G4983" s="12" t="inlineStr">
        <is>
          <t>JB-RICE-8-AI02</t>
        </is>
      </c>
      <c r="H4983" s="12" t="inlineStr">
        <is>
          <t>RICE engine-generator 8</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5" t="n">
        <v>52</v>
      </c>
      <c r="U4983" s="15" t="n">
        <v>98</v>
      </c>
      <c r="V4983" s="15">
        <f>ROUNDUP((T4983+U4983+2*'Read Me'!$B$13)*(1+'Read Me'!$B$12),-1)</f>
        <v/>
      </c>
      <c r="W4983" s="15">
        <f>V4983*N4983*O4983</f>
        <v/>
      </c>
      <c r="X4983" s="12">
        <f>IF(LEFT(I4983,2)="MV",2*N4983*IF(L4983="1/C",O4983,1),0)</f>
        <v/>
      </c>
      <c r="Y4983" s="12">
        <f>IF(OR(LEFT(K4983,4)="LVAX",LEFT(K4983,6)="MV15AX",LEFT(K4983,4)="CTAX",LEFT(K4983,2)="W|"),2*N4983*O4983,0)</f>
        <v/>
      </c>
      <c r="Z4983" s="12" t="inlineStr"/>
      <c r="AA4983" s="12">
        <f>N4983*O4983</f>
        <v/>
      </c>
    </row>
    <row r="4984">
      <c r="A4984" s="12" t="inlineStr">
        <is>
          <t>I-I-0381</t>
        </is>
      </c>
      <c r="B4984" s="12" t="inlineStr">
        <is>
          <t>I</t>
        </is>
      </c>
      <c r="C4984" s="12" t="inlineStr">
        <is>
          <t>Modular / portable power</t>
        </is>
      </c>
      <c r="D4984" s="12" t="inlineStr">
        <is>
          <t>Analog instrument to JB JB-RICE-8-AI03: 20 x 1 pr (field cables)</t>
        </is>
      </c>
      <c r="E4984" s="12" t="inlineStr">
        <is>
          <t>RICE-8</t>
        </is>
      </c>
      <c r="F4984" s="12" t="inlineStr">
        <is>
          <t>RICE engine-generator 8</t>
        </is>
      </c>
      <c r="G4984" s="12" t="inlineStr">
        <is>
          <t>JB-RICE-8-AI03</t>
        </is>
      </c>
      <c r="H4984" s="12" t="inlineStr">
        <is>
          <t>RICE engine-generator 8</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5" t="n">
        <v>72</v>
      </c>
      <c r="U4984" s="15" t="n">
        <v>10</v>
      </c>
      <c r="V4984" s="15">
        <f>ROUNDUP((T4984+U4984+2*'Read Me'!$B$13)*(1+'Read Me'!$B$12),-1)</f>
        <v/>
      </c>
      <c r="W4984" s="15">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I-I-0382</t>
        </is>
      </c>
      <c r="B4985" s="12" t="inlineStr">
        <is>
          <t>I</t>
        </is>
      </c>
      <c r="C4985" s="12" t="inlineStr">
        <is>
          <t>Modular / portable power</t>
        </is>
      </c>
      <c r="D4985" s="12" t="inlineStr">
        <is>
          <t>Home run JB-RICE-8-AI03 to the control / marshalling room</t>
        </is>
      </c>
      <c r="E4985" s="12" t="inlineStr"/>
      <c r="F4985" s="12" t="inlineStr">
        <is>
          <t>PCM: power control module</t>
        </is>
      </c>
      <c r="G4985" s="12" t="inlineStr">
        <is>
          <t>JB-RICE-8-AI03</t>
        </is>
      </c>
      <c r="H4985" s="12" t="inlineStr">
        <is>
          <t>RICE engine-generator 8</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5" t="n">
        <v>52</v>
      </c>
      <c r="U4985" s="15" t="n">
        <v>98</v>
      </c>
      <c r="V4985" s="15">
        <f>ROUNDUP((T4985+U4985+2*'Read Me'!$B$13)*(1+'Read Me'!$B$12),-1)</f>
        <v/>
      </c>
      <c r="W4985" s="15">
        <f>V4985*N4985*O4985</f>
        <v/>
      </c>
      <c r="X4985" s="12">
        <f>IF(LEFT(I4985,2)="MV",2*N4985*IF(L4985="1/C",O4985,1),0)</f>
        <v/>
      </c>
      <c r="Y4985" s="12">
        <f>IF(OR(LEFT(K4985,4)="LVAX",LEFT(K4985,6)="MV15AX",LEFT(K4985,4)="CTAX",LEFT(K4985,2)="W|"),2*N4985*O4985,0)</f>
        <v/>
      </c>
      <c r="Z4985" s="12" t="inlineStr"/>
      <c r="AA4985" s="12">
        <f>N4985*O4985</f>
        <v/>
      </c>
    </row>
    <row r="4986">
      <c r="A4986" s="12" t="inlineStr">
        <is>
          <t>I-I-0383</t>
        </is>
      </c>
      <c r="B4986" s="12" t="inlineStr">
        <is>
          <t>I</t>
        </is>
      </c>
      <c r="C4986" s="12" t="inlineStr">
        <is>
          <t>Modular / portable power</t>
        </is>
      </c>
      <c r="D4986" s="12" t="inlineStr">
        <is>
          <t>Analog instrument to JB JB-RICE-8-AI04: 20 x 1 pr (field cables)</t>
        </is>
      </c>
      <c r="E4986" s="12" t="inlineStr">
        <is>
          <t>RICE-8</t>
        </is>
      </c>
      <c r="F4986" s="12" t="inlineStr">
        <is>
          <t>RICE engine-generator 8</t>
        </is>
      </c>
      <c r="G4986" s="12" t="inlineStr">
        <is>
          <t>JB-RICE-8-AI04</t>
        </is>
      </c>
      <c r="H4986" s="12" t="inlineStr">
        <is>
          <t>RICE engine-generator 8</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5" t="n">
        <v>72</v>
      </c>
      <c r="U4986" s="15" t="n">
        <v>10</v>
      </c>
      <c r="V4986" s="15">
        <f>ROUNDUP((T4986+U4986+2*'Read Me'!$B$13)*(1+'Read Me'!$B$12),-1)</f>
        <v/>
      </c>
      <c r="W4986" s="15">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I-I-0384</t>
        </is>
      </c>
      <c r="B4987" s="12" t="inlineStr">
        <is>
          <t>I</t>
        </is>
      </c>
      <c r="C4987" s="12" t="inlineStr">
        <is>
          <t>Modular / portable power</t>
        </is>
      </c>
      <c r="D4987" s="12" t="inlineStr">
        <is>
          <t>Home run JB-RICE-8-AI04 to the control / marshalling room</t>
        </is>
      </c>
      <c r="E4987" s="12" t="inlineStr"/>
      <c r="F4987" s="12" t="inlineStr">
        <is>
          <t>PCM: power control module</t>
        </is>
      </c>
      <c r="G4987" s="12" t="inlineStr">
        <is>
          <t>JB-RICE-8-AI04</t>
        </is>
      </c>
      <c r="H4987" s="12" t="inlineStr">
        <is>
          <t>RICE engine-generator 8</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5" t="n">
        <v>52</v>
      </c>
      <c r="U4987" s="15" t="n">
        <v>98</v>
      </c>
      <c r="V4987" s="15">
        <f>ROUNDUP((T4987+U4987+2*'Read Me'!$B$13)*(1+'Read Me'!$B$12),-1)</f>
        <v/>
      </c>
      <c r="W4987" s="15">
        <f>V4987*N4987*O4987</f>
        <v/>
      </c>
      <c r="X4987" s="12">
        <f>IF(LEFT(I4987,2)="MV",2*N4987*IF(L4987="1/C",O4987,1),0)</f>
        <v/>
      </c>
      <c r="Y4987" s="12">
        <f>IF(OR(LEFT(K4987,4)="LVAX",LEFT(K4987,6)="MV15AX",LEFT(K4987,4)="CTAX",LEFT(K4987,2)="W|"),2*N4987*O4987,0)</f>
        <v/>
      </c>
      <c r="Z4987" s="12" t="inlineStr"/>
      <c r="AA4987" s="12">
        <f>N4987*O4987</f>
        <v/>
      </c>
    </row>
    <row r="4988">
      <c r="A4988" s="12" t="inlineStr">
        <is>
          <t>I-I-0385</t>
        </is>
      </c>
      <c r="B4988" s="12" t="inlineStr">
        <is>
          <t>I</t>
        </is>
      </c>
      <c r="C4988" s="12" t="inlineStr">
        <is>
          <t>Modular / portable power</t>
        </is>
      </c>
      <c r="D4988" s="12" t="inlineStr">
        <is>
          <t>Discrete device to JB JB-RICE-8-DI01: 20 x 1 pr (field cables)</t>
        </is>
      </c>
      <c r="E4988" s="12" t="inlineStr">
        <is>
          <t>RICE-8</t>
        </is>
      </c>
      <c r="F4988" s="12" t="inlineStr">
        <is>
          <t>RICE engine-generator 8</t>
        </is>
      </c>
      <c r="G4988" s="12" t="inlineStr">
        <is>
          <t>JB-RICE-8-DI01</t>
        </is>
      </c>
      <c r="H4988" s="12" t="inlineStr">
        <is>
          <t>RICE engine-generator 8</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5" t="n">
        <v>72</v>
      </c>
      <c r="U4988" s="15" t="n">
        <v>10</v>
      </c>
      <c r="V4988" s="15">
        <f>ROUNDUP((T4988+U4988+2*'Read Me'!$B$13)*(1+'Read Me'!$B$12),-1)</f>
        <v/>
      </c>
      <c r="W4988" s="15">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I-I-0386</t>
        </is>
      </c>
      <c r="B4989" s="12" t="inlineStr">
        <is>
          <t>I</t>
        </is>
      </c>
      <c r="C4989" s="12" t="inlineStr">
        <is>
          <t>Modular / portable power</t>
        </is>
      </c>
      <c r="D4989" s="12" t="inlineStr">
        <is>
          <t>Home run JB-RICE-8-DI01 to the control / marshalling room</t>
        </is>
      </c>
      <c r="E4989" s="12" t="inlineStr"/>
      <c r="F4989" s="12" t="inlineStr">
        <is>
          <t>PCM: power control module</t>
        </is>
      </c>
      <c r="G4989" s="12" t="inlineStr">
        <is>
          <t>JB-RICE-8-DI01</t>
        </is>
      </c>
      <c r="H4989" s="12" t="inlineStr">
        <is>
          <t>RICE engine-generator 8</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5" t="n">
        <v>52</v>
      </c>
      <c r="U4989" s="15" t="n">
        <v>98</v>
      </c>
      <c r="V4989" s="15">
        <f>ROUNDUP((T4989+U4989+2*'Read Me'!$B$13)*(1+'Read Me'!$B$12),-1)</f>
        <v/>
      </c>
      <c r="W4989" s="15">
        <f>V4989*N4989*O4989</f>
        <v/>
      </c>
      <c r="X4989" s="12">
        <f>IF(LEFT(I4989,2)="MV",2*N4989*IF(L4989="1/C",O4989,1),0)</f>
        <v/>
      </c>
      <c r="Y4989" s="12">
        <f>IF(OR(LEFT(K4989,4)="LVAX",LEFT(K4989,6)="MV15AX",LEFT(K4989,4)="CTAX",LEFT(K4989,2)="W|"),2*N4989*O4989,0)</f>
        <v/>
      </c>
      <c r="Z4989" s="12" t="inlineStr"/>
      <c r="AA4989" s="12">
        <f>N4989*O4989</f>
        <v/>
      </c>
    </row>
    <row r="4990">
      <c r="A4990" s="12" t="inlineStr">
        <is>
          <t>I-I-0387</t>
        </is>
      </c>
      <c r="B4990" s="12" t="inlineStr">
        <is>
          <t>I</t>
        </is>
      </c>
      <c r="C4990" s="12" t="inlineStr">
        <is>
          <t>Modular / portable power</t>
        </is>
      </c>
      <c r="D4990" s="12" t="inlineStr">
        <is>
          <t>Discrete device to JB JB-RICE-8-DI02: 20 x 1 pr (field cables)</t>
        </is>
      </c>
      <c r="E4990" s="12" t="inlineStr">
        <is>
          <t>RICE-8</t>
        </is>
      </c>
      <c r="F4990" s="12" t="inlineStr">
        <is>
          <t>RICE engine-generator 8</t>
        </is>
      </c>
      <c r="G4990" s="12" t="inlineStr">
        <is>
          <t>JB-RICE-8-DI02</t>
        </is>
      </c>
      <c r="H4990" s="12" t="inlineStr">
        <is>
          <t>RICE engine-generator 8</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5" t="n">
        <v>72</v>
      </c>
      <c r="U4990" s="15" t="n">
        <v>10</v>
      </c>
      <c r="V4990" s="15">
        <f>ROUNDUP((T4990+U4990+2*'Read Me'!$B$13)*(1+'Read Me'!$B$12),-1)</f>
        <v/>
      </c>
      <c r="W4990" s="15">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I-I-0388</t>
        </is>
      </c>
      <c r="B4991" s="12" t="inlineStr">
        <is>
          <t>I</t>
        </is>
      </c>
      <c r="C4991" s="12" t="inlineStr">
        <is>
          <t>Modular / portable power</t>
        </is>
      </c>
      <c r="D4991" s="12" t="inlineStr">
        <is>
          <t>Home run JB-RICE-8-DI02 to the control / marshalling room</t>
        </is>
      </c>
      <c r="E4991" s="12" t="inlineStr"/>
      <c r="F4991" s="12" t="inlineStr">
        <is>
          <t>PCM: power control module</t>
        </is>
      </c>
      <c r="G4991" s="12" t="inlineStr">
        <is>
          <t>JB-RICE-8-DI02</t>
        </is>
      </c>
      <c r="H4991" s="12" t="inlineStr">
        <is>
          <t>RICE engine-generator 8</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Duct bank</t>
        </is>
      </c>
      <c r="T4991" s="15" t="n">
        <v>52</v>
      </c>
      <c r="U4991" s="15" t="n">
        <v>98</v>
      </c>
      <c r="V4991" s="15">
        <f>ROUNDUP((T4991+U4991+2*'Read Me'!$B$13)*(1+'Read Me'!$B$12),-1)</f>
        <v/>
      </c>
      <c r="W4991" s="15">
        <f>V4991*N4991*O4991</f>
        <v/>
      </c>
      <c r="X4991" s="12">
        <f>IF(LEFT(I4991,2)="MV",2*N4991*IF(L4991="1/C",O4991,1),0)</f>
        <v/>
      </c>
      <c r="Y4991" s="12">
        <f>IF(OR(LEFT(K4991,4)="LVAX",LEFT(K4991,6)="MV15AX",LEFT(K4991,4)="CTAX",LEFT(K4991,2)="W|"),2*N4991*O4991,0)</f>
        <v/>
      </c>
      <c r="Z4991" s="12" t="inlineStr"/>
      <c r="AA4991" s="12">
        <f>N4991*O4991</f>
        <v/>
      </c>
    </row>
    <row r="4992">
      <c r="A4992" s="12" t="inlineStr">
        <is>
          <t>I-I-0389</t>
        </is>
      </c>
      <c r="B4992" s="12" t="inlineStr">
        <is>
          <t>I</t>
        </is>
      </c>
      <c r="C4992" s="12" t="inlineStr">
        <is>
          <t>Modular / portable power</t>
        </is>
      </c>
      <c r="D4992" s="12" t="inlineStr">
        <is>
          <t>Discrete device to JB JB-RICE-8-DI03: 20 x 1 pr (field cables)</t>
        </is>
      </c>
      <c r="E4992" s="12" t="inlineStr">
        <is>
          <t>RICE-8</t>
        </is>
      </c>
      <c r="F4992" s="12" t="inlineStr">
        <is>
          <t>RICE engine-generator 8</t>
        </is>
      </c>
      <c r="G4992" s="12" t="inlineStr">
        <is>
          <t>JB-RICE-8-DI03</t>
        </is>
      </c>
      <c r="H4992" s="12" t="inlineStr">
        <is>
          <t>RICE engine-generator 8</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20</v>
      </c>
      <c r="O4992" s="12" t="n">
        <v>1</v>
      </c>
      <c r="P4992" s="12" t="n"/>
      <c r="Q4992" s="12" t="n"/>
      <c r="R4992" s="12" t="n"/>
      <c r="S4992" s="12" t="inlineStr">
        <is>
          <t>Tray / conduit</t>
        </is>
      </c>
      <c r="T4992" s="15" t="n">
        <v>72</v>
      </c>
      <c r="U4992" s="15" t="n">
        <v>10</v>
      </c>
      <c r="V4992" s="15">
        <f>ROUNDUP((T4992+U4992+2*'Read Me'!$B$13)*(1+'Read Me'!$B$12),-1)</f>
        <v/>
      </c>
      <c r="W4992" s="15">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I-I-0390</t>
        </is>
      </c>
      <c r="B4993" s="12" t="inlineStr">
        <is>
          <t>I</t>
        </is>
      </c>
      <c r="C4993" s="12" t="inlineStr">
        <is>
          <t>Modular / portable power</t>
        </is>
      </c>
      <c r="D4993" s="12" t="inlineStr">
        <is>
          <t>Home run JB-RICE-8-DI03 to the control / marshalling room</t>
        </is>
      </c>
      <c r="E4993" s="12" t="inlineStr"/>
      <c r="F4993" s="12" t="inlineStr">
        <is>
          <t>PCM: power control module</t>
        </is>
      </c>
      <c r="G4993" s="12" t="inlineStr">
        <is>
          <t>JB-RICE-8-DI03</t>
        </is>
      </c>
      <c r="H4993" s="12" t="inlineStr">
        <is>
          <t>RICE engine-generator 8</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Duct bank</t>
        </is>
      </c>
      <c r="T4993" s="15" t="n">
        <v>52</v>
      </c>
      <c r="U4993" s="15" t="n">
        <v>98</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I-I-0391</t>
        </is>
      </c>
      <c r="B4994" s="12" t="inlineStr">
        <is>
          <t>I</t>
        </is>
      </c>
      <c r="C4994" s="12" t="inlineStr">
        <is>
          <t>Modular / portable power</t>
        </is>
      </c>
      <c r="D4994" s="12" t="inlineStr">
        <is>
          <t>Thermocouple to TC JB JB-RICE-8-TC01: 20 x 1 pr (field cables)</t>
        </is>
      </c>
      <c r="E4994" s="12" t="inlineStr">
        <is>
          <t>RICE-8</t>
        </is>
      </c>
      <c r="F4994" s="12" t="inlineStr">
        <is>
          <t>RICE engine-generator 8</t>
        </is>
      </c>
      <c r="G4994" s="12" t="inlineStr">
        <is>
          <t>JB-RICE-8-TC01</t>
        </is>
      </c>
      <c r="H4994" s="12" t="inlineStr">
        <is>
          <t>RICE engine-generator 8</t>
        </is>
      </c>
      <c r="I4994" s="12" t="inlineStr">
        <is>
          <t>Instrumentation</t>
        </is>
      </c>
      <c r="J4994" s="12" t="inlineStr">
        <is>
          <t>Thermocouple extension KX, #16 shielded pairs, PLTC</t>
        </is>
      </c>
      <c r="K4994" s="12" t="inlineStr">
        <is>
          <t>TCX|1 pr|16</t>
        </is>
      </c>
      <c r="L4994" s="12" t="inlineStr">
        <is>
          <t>1 pr</t>
        </is>
      </c>
      <c r="M4994" s="12" t="inlineStr">
        <is>
          <t>16</t>
        </is>
      </c>
      <c r="N4994" s="12" t="n">
        <v>20</v>
      </c>
      <c r="O4994" s="12" t="n">
        <v>1</v>
      </c>
      <c r="P4994" s="12" t="n"/>
      <c r="Q4994" s="12" t="n"/>
      <c r="R4994" s="12" t="n"/>
      <c r="S4994" s="12" t="inlineStr">
        <is>
          <t>Tray / conduit</t>
        </is>
      </c>
      <c r="T4994" s="15" t="n">
        <v>72</v>
      </c>
      <c r="U4994" s="15" t="n">
        <v>10</v>
      </c>
      <c r="V4994" s="15">
        <f>ROUNDUP((T4994+U4994+2*'Read Me'!$B$13)*(1+'Read Me'!$B$12),-1)</f>
        <v/>
      </c>
      <c r="W4994" s="15">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I-I-0392</t>
        </is>
      </c>
      <c r="B4995" s="12" t="inlineStr">
        <is>
          <t>I</t>
        </is>
      </c>
      <c r="C4995" s="12" t="inlineStr">
        <is>
          <t>Modular / portable power</t>
        </is>
      </c>
      <c r="D4995" s="12" t="inlineStr">
        <is>
          <t>Home run JB-RICE-8-TC01 to the control / marshalling room</t>
        </is>
      </c>
      <c r="E4995" s="12" t="inlineStr"/>
      <c r="F4995" s="12" t="inlineStr">
        <is>
          <t>PCM: power control module</t>
        </is>
      </c>
      <c r="G4995" s="12" t="inlineStr">
        <is>
          <t>JB-RICE-8-TC01</t>
        </is>
      </c>
      <c r="H4995" s="12" t="inlineStr">
        <is>
          <t>RICE engine-generator 8</t>
        </is>
      </c>
      <c r="I4995" s="12" t="inlineStr">
        <is>
          <t>Instrumentation</t>
        </is>
      </c>
      <c r="J4995" s="12" t="inlineStr">
        <is>
          <t>Thermocouple extension KX, #16 shielded pairs, PLTC</t>
        </is>
      </c>
      <c r="K4995" s="12" t="inlineStr">
        <is>
          <t>TCX|24 pr|16</t>
        </is>
      </c>
      <c r="L4995" s="12" t="inlineStr">
        <is>
          <t>24 pr</t>
        </is>
      </c>
      <c r="M4995" s="12" t="inlineStr">
        <is>
          <t>16</t>
        </is>
      </c>
      <c r="N4995" s="12" t="n">
        <v>1</v>
      </c>
      <c r="O4995" s="12" t="n">
        <v>1</v>
      </c>
      <c r="P4995" s="12" t="n"/>
      <c r="Q4995" s="12" t="n"/>
      <c r="R4995" s="12" t="n"/>
      <c r="S4995" s="12" t="inlineStr">
        <is>
          <t>Duct bank</t>
        </is>
      </c>
      <c r="T4995" s="15" t="n">
        <v>52</v>
      </c>
      <c r="U4995" s="15" t="n">
        <v>98</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I-I-0393</t>
        </is>
      </c>
      <c r="B4996" s="12" t="inlineStr">
        <is>
          <t>I</t>
        </is>
      </c>
      <c r="C4996" s="12" t="inlineStr">
        <is>
          <t>Modular / portable power</t>
        </is>
      </c>
      <c r="D4996" s="12" t="inlineStr">
        <is>
          <t>Thermocouple to TC JB JB-RICE-8-TC02: 10 x 1 pr (field cables)</t>
        </is>
      </c>
      <c r="E4996" s="12" t="inlineStr">
        <is>
          <t>RICE-8</t>
        </is>
      </c>
      <c r="F4996" s="12" t="inlineStr">
        <is>
          <t>RICE engine-generator 8</t>
        </is>
      </c>
      <c r="G4996" s="12" t="inlineStr">
        <is>
          <t>JB-RICE-8-TC02</t>
        </is>
      </c>
      <c r="H4996" s="12" t="inlineStr">
        <is>
          <t>RICE engine-generator 8</t>
        </is>
      </c>
      <c r="I4996" s="12" t="inlineStr">
        <is>
          <t>Instrumentation</t>
        </is>
      </c>
      <c r="J4996" s="12" t="inlineStr">
        <is>
          <t>Thermocouple extension KX, #16 shielded pairs, PLTC</t>
        </is>
      </c>
      <c r="K4996" s="12" t="inlineStr">
        <is>
          <t>TCX|1 pr|16</t>
        </is>
      </c>
      <c r="L4996" s="12" t="inlineStr">
        <is>
          <t>1 pr</t>
        </is>
      </c>
      <c r="M4996" s="12" t="inlineStr">
        <is>
          <t>16</t>
        </is>
      </c>
      <c r="N4996" s="12" t="n">
        <v>10</v>
      </c>
      <c r="O4996" s="12" t="n">
        <v>1</v>
      </c>
      <c r="P4996" s="12" t="n"/>
      <c r="Q4996" s="12" t="n"/>
      <c r="R4996" s="12" t="n"/>
      <c r="S4996" s="12" t="inlineStr">
        <is>
          <t>Tray / conduit</t>
        </is>
      </c>
      <c r="T4996" s="15" t="n">
        <v>72</v>
      </c>
      <c r="U4996" s="15" t="n">
        <v>10</v>
      </c>
      <c r="V4996" s="15">
        <f>ROUNDUP((T4996+U4996+2*'Read Me'!$B$13)*(1+'Read Me'!$B$12),-1)</f>
        <v/>
      </c>
      <c r="W4996" s="15">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I-I-0394</t>
        </is>
      </c>
      <c r="B4997" s="12" t="inlineStr">
        <is>
          <t>I</t>
        </is>
      </c>
      <c r="C4997" s="12" t="inlineStr">
        <is>
          <t>Modular / portable power</t>
        </is>
      </c>
      <c r="D4997" s="12" t="inlineStr">
        <is>
          <t>Home run JB-RICE-8-TC02 to the control / marshalling room</t>
        </is>
      </c>
      <c r="E4997" s="12" t="inlineStr"/>
      <c r="F4997" s="12" t="inlineStr">
        <is>
          <t>PCM: power control module</t>
        </is>
      </c>
      <c r="G4997" s="12" t="inlineStr">
        <is>
          <t>JB-RICE-8-TC02</t>
        </is>
      </c>
      <c r="H4997" s="12" t="inlineStr">
        <is>
          <t>RICE engine-generator 8</t>
        </is>
      </c>
      <c r="I4997" s="12" t="inlineStr">
        <is>
          <t>Instrumentation</t>
        </is>
      </c>
      <c r="J4997" s="12" t="inlineStr">
        <is>
          <t>Thermocouple extension KX, #16 shielded pairs, PLTC</t>
        </is>
      </c>
      <c r="K4997" s="12" t="inlineStr">
        <is>
          <t>TCX|24 pr|16</t>
        </is>
      </c>
      <c r="L4997" s="12" t="inlineStr">
        <is>
          <t>24 pr</t>
        </is>
      </c>
      <c r="M4997" s="12" t="inlineStr">
        <is>
          <t>16</t>
        </is>
      </c>
      <c r="N4997" s="12" t="n">
        <v>1</v>
      </c>
      <c r="O4997" s="12" t="n">
        <v>1</v>
      </c>
      <c r="P4997" s="12" t="n"/>
      <c r="Q4997" s="12" t="n"/>
      <c r="R4997" s="12" t="n"/>
      <c r="S4997" s="12" t="inlineStr">
        <is>
          <t>Duct bank</t>
        </is>
      </c>
      <c r="T4997" s="15" t="n">
        <v>52</v>
      </c>
      <c r="U4997" s="15" t="n">
        <v>98</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I-I-0395</t>
        </is>
      </c>
      <c r="B4998" s="12" t="inlineStr">
        <is>
          <t>I</t>
        </is>
      </c>
      <c r="C4998" s="12" t="inlineStr">
        <is>
          <t>Modular / portable power</t>
        </is>
      </c>
      <c r="D4998" s="12" t="inlineStr">
        <is>
          <t>RTD to JB JB-RICE-8-RTD01: 10 x 1 tri (field cables)</t>
        </is>
      </c>
      <c r="E4998" s="12" t="inlineStr">
        <is>
          <t>RICE-8</t>
        </is>
      </c>
      <c r="F4998" s="12" t="inlineStr">
        <is>
          <t>RICE engine-generator 8</t>
        </is>
      </c>
      <c r="G4998" s="12" t="inlineStr">
        <is>
          <t>JB-RICE-8-RTD01</t>
        </is>
      </c>
      <c r="H4998" s="12" t="inlineStr">
        <is>
          <t>RICE engine-generator 8</t>
        </is>
      </c>
      <c r="I4998" s="12" t="inlineStr">
        <is>
          <t>Instrumentation</t>
        </is>
      </c>
      <c r="J4998" s="12" t="inlineStr">
        <is>
          <t>RTD cable, #18 shielded triads, PLTC</t>
        </is>
      </c>
      <c r="K4998" s="12" t="inlineStr">
        <is>
          <t>RTD|1 tri|18</t>
        </is>
      </c>
      <c r="L4998" s="12" t="inlineStr">
        <is>
          <t>1 tri</t>
        </is>
      </c>
      <c r="M4998" s="12" t="inlineStr">
        <is>
          <t>18</t>
        </is>
      </c>
      <c r="N4998" s="12" t="n">
        <v>10</v>
      </c>
      <c r="O4998" s="12" t="n">
        <v>1</v>
      </c>
      <c r="P4998" s="12" t="n"/>
      <c r="Q4998" s="12" t="n"/>
      <c r="R4998" s="12" t="n"/>
      <c r="S4998" s="12" t="inlineStr">
        <is>
          <t>Tray / conduit</t>
        </is>
      </c>
      <c r="T4998" s="15" t="n">
        <v>72</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I-I-0396</t>
        </is>
      </c>
      <c r="B4999" s="12" t="inlineStr">
        <is>
          <t>I</t>
        </is>
      </c>
      <c r="C4999" s="12" t="inlineStr">
        <is>
          <t>Modular / portable power</t>
        </is>
      </c>
      <c r="D4999" s="12" t="inlineStr">
        <is>
          <t>Home run JB-RICE-8-RTD01 to the control / marshalling room</t>
        </is>
      </c>
      <c r="E4999" s="12" t="inlineStr"/>
      <c r="F4999" s="12" t="inlineStr">
        <is>
          <t>PCM: power control module</t>
        </is>
      </c>
      <c r="G4999" s="12" t="inlineStr">
        <is>
          <t>JB-RICE-8-RTD01</t>
        </is>
      </c>
      <c r="H4999" s="12" t="inlineStr">
        <is>
          <t>RICE engine-generator 8</t>
        </is>
      </c>
      <c r="I4999" s="12" t="inlineStr">
        <is>
          <t>Instrumentation</t>
        </is>
      </c>
      <c r="J4999" s="12" t="inlineStr">
        <is>
          <t>RTD cable, #18 shielded triads, PLTC</t>
        </is>
      </c>
      <c r="K4999" s="12" t="inlineStr">
        <is>
          <t>RTD|12 tri|18</t>
        </is>
      </c>
      <c r="L4999" s="12" t="inlineStr">
        <is>
          <t>12 tri</t>
        </is>
      </c>
      <c r="M4999" s="12" t="inlineStr">
        <is>
          <t>18</t>
        </is>
      </c>
      <c r="N4999" s="12" t="n">
        <v>1</v>
      </c>
      <c r="O4999" s="12" t="n">
        <v>1</v>
      </c>
      <c r="P4999" s="12" t="n"/>
      <c r="Q4999" s="12" t="n"/>
      <c r="R4999" s="12" t="n"/>
      <c r="S4999" s="12" t="inlineStr">
        <is>
          <t>Duct bank</t>
        </is>
      </c>
      <c r="T4999" s="15" t="n">
        <v>52</v>
      </c>
      <c r="U4999" s="15" t="n">
        <v>98</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I-I-0397</t>
        </is>
      </c>
      <c r="B5000" s="12" t="inlineStr">
        <is>
          <t>I</t>
        </is>
      </c>
      <c r="C5000" s="12" t="inlineStr">
        <is>
          <t>Modular / portable power</t>
        </is>
      </c>
      <c r="D5000" s="12" t="inlineStr">
        <is>
          <t>RTD to JB JB-RICE-8-RTD02: 2 x 1 tri (field cables)</t>
        </is>
      </c>
      <c r="E5000" s="12" t="inlineStr">
        <is>
          <t>RICE-8</t>
        </is>
      </c>
      <c r="F5000" s="12" t="inlineStr">
        <is>
          <t>RICE engine-generator 8</t>
        </is>
      </c>
      <c r="G5000" s="12" t="inlineStr">
        <is>
          <t>JB-RICE-8-RTD02</t>
        </is>
      </c>
      <c r="H5000" s="12" t="inlineStr">
        <is>
          <t>RICE engine-generator 8</t>
        </is>
      </c>
      <c r="I5000" s="12" t="inlineStr">
        <is>
          <t>Instrumentation</t>
        </is>
      </c>
      <c r="J5000" s="12" t="inlineStr">
        <is>
          <t>RTD cable, #18 shielded triads, PLTC</t>
        </is>
      </c>
      <c r="K5000" s="12" t="inlineStr">
        <is>
          <t>RTD|1 tri|18</t>
        </is>
      </c>
      <c r="L5000" s="12" t="inlineStr">
        <is>
          <t>1 tri</t>
        </is>
      </c>
      <c r="M5000" s="12" t="inlineStr">
        <is>
          <t>18</t>
        </is>
      </c>
      <c r="N5000" s="12" t="n">
        <v>2</v>
      </c>
      <c r="O5000" s="12" t="n">
        <v>1</v>
      </c>
      <c r="P5000" s="12" t="n"/>
      <c r="Q5000" s="12" t="n"/>
      <c r="R5000" s="12" t="n"/>
      <c r="S5000" s="12" t="inlineStr">
        <is>
          <t>Tray / conduit</t>
        </is>
      </c>
      <c r="T5000" s="15" t="n">
        <v>72</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I-I-0398</t>
        </is>
      </c>
      <c r="B5001" s="12" t="inlineStr">
        <is>
          <t>I</t>
        </is>
      </c>
      <c r="C5001" s="12" t="inlineStr">
        <is>
          <t>Modular / portable power</t>
        </is>
      </c>
      <c r="D5001" s="12" t="inlineStr">
        <is>
          <t>Home run JB-RICE-8-RTD02 to the control / marshalling room</t>
        </is>
      </c>
      <c r="E5001" s="12" t="inlineStr"/>
      <c r="F5001" s="12" t="inlineStr">
        <is>
          <t>PCM: power control module</t>
        </is>
      </c>
      <c r="G5001" s="12" t="inlineStr">
        <is>
          <t>JB-RICE-8-RTD02</t>
        </is>
      </c>
      <c r="H5001" s="12" t="inlineStr">
        <is>
          <t>RICE engine-generator 8</t>
        </is>
      </c>
      <c r="I5001" s="12" t="inlineStr">
        <is>
          <t>Instrumentation</t>
        </is>
      </c>
      <c r="J5001" s="12" t="inlineStr">
        <is>
          <t>RTD cable, #18 shielded triads, PLTC</t>
        </is>
      </c>
      <c r="K5001" s="12" t="inlineStr">
        <is>
          <t>RTD|12 tri|18</t>
        </is>
      </c>
      <c r="L5001" s="12" t="inlineStr">
        <is>
          <t>12 tri</t>
        </is>
      </c>
      <c r="M5001" s="12" t="inlineStr">
        <is>
          <t>18</t>
        </is>
      </c>
      <c r="N5001" s="12" t="n">
        <v>1</v>
      </c>
      <c r="O5001" s="12" t="n">
        <v>1</v>
      </c>
      <c r="P5001" s="12" t="n"/>
      <c r="Q5001" s="12" t="n"/>
      <c r="R5001" s="12" t="n"/>
      <c r="S5001" s="12" t="inlineStr">
        <is>
          <t>Duct bank</t>
        </is>
      </c>
      <c r="T5001" s="15" t="n">
        <v>52</v>
      </c>
      <c r="U5001" s="15" t="n">
        <v>98</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I-I-0399</t>
        </is>
      </c>
      <c r="B5002" s="12" t="inlineStr">
        <is>
          <t>I</t>
        </is>
      </c>
      <c r="C5002" s="12" t="inlineStr">
        <is>
          <t>Modular / portable power</t>
        </is>
      </c>
      <c r="D5002" s="12" t="inlineStr">
        <is>
          <t>RICE-GSU-A monitoring: temperatures, gas relay, oil level</t>
        </is>
      </c>
      <c r="E5002" s="12" t="inlineStr"/>
      <c r="F5002" s="12" t="inlineStr">
        <is>
          <t>PCM: power control module</t>
        </is>
      </c>
      <c r="G5002" s="12" t="inlineStr">
        <is>
          <t>RICE-GSU-A</t>
        </is>
      </c>
      <c r="H5002" s="12" t="inlineStr">
        <is>
          <t>RICE-GSU-A: 13.8 / 34.5 kV group step-up, ~45 MVA (RICE 1-2)</t>
        </is>
      </c>
      <c r="I5002" s="12" t="inlineStr">
        <is>
          <t>Instrumentation</t>
        </is>
      </c>
      <c r="J5002" s="12" t="inlineStr">
        <is>
          <t>Instrumentation ITC / PLTC, IS, #18 shielded pairs, blue jacket</t>
        </is>
      </c>
      <c r="K5002" s="12" t="inlineStr">
        <is>
          <t>ITC|4 pr|18</t>
        </is>
      </c>
      <c r="L5002" s="12" t="inlineStr">
        <is>
          <t>4 pr</t>
        </is>
      </c>
      <c r="M5002" s="12" t="inlineStr">
        <is>
          <t>18</t>
        </is>
      </c>
      <c r="N5002" s="12" t="n">
        <v>1</v>
      </c>
      <c r="O5002" s="12" t="n">
        <v>1</v>
      </c>
      <c r="P5002" s="12" t="n"/>
      <c r="Q5002" s="12" t="n"/>
      <c r="R5002" s="12" t="n"/>
      <c r="S5002" s="12" t="inlineStr">
        <is>
          <t>Duct bank</t>
        </is>
      </c>
      <c r="T5002" s="15" t="n">
        <v>31</v>
      </c>
      <c r="U5002" s="15" t="n">
        <v>32</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I-I-0400</t>
        </is>
      </c>
      <c r="B5003" s="12" t="inlineStr">
        <is>
          <t>I</t>
        </is>
      </c>
      <c r="C5003" s="12" t="inlineStr">
        <is>
          <t>Modular / portable power</t>
        </is>
      </c>
      <c r="D5003" s="12" t="inlineStr">
        <is>
          <t>RICE-GSU-B monitoring: temperatures, gas relay, oil level</t>
        </is>
      </c>
      <c r="E5003" s="12" t="inlineStr"/>
      <c r="F5003" s="12" t="inlineStr">
        <is>
          <t>PCM: power control module</t>
        </is>
      </c>
      <c r="G5003" s="12" t="inlineStr">
        <is>
          <t>RICE-GSU-B</t>
        </is>
      </c>
      <c r="H5003" s="12" t="inlineStr">
        <is>
          <t>RICE-GSU-B: 13.8 / 34.5 kV group step-up, ~45 MVA (RICE 3-4)</t>
        </is>
      </c>
      <c r="I5003" s="12" t="inlineStr">
        <is>
          <t>Instrumentation</t>
        </is>
      </c>
      <c r="J5003" s="12" t="inlineStr">
        <is>
          <t>Instrumentation ITC / PLTC, IS, #18 shielded pairs, blue jacket</t>
        </is>
      </c>
      <c r="K5003" s="12" t="inlineStr">
        <is>
          <t>ITC|4 pr|18</t>
        </is>
      </c>
      <c r="L5003" s="12" t="inlineStr">
        <is>
          <t>4 pr</t>
        </is>
      </c>
      <c r="M5003" s="12" t="inlineStr">
        <is>
          <t>18</t>
        </is>
      </c>
      <c r="N5003" s="12" t="n">
        <v>1</v>
      </c>
      <c r="O5003" s="12" t="n">
        <v>1</v>
      </c>
      <c r="P5003" s="12" t="n"/>
      <c r="Q5003" s="12" t="n"/>
      <c r="R5003" s="12" t="n"/>
      <c r="S5003" s="12" t="inlineStr">
        <is>
          <t>Duct bank</t>
        </is>
      </c>
      <c r="T5003" s="15" t="n">
        <v>56</v>
      </c>
      <c r="U5003" s="15" t="n">
        <v>32</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I-I-0401</t>
        </is>
      </c>
      <c r="B5004" s="12" t="inlineStr">
        <is>
          <t>I</t>
        </is>
      </c>
      <c r="C5004" s="12" t="inlineStr">
        <is>
          <t>Modular / portable power</t>
        </is>
      </c>
      <c r="D5004" s="12" t="inlineStr">
        <is>
          <t>RICE-GSU-C monitoring: temperatures, gas relay, oil level</t>
        </is>
      </c>
      <c r="E5004" s="12" t="inlineStr"/>
      <c r="F5004" s="12" t="inlineStr">
        <is>
          <t>PCM: power control module</t>
        </is>
      </c>
      <c r="G5004" s="12" t="inlineStr">
        <is>
          <t>RICE-GSU-C</t>
        </is>
      </c>
      <c r="H5004" s="12" t="inlineStr">
        <is>
          <t>RICE-GSU-C: 13.8 / 34.5 kV group step-up, ~45 MVA (RICE 5-6)</t>
        </is>
      </c>
      <c r="I5004" s="12" t="inlineStr">
        <is>
          <t>Instrumentation</t>
        </is>
      </c>
      <c r="J5004" s="12" t="inlineStr">
        <is>
          <t>Instrumentation ITC / PLTC, IS, #18 shielded pairs, blue jacket</t>
        </is>
      </c>
      <c r="K5004" s="12" t="inlineStr">
        <is>
          <t>ITC|4 pr|18</t>
        </is>
      </c>
      <c r="L5004" s="12" t="inlineStr">
        <is>
          <t>4 pr</t>
        </is>
      </c>
      <c r="M5004" s="12" t="inlineStr">
        <is>
          <t>18</t>
        </is>
      </c>
      <c r="N5004" s="12" t="n">
        <v>1</v>
      </c>
      <c r="O5004" s="12" t="n">
        <v>1</v>
      </c>
      <c r="P5004" s="12" t="n"/>
      <c r="Q5004" s="12" t="n"/>
      <c r="R5004" s="12" t="n"/>
      <c r="S5004" s="12" t="inlineStr">
        <is>
          <t>Duct bank</t>
        </is>
      </c>
      <c r="T5004" s="15" t="n">
        <v>81</v>
      </c>
      <c r="U5004" s="15" t="n">
        <v>32</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I-I-0402</t>
        </is>
      </c>
      <c r="B5005" s="12" t="inlineStr">
        <is>
          <t>I</t>
        </is>
      </c>
      <c r="C5005" s="12" t="inlineStr">
        <is>
          <t>Modular / portable power</t>
        </is>
      </c>
      <c r="D5005" s="12" t="inlineStr">
        <is>
          <t>RICE-GSU-D monitoring: temperatures, gas relay, oil level</t>
        </is>
      </c>
      <c r="E5005" s="12" t="inlineStr"/>
      <c r="F5005" s="12" t="inlineStr">
        <is>
          <t>PCM: power control module</t>
        </is>
      </c>
      <c r="G5005" s="12" t="inlineStr">
        <is>
          <t>RICE-GSU-D</t>
        </is>
      </c>
      <c r="H5005" s="12" t="inlineStr">
        <is>
          <t>RICE-GSU-D: 13.8 / 34.5 kV group step-up, ~45 MVA (RICE 7-8)</t>
        </is>
      </c>
      <c r="I5005" s="12" t="inlineStr">
        <is>
          <t>Instrumentation</t>
        </is>
      </c>
      <c r="J5005" s="12" t="inlineStr">
        <is>
          <t>Instrumentation ITC / PLTC, IS, #18 shielded pairs, blue jacket</t>
        </is>
      </c>
      <c r="K5005" s="12" t="inlineStr">
        <is>
          <t>ITC|4 pr|18</t>
        </is>
      </c>
      <c r="L5005" s="12" t="inlineStr">
        <is>
          <t>4 pr</t>
        </is>
      </c>
      <c r="M5005" s="12" t="inlineStr">
        <is>
          <t>18</t>
        </is>
      </c>
      <c r="N5005" s="12" t="n">
        <v>1</v>
      </c>
      <c r="O5005" s="12" t="n">
        <v>1</v>
      </c>
      <c r="P5005" s="12" t="n"/>
      <c r="Q5005" s="12" t="n"/>
      <c r="R5005" s="12" t="n"/>
      <c r="S5005" s="12" t="inlineStr">
        <is>
          <t>Duct bank</t>
        </is>
      </c>
      <c r="T5005" s="15" t="n">
        <v>106</v>
      </c>
      <c r="U5005" s="15" t="n">
        <v>32</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I-I-0403</t>
        </is>
      </c>
      <c r="B5006" s="12" t="inlineStr">
        <is>
          <t>I</t>
        </is>
      </c>
      <c r="C5006" s="12" t="inlineStr">
        <is>
          <t>Modular / portable power</t>
        </is>
      </c>
      <c r="D5006" s="12" t="inlineStr">
        <is>
          <t>Instrumentation</t>
        </is>
      </c>
      <c r="E5006" s="12" t="inlineStr"/>
      <c r="F5006" s="12" t="inlineStr">
        <is>
          <t>PCM: power control module</t>
        </is>
      </c>
      <c r="G5006" s="12" t="inlineStr"/>
      <c r="H5006" s="12" t="inlineStr">
        <is>
          <t>Reagent storage</t>
        </is>
      </c>
      <c r="I5006" s="12" t="inlineStr">
        <is>
          <t>Instrumentation</t>
        </is>
      </c>
      <c r="J5006" s="12" t="inlineStr">
        <is>
          <t>Instrumentation PLTC / TC-ER 300 V, #18 twisted shielded pairs, overall shield</t>
        </is>
      </c>
      <c r="K5006" s="12" t="inlineStr">
        <is>
          <t>PLTC|4 pr|18</t>
        </is>
      </c>
      <c r="L5006" s="12" t="inlineStr">
        <is>
          <t>4 pr</t>
        </is>
      </c>
      <c r="M5006" s="12" t="inlineStr">
        <is>
          <t>18</t>
        </is>
      </c>
      <c r="N5006" s="12" t="n">
        <v>1</v>
      </c>
      <c r="O5006" s="12" t="n">
        <v>1</v>
      </c>
      <c r="P5006" s="12" t="n"/>
      <c r="Q5006" s="12" t="n"/>
      <c r="R5006" s="12" t="n"/>
      <c r="S5006" s="12" t="inlineStr">
        <is>
          <t>Duct bank</t>
        </is>
      </c>
      <c r="T5006" s="15" t="n">
        <v>296</v>
      </c>
      <c r="U5006" s="15" t="n">
        <v>110</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I-I-0404</t>
        </is>
      </c>
      <c r="B5007" s="12" t="inlineStr">
        <is>
          <t>I</t>
        </is>
      </c>
      <c r="C5007" s="12" t="inlineStr">
        <is>
          <t>Modular / portable power</t>
        </is>
      </c>
      <c r="D5007" s="12" t="inlineStr">
        <is>
          <t>Analog instrument to JB JB-SC-1 CEMS shelter-AI01: 12 x 1 pr (field cables)</t>
        </is>
      </c>
      <c r="E5007" s="12" t="inlineStr"/>
      <c r="F5007" s="12" t="inlineStr">
        <is>
          <t>SC-1 CEMS shelter</t>
        </is>
      </c>
      <c r="G5007" s="12" t="inlineStr">
        <is>
          <t>JB-SC-1 CEMS shelter-AI01</t>
        </is>
      </c>
      <c r="H5007" s="12" t="inlineStr">
        <is>
          <t>SC-1 CEMS shelter</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12</v>
      </c>
      <c r="O5007" s="12" t="n">
        <v>1</v>
      </c>
      <c r="P5007" s="12" t="n"/>
      <c r="Q5007" s="12" t="n"/>
      <c r="R5007" s="12" t="n"/>
      <c r="S5007" s="12" t="inlineStr">
        <is>
          <t>Tray / conduit</t>
        </is>
      </c>
      <c r="T5007" s="15" t="n">
        <v>57</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I-I-0405</t>
        </is>
      </c>
      <c r="B5008" s="12" t="inlineStr">
        <is>
          <t>I</t>
        </is>
      </c>
      <c r="C5008" s="12" t="inlineStr">
        <is>
          <t>Modular / portable power</t>
        </is>
      </c>
      <c r="D5008" s="12" t="inlineStr">
        <is>
          <t>Home run JB-SC-1 CEMS shelter-AI01 to the control / marshalling room</t>
        </is>
      </c>
      <c r="E5008" s="12" t="inlineStr"/>
      <c r="F5008" s="12" t="inlineStr">
        <is>
          <t>SC-1 PCM + 15 kV GCB</t>
        </is>
      </c>
      <c r="G5008" s="12" t="inlineStr">
        <is>
          <t>JB-SC-1 CEMS shelter-AI01</t>
        </is>
      </c>
      <c r="H5008" s="12" t="inlineStr">
        <is>
          <t>SC-1 CEMS shelter</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5" t="n">
        <v>81</v>
      </c>
      <c r="U5008" s="15" t="n">
        <v>106</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I-I-0406</t>
        </is>
      </c>
      <c r="B5009" s="12" t="inlineStr">
        <is>
          <t>I</t>
        </is>
      </c>
      <c r="C5009" s="12" t="inlineStr">
        <is>
          <t>Modular / portable power</t>
        </is>
      </c>
      <c r="D5009" s="12" t="inlineStr">
        <is>
          <t>Discrete device to JB JB-SC-1 CEMS shelter-DI01: 10 x 1 pr (field cables)</t>
        </is>
      </c>
      <c r="E5009" s="12" t="inlineStr"/>
      <c r="F5009" s="12" t="inlineStr">
        <is>
          <t>SC-1 CEMS shelter</t>
        </is>
      </c>
      <c r="G5009" s="12" t="inlineStr">
        <is>
          <t>JB-SC-1 CEMS shelter-DI01</t>
        </is>
      </c>
      <c r="H5009" s="12" t="inlineStr">
        <is>
          <t>SC-1 CEMS shelter</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10</v>
      </c>
      <c r="O5009" s="12" t="n">
        <v>1</v>
      </c>
      <c r="P5009" s="12" t="n"/>
      <c r="Q5009" s="12" t="n"/>
      <c r="R5009" s="12" t="n"/>
      <c r="S5009" s="12" t="inlineStr">
        <is>
          <t>Tray / conduit</t>
        </is>
      </c>
      <c r="T5009" s="15" t="n">
        <v>57</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I-I-0407</t>
        </is>
      </c>
      <c r="B5010" s="12" t="inlineStr">
        <is>
          <t>I</t>
        </is>
      </c>
      <c r="C5010" s="12" t="inlineStr">
        <is>
          <t>Modular / portable power</t>
        </is>
      </c>
      <c r="D5010" s="12" t="inlineStr">
        <is>
          <t>Home run JB-SC-1 CEMS shelter-DI01 to the control / marshalling room</t>
        </is>
      </c>
      <c r="E5010" s="12" t="inlineStr"/>
      <c r="F5010" s="12" t="inlineStr">
        <is>
          <t>SC-1 PCM + 15 kV GCB</t>
        </is>
      </c>
      <c r="G5010" s="12" t="inlineStr">
        <is>
          <t>JB-SC-1 CEMS shelter-DI01</t>
        </is>
      </c>
      <c r="H5010" s="12" t="inlineStr">
        <is>
          <t>SC-1 CEMS shelter</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5" t="n">
        <v>81</v>
      </c>
      <c r="U5010" s="15" t="n">
        <v>106</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I-I-0408</t>
        </is>
      </c>
      <c r="B5011" s="12" t="inlineStr">
        <is>
          <t>I</t>
        </is>
      </c>
      <c r="C5011" s="12" t="inlineStr">
        <is>
          <t>Modular / portable power</t>
        </is>
      </c>
      <c r="D5011" s="12" t="inlineStr">
        <is>
          <t>Analog instrument to JB JB-SC-1 SCR / CO cata-AI01: 16 x 1 pr (field cables)</t>
        </is>
      </c>
      <c r="E5011" s="12" t="inlineStr"/>
      <c r="F5011" s="12" t="inlineStr">
        <is>
          <t>SC-1 SCR / CO catalyst</t>
        </is>
      </c>
      <c r="G5011" s="12" t="inlineStr">
        <is>
          <t>JB-SC-1 SCR / CO cata-AI01</t>
        </is>
      </c>
      <c r="H5011" s="12" t="inlineStr">
        <is>
          <t>SC-1 SCR / CO catalyst</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16</v>
      </c>
      <c r="O5011" s="12" t="n">
        <v>1</v>
      </c>
      <c r="P5011" s="12" t="n"/>
      <c r="Q5011" s="12" t="n"/>
      <c r="R5011" s="12" t="n"/>
      <c r="S5011" s="12" t="inlineStr">
        <is>
          <t>Tray / conduit</t>
        </is>
      </c>
      <c r="T5011" s="15" t="n">
        <v>74</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I-I-0409</t>
        </is>
      </c>
      <c r="B5012" s="12" t="inlineStr">
        <is>
          <t>I</t>
        </is>
      </c>
      <c r="C5012" s="12" t="inlineStr">
        <is>
          <t>Modular / portable power</t>
        </is>
      </c>
      <c r="D5012" s="12" t="inlineStr">
        <is>
          <t>Home run JB-SC-1 SCR / CO cata-AI01 to the control / marshalling room</t>
        </is>
      </c>
      <c r="E5012" s="12" t="inlineStr"/>
      <c r="F5012" s="12" t="inlineStr">
        <is>
          <t>SC-1 PCM + 15 kV GCB</t>
        </is>
      </c>
      <c r="G5012" s="12" t="inlineStr">
        <is>
          <t>JB-SC-1 SCR / CO cata-AI01</t>
        </is>
      </c>
      <c r="H5012" s="12" t="inlineStr">
        <is>
          <t>SC-1 SCR / CO catalyst</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Duct bank</t>
        </is>
      </c>
      <c r="T5012" s="15" t="n">
        <v>55</v>
      </c>
      <c r="U5012" s="15" t="n">
        <v>57</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I-I-0410</t>
        </is>
      </c>
      <c r="B5013" s="12" t="inlineStr">
        <is>
          <t>I</t>
        </is>
      </c>
      <c r="C5013" s="12" t="inlineStr">
        <is>
          <t>Modular / portable power</t>
        </is>
      </c>
      <c r="D5013" s="12" t="inlineStr">
        <is>
          <t>Discrete device to JB JB-SC-1 SCR / CO cata-DI01: 8 x 1 pr (field cables)</t>
        </is>
      </c>
      <c r="E5013" s="12" t="inlineStr"/>
      <c r="F5013" s="12" t="inlineStr">
        <is>
          <t>SC-1 SCR / CO catalyst</t>
        </is>
      </c>
      <c r="G5013" s="12" t="inlineStr">
        <is>
          <t>JB-SC-1 SCR / CO cata-DI01</t>
        </is>
      </c>
      <c r="H5013" s="12" t="inlineStr">
        <is>
          <t>SC-1 SCR / CO catalyst</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8</v>
      </c>
      <c r="O5013" s="12" t="n">
        <v>1</v>
      </c>
      <c r="P5013" s="12" t="n"/>
      <c r="Q5013" s="12" t="n"/>
      <c r="R5013" s="12" t="n"/>
      <c r="S5013" s="12" t="inlineStr">
        <is>
          <t>Tray / conduit</t>
        </is>
      </c>
      <c r="T5013" s="15" t="n">
        <v>74</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I-I-0411</t>
        </is>
      </c>
      <c r="B5014" s="12" t="inlineStr">
        <is>
          <t>I</t>
        </is>
      </c>
      <c r="C5014" s="12" t="inlineStr">
        <is>
          <t>Modular / portable power</t>
        </is>
      </c>
      <c r="D5014" s="12" t="inlineStr">
        <is>
          <t>Home run JB-SC-1 SCR / CO cata-DI01 to the control / marshalling room</t>
        </is>
      </c>
      <c r="E5014" s="12" t="inlineStr"/>
      <c r="F5014" s="12" t="inlineStr">
        <is>
          <t>SC-1 PCM + 15 kV GCB</t>
        </is>
      </c>
      <c r="G5014" s="12" t="inlineStr">
        <is>
          <t>JB-SC-1 SCR / CO cata-DI01</t>
        </is>
      </c>
      <c r="H5014" s="12" t="inlineStr">
        <is>
          <t>SC-1 SCR / CO catalyst</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5" t="n">
        <v>55</v>
      </c>
      <c r="U5014" s="15" t="n">
        <v>57</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I-I-0412</t>
        </is>
      </c>
      <c r="B5015" s="12" t="inlineStr">
        <is>
          <t>I</t>
        </is>
      </c>
      <c r="C5015" s="12" t="inlineStr">
        <is>
          <t>Modular / portable power</t>
        </is>
      </c>
      <c r="D5015" s="12" t="inlineStr">
        <is>
          <t>Analog instrument to JB JB-SC-1 ammonia flow--AI01: 8 x 1 pr (field cables)</t>
        </is>
      </c>
      <c r="E5015" s="12" t="inlineStr"/>
      <c r="F5015" s="12" t="inlineStr">
        <is>
          <t>SC-1 ammonia flow-control unit</t>
        </is>
      </c>
      <c r="G5015" s="12" t="inlineStr">
        <is>
          <t>JB-SC-1 ammonia flow--AI01</t>
        </is>
      </c>
      <c r="H5015" s="12" t="inlineStr">
        <is>
          <t>SC-1 ammonia flow-control unit</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8</v>
      </c>
      <c r="O5015" s="12" t="n">
        <v>1</v>
      </c>
      <c r="P5015" s="12" t="n"/>
      <c r="Q5015" s="12" t="n"/>
      <c r="R5015" s="12" t="n"/>
      <c r="S5015" s="12" t="inlineStr">
        <is>
          <t>Tray / conduit</t>
        </is>
      </c>
      <c r="T5015" s="15" t="n">
        <v>40</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I-I-0413</t>
        </is>
      </c>
      <c r="B5016" s="12" t="inlineStr">
        <is>
          <t>I</t>
        </is>
      </c>
      <c r="C5016" s="12" t="inlineStr">
        <is>
          <t>Modular / portable power</t>
        </is>
      </c>
      <c r="D5016" s="12" t="inlineStr">
        <is>
          <t>Home run JB-SC-1 ammonia flow--AI01 to the control / marshalling room</t>
        </is>
      </c>
      <c r="E5016" s="12" t="inlineStr"/>
      <c r="F5016" s="12" t="inlineStr">
        <is>
          <t>SC-1 PCM + 15 kV GCB</t>
        </is>
      </c>
      <c r="G5016" s="12" t="inlineStr">
        <is>
          <t>JB-SC-1 ammonia flow--AI01</t>
        </is>
      </c>
      <c r="H5016" s="12" t="inlineStr">
        <is>
          <t>SC-1 ammonia flow-control unit</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Duct bank</t>
        </is>
      </c>
      <c r="T5016" s="15" t="n">
        <v>55</v>
      </c>
      <c r="U5016" s="15" t="n">
        <v>55</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I-I-0414</t>
        </is>
      </c>
      <c r="B5017" s="12" t="inlineStr">
        <is>
          <t>I</t>
        </is>
      </c>
      <c r="C5017" s="12" t="inlineStr">
        <is>
          <t>Modular / portable power</t>
        </is>
      </c>
      <c r="D5017" s="12" t="inlineStr">
        <is>
          <t>Discrete device to JB JB-SC-1 ammonia flow--DI01: 8 x 1 pr (field cables)</t>
        </is>
      </c>
      <c r="E5017" s="12" t="inlineStr"/>
      <c r="F5017" s="12" t="inlineStr">
        <is>
          <t>SC-1 ammonia flow-control unit</t>
        </is>
      </c>
      <c r="G5017" s="12" t="inlineStr">
        <is>
          <t>JB-SC-1 ammonia flow--DI01</t>
        </is>
      </c>
      <c r="H5017" s="12" t="inlineStr">
        <is>
          <t>SC-1 ammonia flow-control unit</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8</v>
      </c>
      <c r="O5017" s="12" t="n">
        <v>1</v>
      </c>
      <c r="P5017" s="12" t="n"/>
      <c r="Q5017" s="12" t="n"/>
      <c r="R5017" s="12" t="n"/>
      <c r="S5017" s="12" t="inlineStr">
        <is>
          <t>Tray / conduit</t>
        </is>
      </c>
      <c r="T5017" s="15" t="n">
        <v>40</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I-I-0415</t>
        </is>
      </c>
      <c r="B5018" s="12" t="inlineStr">
        <is>
          <t>I</t>
        </is>
      </c>
      <c r="C5018" s="12" t="inlineStr">
        <is>
          <t>Modular / portable power</t>
        </is>
      </c>
      <c r="D5018" s="12" t="inlineStr">
        <is>
          <t>Home run JB-SC-1 ammonia flow--DI01 to the control / marshalling room</t>
        </is>
      </c>
      <c r="E5018" s="12" t="inlineStr"/>
      <c r="F5018" s="12" t="inlineStr">
        <is>
          <t>SC-1 PCM + 15 kV GCB</t>
        </is>
      </c>
      <c r="G5018" s="12" t="inlineStr">
        <is>
          <t>JB-SC-1 ammonia flow--DI01</t>
        </is>
      </c>
      <c r="H5018" s="12" t="inlineStr">
        <is>
          <t>SC-1 ammonia flow-control unit</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Duct bank</t>
        </is>
      </c>
      <c r="T5018" s="15" t="n">
        <v>55</v>
      </c>
      <c r="U5018" s="15" t="n">
        <v>55</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I-I-0416</t>
        </is>
      </c>
      <c r="B5019" s="12" t="inlineStr">
        <is>
          <t>I</t>
        </is>
      </c>
      <c r="C5019" s="12" t="inlineStr">
        <is>
          <t>Modular / portable power</t>
        </is>
      </c>
      <c r="D5019" s="12" t="inlineStr">
        <is>
          <t>Analog instrument to JB JB-SC-1 auxiliary ski-AI01: 14 x 1 pr (field cables)</t>
        </is>
      </c>
      <c r="E5019" s="12" t="inlineStr"/>
      <c r="F5019" s="12" t="inlineStr">
        <is>
          <t>SC-1 auxiliary skids: fuel-gas module, water-wash skid</t>
        </is>
      </c>
      <c r="G5019" s="12" t="inlineStr">
        <is>
          <t>JB-SC-1 auxiliary ski-AI01</t>
        </is>
      </c>
      <c r="H5019" s="12" t="inlineStr">
        <is>
          <t>SC-1 auxiliary skids: fuel-gas module, water-wash skid</t>
        </is>
      </c>
      <c r="I5019" s="12" t="inlineStr">
        <is>
          <t>Instrumentation</t>
        </is>
      </c>
      <c r="J5019" s="12" t="inlineStr">
        <is>
          <t>Instrumentation ITC / PLTC, IS, #18 shielded pairs, blue jacket</t>
        </is>
      </c>
      <c r="K5019" s="12" t="inlineStr">
        <is>
          <t>ITC|1 pr|16</t>
        </is>
      </c>
      <c r="L5019" s="12" t="inlineStr">
        <is>
          <t>1 pr</t>
        </is>
      </c>
      <c r="M5019" s="12" t="inlineStr">
        <is>
          <t>16</t>
        </is>
      </c>
      <c r="N5019" s="12" t="n">
        <v>14</v>
      </c>
      <c r="O5019" s="12" t="n">
        <v>1</v>
      </c>
      <c r="P5019" s="12" t="n"/>
      <c r="Q5019" s="12" t="n"/>
      <c r="R5019" s="12" t="n"/>
      <c r="S5019" s="12" t="inlineStr">
        <is>
          <t>Tray / conduit</t>
        </is>
      </c>
      <c r="T5019" s="15" t="n">
        <v>63</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I-I-0417</t>
        </is>
      </c>
      <c r="B5020" s="12" t="inlineStr">
        <is>
          <t>I</t>
        </is>
      </c>
      <c r="C5020" s="12" t="inlineStr">
        <is>
          <t>Modular / portable power</t>
        </is>
      </c>
      <c r="D5020" s="12" t="inlineStr">
        <is>
          <t>Home run JB-SC-1 auxiliary ski-AI01 to the control / marshalling room</t>
        </is>
      </c>
      <c r="E5020" s="12" t="inlineStr"/>
      <c r="F5020" s="12" t="inlineStr">
        <is>
          <t>SC-1 PCM + 15 kV GCB</t>
        </is>
      </c>
      <c r="G5020" s="12" t="inlineStr">
        <is>
          <t>JB-SC-1 auxiliary ski-AI01</t>
        </is>
      </c>
      <c r="H5020" s="12" t="inlineStr">
        <is>
          <t>SC-1 auxiliary skids: fuel-gas module, water-wash skid</t>
        </is>
      </c>
      <c r="I5020" s="12" t="inlineStr">
        <is>
          <t>Instrumentation</t>
        </is>
      </c>
      <c r="J5020" s="12" t="inlineStr">
        <is>
          <t>Instrumentation ITC / PLTC, IS, #18 shielded pairs, blue jacket</t>
        </is>
      </c>
      <c r="K5020" s="12" t="inlineStr">
        <is>
          <t>ITC|24 pr|18</t>
        </is>
      </c>
      <c r="L5020" s="12" t="inlineStr">
        <is>
          <t>24 pr</t>
        </is>
      </c>
      <c r="M5020" s="12" t="inlineStr">
        <is>
          <t>18</t>
        </is>
      </c>
      <c r="N5020" s="12" t="n">
        <v>1</v>
      </c>
      <c r="O5020" s="12" t="n">
        <v>1</v>
      </c>
      <c r="P5020" s="12" t="n"/>
      <c r="Q5020" s="12" t="n"/>
      <c r="R5020" s="12" t="n"/>
      <c r="S5020" s="12" t="inlineStr">
        <is>
          <t>Tray</t>
        </is>
      </c>
      <c r="T5020" s="15" t="n">
        <v>5</v>
      </c>
      <c r="U5020" s="15" t="n">
        <v>49</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I-I-0418</t>
        </is>
      </c>
      <c r="B5021" s="12" t="inlineStr">
        <is>
          <t>I</t>
        </is>
      </c>
      <c r="C5021" s="12" t="inlineStr">
        <is>
          <t>Modular / portable power</t>
        </is>
      </c>
      <c r="D5021" s="12" t="inlineStr">
        <is>
          <t>Discrete device to JB JB-SC-1 auxiliary ski-DI01: 12 x 1 pr (field cables)</t>
        </is>
      </c>
      <c r="E5021" s="12" t="inlineStr"/>
      <c r="F5021" s="12" t="inlineStr">
        <is>
          <t>SC-1 auxiliary skids: fuel-gas module, water-wash skid</t>
        </is>
      </c>
      <c r="G5021" s="12" t="inlineStr">
        <is>
          <t>JB-SC-1 auxiliary ski-DI01</t>
        </is>
      </c>
      <c r="H5021" s="12" t="inlineStr">
        <is>
          <t>SC-1 auxiliary skids: fuel-gas module, water-wash skid</t>
        </is>
      </c>
      <c r="I5021" s="12" t="inlineStr">
        <is>
          <t>Instrumentation</t>
        </is>
      </c>
      <c r="J5021" s="12" t="inlineStr">
        <is>
          <t>Instrumentation ITC / PLTC, IS, #18 shielded pairs, blue jacket</t>
        </is>
      </c>
      <c r="K5021" s="12" t="inlineStr">
        <is>
          <t>ITC|1 pr|16</t>
        </is>
      </c>
      <c r="L5021" s="12" t="inlineStr">
        <is>
          <t>1 pr</t>
        </is>
      </c>
      <c r="M5021" s="12" t="inlineStr">
        <is>
          <t>16</t>
        </is>
      </c>
      <c r="N5021" s="12" t="n">
        <v>12</v>
      </c>
      <c r="O5021" s="12" t="n">
        <v>1</v>
      </c>
      <c r="P5021" s="12" t="n"/>
      <c r="Q5021" s="12" t="n"/>
      <c r="R5021" s="12" t="n"/>
      <c r="S5021" s="12" t="inlineStr">
        <is>
          <t>Tray / conduit</t>
        </is>
      </c>
      <c r="T5021" s="15" t="n">
        <v>63</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I-I-0419</t>
        </is>
      </c>
      <c r="B5022" s="12" t="inlineStr">
        <is>
          <t>I</t>
        </is>
      </c>
      <c r="C5022" s="12" t="inlineStr">
        <is>
          <t>Modular / portable power</t>
        </is>
      </c>
      <c r="D5022" s="12" t="inlineStr">
        <is>
          <t>Home run JB-SC-1 auxiliary ski-DI01 to the control / marshalling room</t>
        </is>
      </c>
      <c r="E5022" s="12" t="inlineStr"/>
      <c r="F5022" s="12" t="inlineStr">
        <is>
          <t>SC-1 PCM + 15 kV GCB</t>
        </is>
      </c>
      <c r="G5022" s="12" t="inlineStr">
        <is>
          <t>JB-SC-1 auxiliary ski-DI01</t>
        </is>
      </c>
      <c r="H5022" s="12" t="inlineStr">
        <is>
          <t>SC-1 auxiliary skids: fuel-gas module, water-wash skid</t>
        </is>
      </c>
      <c r="I5022" s="12" t="inlineStr">
        <is>
          <t>Instrumentation</t>
        </is>
      </c>
      <c r="J5022" s="12" t="inlineStr">
        <is>
          <t>Instrumentation ITC / PLTC, IS, #18 shielded pairs, blue jacket</t>
        </is>
      </c>
      <c r="K5022" s="12" t="inlineStr">
        <is>
          <t>ITC|24 pr|18</t>
        </is>
      </c>
      <c r="L5022" s="12" t="inlineStr">
        <is>
          <t>24 pr</t>
        </is>
      </c>
      <c r="M5022" s="12" t="inlineStr">
        <is>
          <t>18</t>
        </is>
      </c>
      <c r="N5022" s="12" t="n">
        <v>1</v>
      </c>
      <c r="O5022" s="12" t="n">
        <v>1</v>
      </c>
      <c r="P5022" s="12" t="n"/>
      <c r="Q5022" s="12" t="n"/>
      <c r="R5022" s="12" t="n"/>
      <c r="S5022" s="12" t="inlineStr">
        <is>
          <t>Tray</t>
        </is>
      </c>
      <c r="T5022" s="15" t="n">
        <v>5</v>
      </c>
      <c r="U5022" s="15" t="n">
        <v>49</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I-I-0420</t>
        </is>
      </c>
      <c r="B5023" s="12" t="inlineStr">
        <is>
          <t>I</t>
        </is>
      </c>
      <c r="C5023" s="12" t="inlineStr">
        <is>
          <t>Modular / portable power</t>
        </is>
      </c>
      <c r="D5023" s="12" t="inlineStr">
        <is>
          <t>Analog instrument to JB JB-SC-1 lube-oil fin--AI01: 4 x 1 pr (field cables)</t>
        </is>
      </c>
      <c r="E5023" s="12" t="inlineStr"/>
      <c r="F5023" s="12" t="inlineStr">
        <is>
          <t>SC-1 lube-oil fin-fan cooler</t>
        </is>
      </c>
      <c r="G5023" s="12" t="inlineStr">
        <is>
          <t>JB-SC-1 lube-oil fin--AI01</t>
        </is>
      </c>
      <c r="H5023" s="12" t="inlineStr">
        <is>
          <t>SC-1 lube-oil fin-fan cooler</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4</v>
      </c>
      <c r="O5023" s="12" t="n">
        <v>1</v>
      </c>
      <c r="P5023" s="12" t="n"/>
      <c r="Q5023" s="12" t="n"/>
      <c r="R5023" s="12" t="n"/>
      <c r="S5023" s="12" t="inlineStr">
        <is>
          <t>Tray / conduit</t>
        </is>
      </c>
      <c r="T5023" s="15" t="n">
        <v>46</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I-I-0421</t>
        </is>
      </c>
      <c r="B5024" s="12" t="inlineStr">
        <is>
          <t>I</t>
        </is>
      </c>
      <c r="C5024" s="12" t="inlineStr">
        <is>
          <t>Modular / portable power</t>
        </is>
      </c>
      <c r="D5024" s="12" t="inlineStr">
        <is>
          <t>Home run JB-SC-1 lube-oil fin--AI01 to the control / marshalling room</t>
        </is>
      </c>
      <c r="E5024" s="12" t="inlineStr"/>
      <c r="F5024" s="12" t="inlineStr">
        <is>
          <t>SC-1 PCM + 15 kV GCB</t>
        </is>
      </c>
      <c r="G5024" s="12" t="inlineStr">
        <is>
          <t>JB-SC-1 lube-oil fin--AI01</t>
        </is>
      </c>
      <c r="H5024" s="12" t="inlineStr">
        <is>
          <t>SC-1 lube-oil fin-fan cooler</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Riser</t>
        </is>
      </c>
      <c r="T5024" s="15" t="n">
        <v>9</v>
      </c>
      <c r="U5024" s="15" t="n">
        <v>33</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I-I-0422</t>
        </is>
      </c>
      <c r="B5025" s="12" t="inlineStr">
        <is>
          <t>I</t>
        </is>
      </c>
      <c r="C5025" s="12" t="inlineStr">
        <is>
          <t>Modular / portable power</t>
        </is>
      </c>
      <c r="D5025" s="12" t="inlineStr">
        <is>
          <t>Discrete device to JB JB-SC-1 lube-oil fin--DI01: 8 x 1 pr (field cables)</t>
        </is>
      </c>
      <c r="E5025" s="12" t="inlineStr"/>
      <c r="F5025" s="12" t="inlineStr">
        <is>
          <t>SC-1 lube-oil fin-fan cooler</t>
        </is>
      </c>
      <c r="G5025" s="12" t="inlineStr">
        <is>
          <t>JB-SC-1 lube-oil fin--DI01</t>
        </is>
      </c>
      <c r="H5025" s="12" t="inlineStr">
        <is>
          <t>SC-1 lube-oil fin-fan cooler</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8</v>
      </c>
      <c r="O5025" s="12" t="n">
        <v>1</v>
      </c>
      <c r="P5025" s="12" t="n"/>
      <c r="Q5025" s="12" t="n"/>
      <c r="R5025" s="12" t="n"/>
      <c r="S5025" s="12" t="inlineStr">
        <is>
          <t>Tray / conduit</t>
        </is>
      </c>
      <c r="T5025" s="15" t="n">
        <v>46</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I-I-0423</t>
        </is>
      </c>
      <c r="B5026" s="12" t="inlineStr">
        <is>
          <t>I</t>
        </is>
      </c>
      <c r="C5026" s="12" t="inlineStr">
        <is>
          <t>Modular / portable power</t>
        </is>
      </c>
      <c r="D5026" s="12" t="inlineStr">
        <is>
          <t>Home run JB-SC-1 lube-oil fin--DI01 to the control / marshalling room</t>
        </is>
      </c>
      <c r="E5026" s="12" t="inlineStr"/>
      <c r="F5026" s="12" t="inlineStr">
        <is>
          <t>SC-1 PCM + 15 kV GCB</t>
        </is>
      </c>
      <c r="G5026" s="12" t="inlineStr">
        <is>
          <t>JB-SC-1 lube-oil fin--DI01</t>
        </is>
      </c>
      <c r="H5026" s="12" t="inlineStr">
        <is>
          <t>SC-1 lube-oil fin-fan cooler</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Riser</t>
        </is>
      </c>
      <c r="T5026" s="15" t="n">
        <v>9</v>
      </c>
      <c r="U5026" s="15" t="n">
        <v>33</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I-I-0424</t>
        </is>
      </c>
      <c r="B5027" s="12" t="inlineStr">
        <is>
          <t>I</t>
        </is>
      </c>
      <c r="C5027" s="12" t="inlineStr">
        <is>
          <t>Modular / portable power</t>
        </is>
      </c>
      <c r="D5027" s="12" t="inlineStr">
        <is>
          <t>Analog instrument to JB JB-SC-1 tempering-air-AI01: 8 x 1 pr (field cables)</t>
        </is>
      </c>
      <c r="E5027" s="12" t="inlineStr"/>
      <c r="F5027" s="12" t="inlineStr">
        <is>
          <t>SC-1 tempering-air fans (2 x 100 %)</t>
        </is>
      </c>
      <c r="G5027" s="12" t="inlineStr">
        <is>
          <t>JB-SC-1 tempering-air-AI01</t>
        </is>
      </c>
      <c r="H5027" s="12" t="inlineStr">
        <is>
          <t>SC-1 tempering-air fans (2 x 100 %)</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8</v>
      </c>
      <c r="O5027" s="12" t="n">
        <v>1</v>
      </c>
      <c r="P5027" s="12" t="n"/>
      <c r="Q5027" s="12" t="n"/>
      <c r="R5027" s="12" t="n"/>
      <c r="S5027" s="12" t="inlineStr">
        <is>
          <t>Tray / conduit</t>
        </is>
      </c>
      <c r="T5027" s="15" t="n">
        <v>53</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I-I-0425</t>
        </is>
      </c>
      <c r="B5028" s="12" t="inlineStr">
        <is>
          <t>I</t>
        </is>
      </c>
      <c r="C5028" s="12" t="inlineStr">
        <is>
          <t>Modular / portable power</t>
        </is>
      </c>
      <c r="D5028" s="12" t="inlineStr">
        <is>
          <t>Home run JB-SC-1 tempering-air-AI01 to the control / marshalling room</t>
        </is>
      </c>
      <c r="E5028" s="12" t="inlineStr"/>
      <c r="F5028" s="12" t="inlineStr">
        <is>
          <t>SC-1 PCM + 15 kV GCB</t>
        </is>
      </c>
      <c r="G5028" s="12" t="inlineStr">
        <is>
          <t>JB-SC-1 tempering-air-AI01</t>
        </is>
      </c>
      <c r="H5028" s="12" t="inlineStr">
        <is>
          <t>SC-1 tempering-air fans (2 x 100 %)</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Duct bank</t>
        </is>
      </c>
      <c r="T5028" s="15" t="n">
        <v>15</v>
      </c>
      <c r="U5028" s="15" t="n">
        <v>99</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I-I-0426</t>
        </is>
      </c>
      <c r="B5029" s="12" t="inlineStr">
        <is>
          <t>I</t>
        </is>
      </c>
      <c r="C5029" s="12" t="inlineStr">
        <is>
          <t>Modular / portable power</t>
        </is>
      </c>
      <c r="D5029" s="12" t="inlineStr">
        <is>
          <t>Discrete device to JB JB-SC-1 tempering-air-DI01: 8 x 1 pr (field cables)</t>
        </is>
      </c>
      <c r="E5029" s="12" t="inlineStr"/>
      <c r="F5029" s="12" t="inlineStr">
        <is>
          <t>SC-1 tempering-air fans (2 x 100 %)</t>
        </is>
      </c>
      <c r="G5029" s="12" t="inlineStr">
        <is>
          <t>JB-SC-1 tempering-air-DI01</t>
        </is>
      </c>
      <c r="H5029" s="12" t="inlineStr">
        <is>
          <t>SC-1 tempering-air fans (2 x 100 %)</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8</v>
      </c>
      <c r="O5029" s="12" t="n">
        <v>1</v>
      </c>
      <c r="P5029" s="12" t="n"/>
      <c r="Q5029" s="12" t="n"/>
      <c r="R5029" s="12" t="n"/>
      <c r="S5029" s="12" t="inlineStr">
        <is>
          <t>Tray / conduit</t>
        </is>
      </c>
      <c r="T5029" s="15" t="n">
        <v>53</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I-I-0427</t>
        </is>
      </c>
      <c r="B5030" s="12" t="inlineStr">
        <is>
          <t>I</t>
        </is>
      </c>
      <c r="C5030" s="12" t="inlineStr">
        <is>
          <t>Modular / portable power</t>
        </is>
      </c>
      <c r="D5030" s="12" t="inlineStr">
        <is>
          <t>Home run JB-SC-1 tempering-air-DI01 to the control / marshalling room</t>
        </is>
      </c>
      <c r="E5030" s="12" t="inlineStr"/>
      <c r="F5030" s="12" t="inlineStr">
        <is>
          <t>SC-1 PCM + 15 kV GCB</t>
        </is>
      </c>
      <c r="G5030" s="12" t="inlineStr">
        <is>
          <t>JB-SC-1 tempering-air-DI01</t>
        </is>
      </c>
      <c r="H5030" s="12" t="inlineStr">
        <is>
          <t>SC-1 tempering-air fans (2 x 100 %)</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Duct bank</t>
        </is>
      </c>
      <c r="T5030" s="15" t="n">
        <v>15</v>
      </c>
      <c r="U5030" s="15" t="n">
        <v>99</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I-I-0428</t>
        </is>
      </c>
      <c r="B5031" s="12" t="inlineStr">
        <is>
          <t>I</t>
        </is>
      </c>
      <c r="C5031" s="12" t="inlineStr">
        <is>
          <t>Modular / portable power</t>
        </is>
      </c>
      <c r="D5031" s="12" t="inlineStr">
        <is>
          <t>Analog instrument to JB JB-SC-1-AI01: 20 x 1 pr (field cables)</t>
        </is>
      </c>
      <c r="E5031" s="12" t="inlineStr">
        <is>
          <t>SC-1</t>
        </is>
      </c>
      <c r="F5031" s="12" t="inlineStr">
        <is>
          <t>SC-1: aeroderivative simple-cycle unit (LM6000 class)</t>
        </is>
      </c>
      <c r="G5031" s="12" t="inlineStr">
        <is>
          <t>JB-SC-1-AI01</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5" t="n">
        <v>99</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I-I-0429</t>
        </is>
      </c>
      <c r="B5032" s="12" t="inlineStr">
        <is>
          <t>I</t>
        </is>
      </c>
      <c r="C5032" s="12" t="inlineStr">
        <is>
          <t>Modular / portable power</t>
        </is>
      </c>
      <c r="D5032" s="12" t="inlineStr">
        <is>
          <t>Home run JB-SC-1-AI01 to the control / marshalling room</t>
        </is>
      </c>
      <c r="E5032" s="12" t="inlineStr"/>
      <c r="F5032" s="12" t="inlineStr">
        <is>
          <t>SC-1 PCM + 15 kV GCB</t>
        </is>
      </c>
      <c r="G5032" s="12" t="inlineStr">
        <is>
          <t>JB-SC-1-AI01</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Tray</t>
        </is>
      </c>
      <c r="T5032" s="15" t="n">
        <v>5</v>
      </c>
      <c r="U5032" s="15" t="n">
        <v>62</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I-I-0430</t>
        </is>
      </c>
      <c r="B5033" s="12" t="inlineStr">
        <is>
          <t>I</t>
        </is>
      </c>
      <c r="C5033" s="12" t="inlineStr">
        <is>
          <t>Modular / portable power</t>
        </is>
      </c>
      <c r="D5033" s="12" t="inlineStr">
        <is>
          <t>Analog instrument to JB JB-SC-1-AI02: 20 x 1 pr (field cables)</t>
        </is>
      </c>
      <c r="E5033" s="12" t="inlineStr">
        <is>
          <t>SC-1</t>
        </is>
      </c>
      <c r="F5033" s="12" t="inlineStr">
        <is>
          <t>SC-1: aeroderivative simple-cycle unit (LM6000 class)</t>
        </is>
      </c>
      <c r="G5033" s="12" t="inlineStr">
        <is>
          <t>JB-SC-1-AI02</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5" t="n">
        <v>99</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I-I-0431</t>
        </is>
      </c>
      <c r="B5034" s="12" t="inlineStr">
        <is>
          <t>I</t>
        </is>
      </c>
      <c r="C5034" s="12" t="inlineStr">
        <is>
          <t>Modular / portable power</t>
        </is>
      </c>
      <c r="D5034" s="12" t="inlineStr">
        <is>
          <t>Home run JB-SC-1-AI02 to the control / marshalling room</t>
        </is>
      </c>
      <c r="E5034" s="12" t="inlineStr"/>
      <c r="F5034" s="12" t="inlineStr">
        <is>
          <t>SC-1 PCM + 15 kV GCB</t>
        </is>
      </c>
      <c r="G5034" s="12" t="inlineStr">
        <is>
          <t>JB-SC-1-AI02</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Tray</t>
        </is>
      </c>
      <c r="T5034" s="15" t="n">
        <v>5</v>
      </c>
      <c r="U5034" s="15" t="n">
        <v>62</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I-I-0432</t>
        </is>
      </c>
      <c r="B5035" s="12" t="inlineStr">
        <is>
          <t>I</t>
        </is>
      </c>
      <c r="C5035" s="12" t="inlineStr">
        <is>
          <t>Modular / portable power</t>
        </is>
      </c>
      <c r="D5035" s="12" t="inlineStr">
        <is>
          <t>Analog instrument to JB JB-SC-1-AI03: 20 x 1 pr (field cables)</t>
        </is>
      </c>
      <c r="E5035" s="12" t="inlineStr">
        <is>
          <t>SC-1</t>
        </is>
      </c>
      <c r="F5035" s="12" t="inlineStr">
        <is>
          <t>SC-1: aeroderivative simple-cycle unit (LM6000 class)</t>
        </is>
      </c>
      <c r="G5035" s="12" t="inlineStr">
        <is>
          <t>JB-SC-1-AI03</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5" t="n">
        <v>99</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I-I-0433</t>
        </is>
      </c>
      <c r="B5036" s="12" t="inlineStr">
        <is>
          <t>I</t>
        </is>
      </c>
      <c r="C5036" s="12" t="inlineStr">
        <is>
          <t>Modular / portable power</t>
        </is>
      </c>
      <c r="D5036" s="12" t="inlineStr">
        <is>
          <t>Home run JB-SC-1-AI03 to the control / marshalling room</t>
        </is>
      </c>
      <c r="E5036" s="12" t="inlineStr"/>
      <c r="F5036" s="12" t="inlineStr">
        <is>
          <t>SC-1 PCM + 15 kV GCB</t>
        </is>
      </c>
      <c r="G5036" s="12" t="inlineStr">
        <is>
          <t>JB-SC-1-AI03</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Tray</t>
        </is>
      </c>
      <c r="T5036" s="15" t="n">
        <v>5</v>
      </c>
      <c r="U5036" s="15" t="n">
        <v>62</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I-I-0434</t>
        </is>
      </c>
      <c r="B5037" s="12" t="inlineStr">
        <is>
          <t>I</t>
        </is>
      </c>
      <c r="C5037" s="12" t="inlineStr">
        <is>
          <t>Modular / portable power</t>
        </is>
      </c>
      <c r="D5037" s="12" t="inlineStr">
        <is>
          <t>Analog instrument to JB JB-SC-1-AI04: 20 x 1 pr (field cables)</t>
        </is>
      </c>
      <c r="E5037" s="12" t="inlineStr">
        <is>
          <t>SC-1</t>
        </is>
      </c>
      <c r="F5037" s="12" t="inlineStr">
        <is>
          <t>SC-1: aeroderivative simple-cycle unit (LM6000 class)</t>
        </is>
      </c>
      <c r="G5037" s="12" t="inlineStr">
        <is>
          <t>JB-SC-1-AI04</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5" t="n">
        <v>99</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I-I-0435</t>
        </is>
      </c>
      <c r="B5038" s="12" t="inlineStr">
        <is>
          <t>I</t>
        </is>
      </c>
      <c r="C5038" s="12" t="inlineStr">
        <is>
          <t>Modular / portable power</t>
        </is>
      </c>
      <c r="D5038" s="12" t="inlineStr">
        <is>
          <t>Home run JB-SC-1-AI04 to the control / marshalling room</t>
        </is>
      </c>
      <c r="E5038" s="12" t="inlineStr"/>
      <c r="F5038" s="12" t="inlineStr">
        <is>
          <t>SC-1 PCM + 15 kV GCB</t>
        </is>
      </c>
      <c r="G5038" s="12" t="inlineStr">
        <is>
          <t>JB-SC-1-AI04</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Tray</t>
        </is>
      </c>
      <c r="T5038" s="15" t="n">
        <v>5</v>
      </c>
      <c r="U5038" s="15" t="n">
        <v>62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I-I-0436</t>
        </is>
      </c>
      <c r="B5039" s="12" t="inlineStr">
        <is>
          <t>I</t>
        </is>
      </c>
      <c r="C5039" s="12" t="inlineStr">
        <is>
          <t>Modular / portable power</t>
        </is>
      </c>
      <c r="D5039" s="12" t="inlineStr">
        <is>
          <t>Analog instrument to JB JB-SC-1-AI05: 20 x 1 pr (field cables)</t>
        </is>
      </c>
      <c r="E5039" s="12" t="inlineStr">
        <is>
          <t>SC-1</t>
        </is>
      </c>
      <c r="F5039" s="12" t="inlineStr">
        <is>
          <t>SC-1: aeroderivative simple-cycle unit (LM6000 class)</t>
        </is>
      </c>
      <c r="G5039" s="12" t="inlineStr">
        <is>
          <t>JB-SC-1-AI05</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5" t="n">
        <v>99</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I-I-0437</t>
        </is>
      </c>
      <c r="B5040" s="12" t="inlineStr">
        <is>
          <t>I</t>
        </is>
      </c>
      <c r="C5040" s="12" t="inlineStr">
        <is>
          <t>Modular / portable power</t>
        </is>
      </c>
      <c r="D5040" s="12" t="inlineStr">
        <is>
          <t>Home run JB-SC-1-AI05 to the control / marshalling room</t>
        </is>
      </c>
      <c r="E5040" s="12" t="inlineStr"/>
      <c r="F5040" s="12" t="inlineStr">
        <is>
          <t>SC-1 PCM + 15 kV GCB</t>
        </is>
      </c>
      <c r="G5040" s="12" t="inlineStr">
        <is>
          <t>JB-SC-1-AI05</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5" t="n">
        <v>5</v>
      </c>
      <c r="U5040" s="15" t="n">
        <v>62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I-I-0438</t>
        </is>
      </c>
      <c r="B5041" s="12" t="inlineStr">
        <is>
          <t>I</t>
        </is>
      </c>
      <c r="C5041" s="12" t="inlineStr">
        <is>
          <t>Modular / portable power</t>
        </is>
      </c>
      <c r="D5041" s="12" t="inlineStr">
        <is>
          <t>Analog instrument to JB JB-SC-1-AI06: 20 x 1 pr (field cables)</t>
        </is>
      </c>
      <c r="E5041" s="12" t="inlineStr">
        <is>
          <t>SC-1</t>
        </is>
      </c>
      <c r="F5041" s="12" t="inlineStr">
        <is>
          <t>SC-1: aeroderivative simple-cycle unit (LM6000 class)</t>
        </is>
      </c>
      <c r="G5041" s="12" t="inlineStr">
        <is>
          <t>JB-SC-1-AI06</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5" t="n">
        <v>99</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I-I-0439</t>
        </is>
      </c>
      <c r="B5042" s="12" t="inlineStr">
        <is>
          <t>I</t>
        </is>
      </c>
      <c r="C5042" s="12" t="inlineStr">
        <is>
          <t>Modular / portable power</t>
        </is>
      </c>
      <c r="D5042" s="12" t="inlineStr">
        <is>
          <t>Home run JB-SC-1-AI06 to the control / marshalling room</t>
        </is>
      </c>
      <c r="E5042" s="12" t="inlineStr"/>
      <c r="F5042" s="12" t="inlineStr">
        <is>
          <t>SC-1 PCM + 15 kV GCB</t>
        </is>
      </c>
      <c r="G5042" s="12" t="inlineStr">
        <is>
          <t>JB-SC-1-AI06</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5" t="n">
        <v>5</v>
      </c>
      <c r="U5042" s="15" t="n">
        <v>62</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I-I-0440</t>
        </is>
      </c>
      <c r="B5043" s="12" t="inlineStr">
        <is>
          <t>I</t>
        </is>
      </c>
      <c r="C5043" s="12" t="inlineStr">
        <is>
          <t>Modular / portable power</t>
        </is>
      </c>
      <c r="D5043" s="12" t="inlineStr">
        <is>
          <t>Analog instrument to JB JB-SC-1-AI07: 20 x 1 pr (field cables)</t>
        </is>
      </c>
      <c r="E5043" s="12" t="inlineStr">
        <is>
          <t>SC-1</t>
        </is>
      </c>
      <c r="F5043" s="12" t="inlineStr">
        <is>
          <t>SC-1: aeroderivative simple-cycle unit (LM6000 class)</t>
        </is>
      </c>
      <c r="G5043" s="12" t="inlineStr">
        <is>
          <t>JB-SC-1-AI07</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5" t="n">
        <v>99</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I-I-0441</t>
        </is>
      </c>
      <c r="B5044" s="12" t="inlineStr">
        <is>
          <t>I</t>
        </is>
      </c>
      <c r="C5044" s="12" t="inlineStr">
        <is>
          <t>Modular / portable power</t>
        </is>
      </c>
      <c r="D5044" s="12" t="inlineStr">
        <is>
          <t>Home run JB-SC-1-AI07 to the control / marshalling room</t>
        </is>
      </c>
      <c r="E5044" s="12" t="inlineStr"/>
      <c r="F5044" s="12" t="inlineStr">
        <is>
          <t>SC-1 PCM + 15 kV GCB</t>
        </is>
      </c>
      <c r="G5044" s="12" t="inlineStr">
        <is>
          <t>JB-SC-1-AI07</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Tray</t>
        </is>
      </c>
      <c r="T5044" s="15" t="n">
        <v>5</v>
      </c>
      <c r="U5044" s="15" t="n">
        <v>62</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I-I-0442</t>
        </is>
      </c>
      <c r="B5045" s="12" t="inlineStr">
        <is>
          <t>I</t>
        </is>
      </c>
      <c r="C5045" s="12" t="inlineStr">
        <is>
          <t>Modular / portable power</t>
        </is>
      </c>
      <c r="D5045" s="12" t="inlineStr">
        <is>
          <t>Analog instrument to JB JB-SC-1-AI08: 10 x 1 pr (field cables)</t>
        </is>
      </c>
      <c r="E5045" s="12" t="inlineStr">
        <is>
          <t>SC-1</t>
        </is>
      </c>
      <c r="F5045" s="12" t="inlineStr">
        <is>
          <t>SC-1: aeroderivative simple-cycle unit (LM6000 class)</t>
        </is>
      </c>
      <c r="G5045" s="12" t="inlineStr">
        <is>
          <t>JB-SC-1-AI08</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10</v>
      </c>
      <c r="O5045" s="12" t="n">
        <v>1</v>
      </c>
      <c r="P5045" s="12" t="n"/>
      <c r="Q5045" s="12" t="n"/>
      <c r="R5045" s="12" t="n"/>
      <c r="S5045" s="12" t="inlineStr">
        <is>
          <t>Tray / conduit</t>
        </is>
      </c>
      <c r="T5045" s="15" t="n">
        <v>99</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I-I-0443</t>
        </is>
      </c>
      <c r="B5046" s="12" t="inlineStr">
        <is>
          <t>I</t>
        </is>
      </c>
      <c r="C5046" s="12" t="inlineStr">
        <is>
          <t>Modular / portable power</t>
        </is>
      </c>
      <c r="D5046" s="12" t="inlineStr">
        <is>
          <t>Home run JB-SC-1-AI08 to the control / marshalling room</t>
        </is>
      </c>
      <c r="E5046" s="12" t="inlineStr"/>
      <c r="F5046" s="12" t="inlineStr">
        <is>
          <t>SC-1 PCM + 15 kV GCB</t>
        </is>
      </c>
      <c r="G5046" s="12" t="inlineStr">
        <is>
          <t>JB-SC-1-AI08</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Tray</t>
        </is>
      </c>
      <c r="T5046" s="15" t="n">
        <v>5</v>
      </c>
      <c r="U5046" s="15" t="n">
        <v>62</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I-I-0444</t>
        </is>
      </c>
      <c r="B5047" s="12" t="inlineStr">
        <is>
          <t>I</t>
        </is>
      </c>
      <c r="C5047" s="12" t="inlineStr">
        <is>
          <t>Modular / portable power</t>
        </is>
      </c>
      <c r="D5047" s="12" t="inlineStr">
        <is>
          <t>Discrete device to JB JB-SC-1-DI01: 20 x 1 pr (field cables)</t>
        </is>
      </c>
      <c r="E5047" s="12" t="inlineStr">
        <is>
          <t>SC-1</t>
        </is>
      </c>
      <c r="F5047" s="12" t="inlineStr">
        <is>
          <t>SC-1: aeroderivative simple-cycle unit (LM6000 class)</t>
        </is>
      </c>
      <c r="G5047" s="12" t="inlineStr">
        <is>
          <t>JB-SC-1-DI01</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20</v>
      </c>
      <c r="O5047" s="12" t="n">
        <v>1</v>
      </c>
      <c r="P5047" s="12" t="n"/>
      <c r="Q5047" s="12" t="n"/>
      <c r="R5047" s="12" t="n"/>
      <c r="S5047" s="12" t="inlineStr">
        <is>
          <t>Tray / conduit</t>
        </is>
      </c>
      <c r="T5047" s="15" t="n">
        <v>99</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I-I-0445</t>
        </is>
      </c>
      <c r="B5048" s="12" t="inlineStr">
        <is>
          <t>I</t>
        </is>
      </c>
      <c r="C5048" s="12" t="inlineStr">
        <is>
          <t>Modular / portable power</t>
        </is>
      </c>
      <c r="D5048" s="12" t="inlineStr">
        <is>
          <t>Home run JB-SC-1-DI01 to the control / marshalling room</t>
        </is>
      </c>
      <c r="E5048" s="12" t="inlineStr"/>
      <c r="F5048" s="12" t="inlineStr">
        <is>
          <t>SC-1 PCM + 15 kV GCB</t>
        </is>
      </c>
      <c r="G5048" s="12" t="inlineStr">
        <is>
          <t>JB-SC-1-DI01</t>
        </is>
      </c>
      <c r="H5048" s="12" t="inlineStr">
        <is>
          <t>SC-1: aeroderivative simple-cycle unit (LM6000 class)</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5" t="n">
        <v>5</v>
      </c>
      <c r="U5048" s="15" t="n">
        <v>62</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I-I-0446</t>
        </is>
      </c>
      <c r="B5049" s="12" t="inlineStr">
        <is>
          <t>I</t>
        </is>
      </c>
      <c r="C5049" s="12" t="inlineStr">
        <is>
          <t>Modular / portable power</t>
        </is>
      </c>
      <c r="D5049" s="12" t="inlineStr">
        <is>
          <t>Discrete device to JB JB-SC-1-DI02: 20 x 1 pr (field cables)</t>
        </is>
      </c>
      <c r="E5049" s="12" t="inlineStr">
        <is>
          <t>SC-1</t>
        </is>
      </c>
      <c r="F5049" s="12" t="inlineStr">
        <is>
          <t>SC-1: aeroderivative simple-cycle unit (LM6000 class)</t>
        </is>
      </c>
      <c r="G5049" s="12" t="inlineStr">
        <is>
          <t>JB-SC-1-DI02</t>
        </is>
      </c>
      <c r="H5049" s="12" t="inlineStr">
        <is>
          <t>SC-1: aeroderivative simple-cycle unit (LM6000 class)</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5" t="n">
        <v>99</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I-I-0447</t>
        </is>
      </c>
      <c r="B5050" s="12" t="inlineStr">
        <is>
          <t>I</t>
        </is>
      </c>
      <c r="C5050" s="12" t="inlineStr">
        <is>
          <t>Modular / portable power</t>
        </is>
      </c>
      <c r="D5050" s="12" t="inlineStr">
        <is>
          <t>Home run JB-SC-1-DI02 to the control / marshalling room</t>
        </is>
      </c>
      <c r="E5050" s="12" t="inlineStr"/>
      <c r="F5050" s="12" t="inlineStr">
        <is>
          <t>SC-1 PCM + 15 kV GCB</t>
        </is>
      </c>
      <c r="G5050" s="12" t="inlineStr">
        <is>
          <t>JB-SC-1-DI02</t>
        </is>
      </c>
      <c r="H5050" s="12" t="inlineStr">
        <is>
          <t>SC-1: aeroderivative simple-cycle unit (LM6000 class)</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5" t="n">
        <v>5</v>
      </c>
      <c r="U5050" s="15" t="n">
        <v>62</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I-I-0448</t>
        </is>
      </c>
      <c r="B5051" s="12" t="inlineStr">
        <is>
          <t>I</t>
        </is>
      </c>
      <c r="C5051" s="12" t="inlineStr">
        <is>
          <t>Modular / portable power</t>
        </is>
      </c>
      <c r="D5051" s="12" t="inlineStr">
        <is>
          <t>Discrete device to JB JB-SC-1-DI03: 20 x 1 pr (field cables)</t>
        </is>
      </c>
      <c r="E5051" s="12" t="inlineStr">
        <is>
          <t>SC-1</t>
        </is>
      </c>
      <c r="F5051" s="12" t="inlineStr">
        <is>
          <t>SC-1: aeroderivative simple-cycle unit (LM6000 class)</t>
        </is>
      </c>
      <c r="G5051" s="12" t="inlineStr">
        <is>
          <t>JB-SC-1-DI03</t>
        </is>
      </c>
      <c r="H5051" s="12" t="inlineStr">
        <is>
          <t>SC-1: aeroderivative simple-cycle unit (LM6000 class)</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5" t="n">
        <v>99</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I-I-0449</t>
        </is>
      </c>
      <c r="B5052" s="12" t="inlineStr">
        <is>
          <t>I</t>
        </is>
      </c>
      <c r="C5052" s="12" t="inlineStr">
        <is>
          <t>Modular / portable power</t>
        </is>
      </c>
      <c r="D5052" s="12" t="inlineStr">
        <is>
          <t>Home run JB-SC-1-DI03 to the control / marshalling room</t>
        </is>
      </c>
      <c r="E5052" s="12" t="inlineStr"/>
      <c r="F5052" s="12" t="inlineStr">
        <is>
          <t>SC-1 PCM + 15 kV GCB</t>
        </is>
      </c>
      <c r="G5052" s="12" t="inlineStr">
        <is>
          <t>JB-SC-1-DI03</t>
        </is>
      </c>
      <c r="H5052" s="12" t="inlineStr">
        <is>
          <t>SC-1: aeroderivative simple-cycle unit (LM6000 class)</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Tray</t>
        </is>
      </c>
      <c r="T5052" s="15" t="n">
        <v>5</v>
      </c>
      <c r="U5052" s="15" t="n">
        <v>62</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I-I-0450</t>
        </is>
      </c>
      <c r="B5053" s="12" t="inlineStr">
        <is>
          <t>I</t>
        </is>
      </c>
      <c r="C5053" s="12" t="inlineStr">
        <is>
          <t>Modular / portable power</t>
        </is>
      </c>
      <c r="D5053" s="12" t="inlineStr">
        <is>
          <t>Discrete device to JB JB-SC-1-DI04: 20 x 1 pr (field cables)</t>
        </is>
      </c>
      <c r="E5053" s="12" t="inlineStr">
        <is>
          <t>SC-1</t>
        </is>
      </c>
      <c r="F5053" s="12" t="inlineStr">
        <is>
          <t>SC-1: aeroderivative simple-cycle unit (LM6000 class)</t>
        </is>
      </c>
      <c r="G5053" s="12" t="inlineStr">
        <is>
          <t>JB-SC-1-DI04</t>
        </is>
      </c>
      <c r="H5053" s="12" t="inlineStr">
        <is>
          <t>SC-1: aeroderivative simple-cycle unit (LM6000 class)</t>
        </is>
      </c>
      <c r="I5053" s="12" t="inlineStr">
        <is>
          <t>Instrumentation</t>
        </is>
      </c>
      <c r="J5053" s="12" t="inlineStr">
        <is>
          <t>Instrumentation PLTC / TC-ER 300 V, #18 twisted shielded pairs, overall shield</t>
        </is>
      </c>
      <c r="K5053" s="12" t="inlineStr">
        <is>
          <t>PLTC|1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I-I-0451</t>
        </is>
      </c>
      <c r="B5054" s="12" t="inlineStr">
        <is>
          <t>I</t>
        </is>
      </c>
      <c r="C5054" s="12" t="inlineStr">
        <is>
          <t>Modular / portable power</t>
        </is>
      </c>
      <c r="D5054" s="12" t="inlineStr">
        <is>
          <t>Home run JB-SC-1-DI04 to the control / marshalling room</t>
        </is>
      </c>
      <c r="E5054" s="12" t="inlineStr"/>
      <c r="F5054" s="12" t="inlineStr">
        <is>
          <t>SC-1 PCM + 15 kV GCB</t>
        </is>
      </c>
      <c r="G5054" s="12" t="inlineStr">
        <is>
          <t>JB-SC-1-DI04</t>
        </is>
      </c>
      <c r="H5054" s="12" t="inlineStr">
        <is>
          <t>SC-1: aeroderivative simple-cycle unit (LM6000 class)</t>
        </is>
      </c>
      <c r="I5054" s="12" t="inlineStr">
        <is>
          <t>Instrumentation</t>
        </is>
      </c>
      <c r="J5054" s="12" t="inlineStr">
        <is>
          <t>Instrumentation PLTC / TC-ER 300 V, #18 twisted shielded pairs, overall shield</t>
        </is>
      </c>
      <c r="K5054" s="12" t="inlineStr">
        <is>
          <t>PLTC|24 pr|18</t>
        </is>
      </c>
      <c r="L5054" s="12" t="inlineStr">
        <is>
          <t>24 pr</t>
        </is>
      </c>
      <c r="M5054" s="12" t="inlineStr">
        <is>
          <t>18</t>
        </is>
      </c>
      <c r="N5054" s="12" t="n">
        <v>1</v>
      </c>
      <c r="O5054" s="12" t="n">
        <v>1</v>
      </c>
      <c r="P5054" s="12" t="n"/>
      <c r="Q5054" s="12" t="n"/>
      <c r="R5054" s="12" t="n"/>
      <c r="S5054" s="12" t="inlineStr">
        <is>
          <t>Tray</t>
        </is>
      </c>
      <c r="T5054" s="15" t="n">
        <v>5</v>
      </c>
      <c r="U5054" s="15" t="n">
        <v>62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I-I-0452</t>
        </is>
      </c>
      <c r="B5055" s="12" t="inlineStr">
        <is>
          <t>I</t>
        </is>
      </c>
      <c r="C5055" s="12" t="inlineStr">
        <is>
          <t>Modular / portable power</t>
        </is>
      </c>
      <c r="D5055" s="12" t="inlineStr">
        <is>
          <t>Discrete device to JB JB-SC-1-DI05: 20 x 1 pr (field cables)</t>
        </is>
      </c>
      <c r="E5055" s="12" t="inlineStr">
        <is>
          <t>SC-1</t>
        </is>
      </c>
      <c r="F5055" s="12" t="inlineStr">
        <is>
          <t>SC-1: aeroderivative simple-cycle unit (LM6000 class)</t>
        </is>
      </c>
      <c r="G5055" s="12" t="inlineStr">
        <is>
          <t>JB-SC-1-DI05</t>
        </is>
      </c>
      <c r="H5055" s="12" t="inlineStr">
        <is>
          <t>SC-1: aeroderivative simple-cycle unit (LM6000 class)</t>
        </is>
      </c>
      <c r="I5055" s="12" t="inlineStr">
        <is>
          <t>Instrumentation</t>
        </is>
      </c>
      <c r="J5055" s="12" t="inlineStr">
        <is>
          <t>Instrumentation PLTC / TC-ER 300 V, #18 twisted shielded pairs, overall shield</t>
        </is>
      </c>
      <c r="K5055" s="12" t="inlineStr">
        <is>
          <t>PLTC|1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I-I-0453</t>
        </is>
      </c>
      <c r="B5056" s="12" t="inlineStr">
        <is>
          <t>I</t>
        </is>
      </c>
      <c r="C5056" s="12" t="inlineStr">
        <is>
          <t>Modular / portable power</t>
        </is>
      </c>
      <c r="D5056" s="12" t="inlineStr">
        <is>
          <t>Home run JB-SC-1-DI05 to the control / marshalling room</t>
        </is>
      </c>
      <c r="E5056" s="12" t="inlineStr"/>
      <c r="F5056" s="12" t="inlineStr">
        <is>
          <t>SC-1 PCM + 15 kV GCB</t>
        </is>
      </c>
      <c r="G5056" s="12" t="inlineStr">
        <is>
          <t>JB-SC-1-DI05</t>
        </is>
      </c>
      <c r="H5056" s="12" t="inlineStr">
        <is>
          <t>SC-1: aeroderivative simple-cycle unit (LM6000 class)</t>
        </is>
      </c>
      <c r="I5056" s="12" t="inlineStr">
        <is>
          <t>Instrumentation</t>
        </is>
      </c>
      <c r="J5056" s="12" t="inlineStr">
        <is>
          <t>Instrumentation PLTC / TC-ER 300 V, #18 twisted shielded pairs, overall shield</t>
        </is>
      </c>
      <c r="K5056" s="12" t="inlineStr">
        <is>
          <t>PLTC|24 pr|18</t>
        </is>
      </c>
      <c r="L5056" s="12" t="inlineStr">
        <is>
          <t>24 pr</t>
        </is>
      </c>
      <c r="M5056" s="12" t="inlineStr">
        <is>
          <t>18</t>
        </is>
      </c>
      <c r="N5056" s="12" t="n">
        <v>1</v>
      </c>
      <c r="O5056" s="12" t="n">
        <v>1</v>
      </c>
      <c r="P5056" s="12" t="n"/>
      <c r="Q5056" s="12" t="n"/>
      <c r="R5056" s="12" t="n"/>
      <c r="S5056" s="12" t="inlineStr">
        <is>
          <t>Tray</t>
        </is>
      </c>
      <c r="T5056" s="15" t="n">
        <v>5</v>
      </c>
      <c r="U5056" s="15" t="n">
        <v>62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I-I-0454</t>
        </is>
      </c>
      <c r="B5057" s="12" t="inlineStr">
        <is>
          <t>I</t>
        </is>
      </c>
      <c r="C5057" s="12" t="inlineStr">
        <is>
          <t>Modular / portable power</t>
        </is>
      </c>
      <c r="D5057" s="12" t="inlineStr">
        <is>
          <t>Thermocouple to TC JB JB-SC-1-TC01: 20 x 1 pr (field cables)</t>
        </is>
      </c>
      <c r="E5057" s="12" t="inlineStr">
        <is>
          <t>SC-1</t>
        </is>
      </c>
      <c r="F5057" s="12" t="inlineStr">
        <is>
          <t>SC-1: aeroderivative simple-cycle unit (LM6000 class)</t>
        </is>
      </c>
      <c r="G5057" s="12" t="inlineStr">
        <is>
          <t>JB-SC-1-TC01</t>
        </is>
      </c>
      <c r="H5057" s="12" t="inlineStr">
        <is>
          <t>SC-1: aeroderivative simple-cycle unit (LM6000 class)</t>
        </is>
      </c>
      <c r="I5057" s="12" t="inlineStr">
        <is>
          <t>Instrumentation</t>
        </is>
      </c>
      <c r="J5057" s="12" t="inlineStr">
        <is>
          <t>Thermocouple extension KX, #16 shielded pairs, PLTC</t>
        </is>
      </c>
      <c r="K5057" s="12" t="inlineStr">
        <is>
          <t>TCX|1 pr|16</t>
        </is>
      </c>
      <c r="L5057" s="12" t="inlineStr">
        <is>
          <t>1 pr</t>
        </is>
      </c>
      <c r="M5057" s="12" t="inlineStr">
        <is>
          <t>16</t>
        </is>
      </c>
      <c r="N5057" s="12" t="n">
        <v>20</v>
      </c>
      <c r="O5057" s="12" t="n">
        <v>1</v>
      </c>
      <c r="P5057" s="12" t="n"/>
      <c r="Q5057" s="12" t="n"/>
      <c r="R5057" s="12" t="n"/>
      <c r="S5057" s="12" t="inlineStr">
        <is>
          <t>Tray / conduit</t>
        </is>
      </c>
      <c r="T5057" s="15" t="n">
        <v>99</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I-I-0455</t>
        </is>
      </c>
      <c r="B5058" s="12" t="inlineStr">
        <is>
          <t>I</t>
        </is>
      </c>
      <c r="C5058" s="12" t="inlineStr">
        <is>
          <t>Modular / portable power</t>
        </is>
      </c>
      <c r="D5058" s="12" t="inlineStr">
        <is>
          <t>Home run JB-SC-1-TC01 to the control / marshalling room</t>
        </is>
      </c>
      <c r="E5058" s="12" t="inlineStr"/>
      <c r="F5058" s="12" t="inlineStr">
        <is>
          <t>SC-1 PCM + 15 kV GCB</t>
        </is>
      </c>
      <c r="G5058" s="12" t="inlineStr">
        <is>
          <t>JB-SC-1-TC01</t>
        </is>
      </c>
      <c r="H5058" s="12" t="inlineStr">
        <is>
          <t>SC-1: aeroderivative simple-cycle unit (LM6000 class)</t>
        </is>
      </c>
      <c r="I5058" s="12" t="inlineStr">
        <is>
          <t>Instrumentation</t>
        </is>
      </c>
      <c r="J5058" s="12" t="inlineStr">
        <is>
          <t>Thermocouple extension KX, #16 shielded pairs, PLTC</t>
        </is>
      </c>
      <c r="K5058" s="12" t="inlineStr">
        <is>
          <t>TCX|24 pr|16</t>
        </is>
      </c>
      <c r="L5058" s="12" t="inlineStr">
        <is>
          <t>24 pr</t>
        </is>
      </c>
      <c r="M5058" s="12" t="inlineStr">
        <is>
          <t>16</t>
        </is>
      </c>
      <c r="N5058" s="12" t="n">
        <v>1</v>
      </c>
      <c r="O5058" s="12" t="n">
        <v>1</v>
      </c>
      <c r="P5058" s="12" t="n"/>
      <c r="Q5058" s="12" t="n"/>
      <c r="R5058" s="12" t="n"/>
      <c r="S5058" s="12" t="inlineStr">
        <is>
          <t>Tray</t>
        </is>
      </c>
      <c r="T5058" s="15" t="n">
        <v>5</v>
      </c>
      <c r="U5058" s="15" t="n">
        <v>62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I-I-0456</t>
        </is>
      </c>
      <c r="B5059" s="12" t="inlineStr">
        <is>
          <t>I</t>
        </is>
      </c>
      <c r="C5059" s="12" t="inlineStr">
        <is>
          <t>Modular / portable power</t>
        </is>
      </c>
      <c r="D5059" s="12" t="inlineStr">
        <is>
          <t>Thermocouple to TC JB JB-SC-1-TC02: 20 x 1 pr (field cables)</t>
        </is>
      </c>
      <c r="E5059" s="12" t="inlineStr">
        <is>
          <t>SC-1</t>
        </is>
      </c>
      <c r="F5059" s="12" t="inlineStr">
        <is>
          <t>SC-1: aeroderivative simple-cycle unit (LM6000 class)</t>
        </is>
      </c>
      <c r="G5059" s="12" t="inlineStr">
        <is>
          <t>JB-SC-1-TC02</t>
        </is>
      </c>
      <c r="H5059" s="12" t="inlineStr">
        <is>
          <t>SC-1: aeroderivative simple-cycle unit (LM6000 class)</t>
        </is>
      </c>
      <c r="I5059" s="12" t="inlineStr">
        <is>
          <t>Instrumentation</t>
        </is>
      </c>
      <c r="J5059" s="12" t="inlineStr">
        <is>
          <t>Thermocouple extension KX, #16 shielded pairs, PLTC</t>
        </is>
      </c>
      <c r="K5059" s="12" t="inlineStr">
        <is>
          <t>TCX|1 pr|16</t>
        </is>
      </c>
      <c r="L5059" s="12" t="inlineStr">
        <is>
          <t>1 pr</t>
        </is>
      </c>
      <c r="M5059" s="12" t="inlineStr">
        <is>
          <t>16</t>
        </is>
      </c>
      <c r="N5059" s="12" t="n">
        <v>20</v>
      </c>
      <c r="O5059" s="12" t="n">
        <v>1</v>
      </c>
      <c r="P5059" s="12" t="n"/>
      <c r="Q5059" s="12" t="n"/>
      <c r="R5059" s="12" t="n"/>
      <c r="S5059" s="12" t="inlineStr">
        <is>
          <t>Tray / conduit</t>
        </is>
      </c>
      <c r="T5059" s="15" t="n">
        <v>99</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I-I-0457</t>
        </is>
      </c>
      <c r="B5060" s="12" t="inlineStr">
        <is>
          <t>I</t>
        </is>
      </c>
      <c r="C5060" s="12" t="inlineStr">
        <is>
          <t>Modular / portable power</t>
        </is>
      </c>
      <c r="D5060" s="12" t="inlineStr">
        <is>
          <t>Home run JB-SC-1-TC02 to the control / marshalling room</t>
        </is>
      </c>
      <c r="E5060" s="12" t="inlineStr"/>
      <c r="F5060" s="12" t="inlineStr">
        <is>
          <t>SC-1 PCM + 15 kV GCB</t>
        </is>
      </c>
      <c r="G5060" s="12" t="inlineStr">
        <is>
          <t>JB-SC-1-TC02</t>
        </is>
      </c>
      <c r="H5060" s="12" t="inlineStr">
        <is>
          <t>SC-1: aeroderivative simple-cycle unit (LM6000 class)</t>
        </is>
      </c>
      <c r="I5060" s="12" t="inlineStr">
        <is>
          <t>Instrumentation</t>
        </is>
      </c>
      <c r="J5060" s="12" t="inlineStr">
        <is>
          <t>Thermocouple extension KX, #16 shielded pairs, PLTC</t>
        </is>
      </c>
      <c r="K5060" s="12" t="inlineStr">
        <is>
          <t>TCX|24 pr|16</t>
        </is>
      </c>
      <c r="L5060" s="12" t="inlineStr">
        <is>
          <t>24 pr</t>
        </is>
      </c>
      <c r="M5060" s="12" t="inlineStr">
        <is>
          <t>16</t>
        </is>
      </c>
      <c r="N5060" s="12" t="n">
        <v>1</v>
      </c>
      <c r="O5060" s="12" t="n">
        <v>1</v>
      </c>
      <c r="P5060" s="12" t="n"/>
      <c r="Q5060" s="12" t="n"/>
      <c r="R5060" s="12" t="n"/>
      <c r="S5060" s="12" t="inlineStr">
        <is>
          <t>Tray</t>
        </is>
      </c>
      <c r="T5060" s="15" t="n">
        <v>5</v>
      </c>
      <c r="U5060" s="15" t="n">
        <v>62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I-I-0458</t>
        </is>
      </c>
      <c r="B5061" s="12" t="inlineStr">
        <is>
          <t>I</t>
        </is>
      </c>
      <c r="C5061" s="12" t="inlineStr">
        <is>
          <t>Modular / portable power</t>
        </is>
      </c>
      <c r="D5061" s="12" t="inlineStr">
        <is>
          <t>Analog instrument to JB JB-SC-2 CEMS shelter-AI01: 12 x 1 pr (field cables)</t>
        </is>
      </c>
      <c r="E5061" s="12" t="inlineStr"/>
      <c r="F5061" s="12" t="inlineStr">
        <is>
          <t>SC-2 CEMS shelter</t>
        </is>
      </c>
      <c r="G5061" s="12" t="inlineStr">
        <is>
          <t>JB-SC-2 CEMS shelter-AI01</t>
        </is>
      </c>
      <c r="H5061" s="12" t="inlineStr">
        <is>
          <t>SC-2 CEMS shelter</t>
        </is>
      </c>
      <c r="I5061" s="12" t="inlineStr">
        <is>
          <t>Instrumentation</t>
        </is>
      </c>
      <c r="J5061" s="12" t="inlineStr">
        <is>
          <t>Instrumentation PLTC / TC-ER 300 V, #18 twisted shielded pairs, overall shield</t>
        </is>
      </c>
      <c r="K5061" s="12" t="inlineStr">
        <is>
          <t>PLTC|1 pr|16</t>
        </is>
      </c>
      <c r="L5061" s="12" t="inlineStr">
        <is>
          <t>1 pr</t>
        </is>
      </c>
      <c r="M5061" s="12" t="inlineStr">
        <is>
          <t>16</t>
        </is>
      </c>
      <c r="N5061" s="12" t="n">
        <v>12</v>
      </c>
      <c r="O5061" s="12" t="n">
        <v>1</v>
      </c>
      <c r="P5061" s="12" t="n"/>
      <c r="Q5061" s="12" t="n"/>
      <c r="R5061" s="12" t="n"/>
      <c r="S5061" s="12" t="inlineStr">
        <is>
          <t>Tray / conduit</t>
        </is>
      </c>
      <c r="T5061" s="15" t="n">
        <v>57</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I-I-0459</t>
        </is>
      </c>
      <c r="B5062" s="12" t="inlineStr">
        <is>
          <t>I</t>
        </is>
      </c>
      <c r="C5062" s="12" t="inlineStr">
        <is>
          <t>Modular / portable power</t>
        </is>
      </c>
      <c r="D5062" s="12" t="inlineStr">
        <is>
          <t>Home run JB-SC-2 CEMS shelter-AI01 to the control / marshalling room</t>
        </is>
      </c>
      <c r="E5062" s="12" t="inlineStr"/>
      <c r="F5062" s="12" t="inlineStr">
        <is>
          <t>SC-2 PCM + 15 kV GCB</t>
        </is>
      </c>
      <c r="G5062" s="12" t="inlineStr">
        <is>
          <t>JB-SC-2 CEMS shelter-AI01</t>
        </is>
      </c>
      <c r="H5062" s="12" t="inlineStr">
        <is>
          <t>SC-2 CEMS shelter</t>
        </is>
      </c>
      <c r="I5062" s="12" t="inlineStr">
        <is>
          <t>Instrumentation</t>
        </is>
      </c>
      <c r="J5062" s="12" t="inlineStr">
        <is>
          <t>Instrumentation PLTC / TC-ER 300 V, #18 twisted shielded pairs, overall shield</t>
        </is>
      </c>
      <c r="K5062" s="12" t="inlineStr">
        <is>
          <t>PLTC|24 pr|18</t>
        </is>
      </c>
      <c r="L5062" s="12" t="inlineStr">
        <is>
          <t>24 pr</t>
        </is>
      </c>
      <c r="M5062" s="12" t="inlineStr">
        <is>
          <t>18</t>
        </is>
      </c>
      <c r="N5062" s="12" t="n">
        <v>1</v>
      </c>
      <c r="O5062" s="12" t="n">
        <v>1</v>
      </c>
      <c r="P5062" s="12" t="n"/>
      <c r="Q5062" s="12" t="n"/>
      <c r="R5062" s="12" t="n"/>
      <c r="S5062" s="12" t="inlineStr">
        <is>
          <t>Duct bank</t>
        </is>
      </c>
      <c r="T5062" s="15" t="n">
        <v>74</v>
      </c>
      <c r="U5062" s="15" t="n">
        <v>112</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I-I-0460</t>
        </is>
      </c>
      <c r="B5063" s="12" t="inlineStr">
        <is>
          <t>I</t>
        </is>
      </c>
      <c r="C5063" s="12" t="inlineStr">
        <is>
          <t>Modular / portable power</t>
        </is>
      </c>
      <c r="D5063" s="12" t="inlineStr">
        <is>
          <t>Discrete device to JB JB-SC-2 CEMS shelter-DI01: 10 x 1 pr (field cables)</t>
        </is>
      </c>
      <c r="E5063" s="12" t="inlineStr"/>
      <c r="F5063" s="12" t="inlineStr">
        <is>
          <t>SC-2 CEMS shelter</t>
        </is>
      </c>
      <c r="G5063" s="12" t="inlineStr">
        <is>
          <t>JB-SC-2 CEMS shelter-DI01</t>
        </is>
      </c>
      <c r="H5063" s="12" t="inlineStr">
        <is>
          <t>SC-2 CEMS shelter</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10</v>
      </c>
      <c r="O5063" s="12" t="n">
        <v>1</v>
      </c>
      <c r="P5063" s="12" t="n"/>
      <c r="Q5063" s="12" t="n"/>
      <c r="R5063" s="12" t="n"/>
      <c r="S5063" s="12" t="inlineStr">
        <is>
          <t>Tray / conduit</t>
        </is>
      </c>
      <c r="T5063" s="15" t="n">
        <v>57</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I-I-0461</t>
        </is>
      </c>
      <c r="B5064" s="12" t="inlineStr">
        <is>
          <t>I</t>
        </is>
      </c>
      <c r="C5064" s="12" t="inlineStr">
        <is>
          <t>Modular / portable power</t>
        </is>
      </c>
      <c r="D5064" s="12" t="inlineStr">
        <is>
          <t>Home run JB-SC-2 CEMS shelter-DI01 to the control / marshalling room</t>
        </is>
      </c>
      <c r="E5064" s="12" t="inlineStr"/>
      <c r="F5064" s="12" t="inlineStr">
        <is>
          <t>SC-2 PCM + 15 kV GCB</t>
        </is>
      </c>
      <c r="G5064" s="12" t="inlineStr">
        <is>
          <t>JB-SC-2 CEMS shelter-DI01</t>
        </is>
      </c>
      <c r="H5064" s="12" t="inlineStr">
        <is>
          <t>SC-2 CEMS shelter</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74</v>
      </c>
      <c r="U5064" s="15" t="n">
        <v>112</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I-I-0462</t>
        </is>
      </c>
      <c r="B5065" s="12" t="inlineStr">
        <is>
          <t>I</t>
        </is>
      </c>
      <c r="C5065" s="12" t="inlineStr">
        <is>
          <t>Modular / portable power</t>
        </is>
      </c>
      <c r="D5065" s="12" t="inlineStr">
        <is>
          <t>Analog instrument to JB JB-SC-2 SCR / CO cata-AI01: 16 x 1 pr (field cables)</t>
        </is>
      </c>
      <c r="E5065" s="12" t="inlineStr"/>
      <c r="F5065" s="12" t="inlineStr">
        <is>
          <t>SC-2 SCR / CO catalyst</t>
        </is>
      </c>
      <c r="G5065" s="12" t="inlineStr">
        <is>
          <t>JB-SC-2 SCR / CO cata-AI01</t>
        </is>
      </c>
      <c r="H5065" s="12" t="inlineStr">
        <is>
          <t>SC-2 SCR / CO catalyst</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16</v>
      </c>
      <c r="O5065" s="12" t="n">
        <v>1</v>
      </c>
      <c r="P5065" s="12" t="n"/>
      <c r="Q5065" s="12" t="n"/>
      <c r="R5065" s="12" t="n"/>
      <c r="S5065" s="12" t="inlineStr">
        <is>
          <t>Tray / conduit</t>
        </is>
      </c>
      <c r="T5065" s="15" t="n">
        <v>74</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I-I-0463</t>
        </is>
      </c>
      <c r="B5066" s="12" t="inlineStr">
        <is>
          <t>I</t>
        </is>
      </c>
      <c r="C5066" s="12" t="inlineStr">
        <is>
          <t>Modular / portable power</t>
        </is>
      </c>
      <c r="D5066" s="12" t="inlineStr">
        <is>
          <t>Home run JB-SC-2 SCR / CO cata-AI01 to the control / marshalling room</t>
        </is>
      </c>
      <c r="E5066" s="12" t="inlineStr"/>
      <c r="F5066" s="12" t="inlineStr">
        <is>
          <t>SC-2 PCM + 15 kV GCB</t>
        </is>
      </c>
      <c r="G5066" s="12" t="inlineStr">
        <is>
          <t>JB-SC-2 SCR / CO cata-AI01</t>
        </is>
      </c>
      <c r="H5066" s="12" t="inlineStr">
        <is>
          <t>SC-2 SCR / CO catalyst</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48</v>
      </c>
      <c r="U5066" s="15" t="n">
        <v>64</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I-I-0464</t>
        </is>
      </c>
      <c r="B5067" s="12" t="inlineStr">
        <is>
          <t>I</t>
        </is>
      </c>
      <c r="C5067" s="12" t="inlineStr">
        <is>
          <t>Modular / portable power</t>
        </is>
      </c>
      <c r="D5067" s="12" t="inlineStr">
        <is>
          <t>Discrete device to JB JB-SC-2 SCR / CO cata-DI01: 8 x 1 pr (field cables)</t>
        </is>
      </c>
      <c r="E5067" s="12" t="inlineStr"/>
      <c r="F5067" s="12" t="inlineStr">
        <is>
          <t>SC-2 SCR / CO catalyst</t>
        </is>
      </c>
      <c r="G5067" s="12" t="inlineStr">
        <is>
          <t>JB-SC-2 SCR / CO cata-DI01</t>
        </is>
      </c>
      <c r="H5067" s="12" t="inlineStr">
        <is>
          <t>SC-2 SCR / CO catalyst</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8</v>
      </c>
      <c r="O5067" s="12" t="n">
        <v>1</v>
      </c>
      <c r="P5067" s="12" t="n"/>
      <c r="Q5067" s="12" t="n"/>
      <c r="R5067" s="12" t="n"/>
      <c r="S5067" s="12" t="inlineStr">
        <is>
          <t>Tray / conduit</t>
        </is>
      </c>
      <c r="T5067" s="15" t="n">
        <v>74</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I-I-0465</t>
        </is>
      </c>
      <c r="B5068" s="12" t="inlineStr">
        <is>
          <t>I</t>
        </is>
      </c>
      <c r="C5068" s="12" t="inlineStr">
        <is>
          <t>Modular / portable power</t>
        </is>
      </c>
      <c r="D5068" s="12" t="inlineStr">
        <is>
          <t>Home run JB-SC-2 SCR / CO cata-DI01 to the control / marshalling room</t>
        </is>
      </c>
      <c r="E5068" s="12" t="inlineStr"/>
      <c r="F5068" s="12" t="inlineStr">
        <is>
          <t>SC-2 PCM + 15 kV GCB</t>
        </is>
      </c>
      <c r="G5068" s="12" t="inlineStr">
        <is>
          <t>JB-SC-2 SCR / CO cata-DI01</t>
        </is>
      </c>
      <c r="H5068" s="12" t="inlineStr">
        <is>
          <t>SC-2 SCR / CO catalyst</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48</v>
      </c>
      <c r="U5068" s="15" t="n">
        <v>64</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I-I-0466</t>
        </is>
      </c>
      <c r="B5069" s="12" t="inlineStr">
        <is>
          <t>I</t>
        </is>
      </c>
      <c r="C5069" s="12" t="inlineStr">
        <is>
          <t>Modular / portable power</t>
        </is>
      </c>
      <c r="D5069" s="12" t="inlineStr">
        <is>
          <t>Analog instrument to JB JB-SC-2 ammonia flow--AI01: 8 x 1 pr (field cables)</t>
        </is>
      </c>
      <c r="E5069" s="12" t="inlineStr"/>
      <c r="F5069" s="12" t="inlineStr">
        <is>
          <t>SC-2 ammonia flow-control unit</t>
        </is>
      </c>
      <c r="G5069" s="12" t="inlineStr">
        <is>
          <t>JB-SC-2 ammonia flow--AI01</t>
        </is>
      </c>
      <c r="H5069" s="12" t="inlineStr">
        <is>
          <t>SC-2 ammonia flow-control unit</t>
        </is>
      </c>
      <c r="I5069" s="12" t="inlineStr">
        <is>
          <t>Instrumentation</t>
        </is>
      </c>
      <c r="J5069" s="12" t="inlineStr">
        <is>
          <t>Instrumentation PLTC / TC-ER 300 V, #18 twisted shielded pairs, overall shield</t>
        </is>
      </c>
      <c r="K5069" s="12" t="inlineStr">
        <is>
          <t>PLTC|1 pr|16</t>
        </is>
      </c>
      <c r="L5069" s="12" t="inlineStr">
        <is>
          <t>1 pr</t>
        </is>
      </c>
      <c r="M5069" s="12" t="inlineStr">
        <is>
          <t>16</t>
        </is>
      </c>
      <c r="N5069" s="12" t="n">
        <v>8</v>
      </c>
      <c r="O5069" s="12" t="n">
        <v>1</v>
      </c>
      <c r="P5069" s="12" t="n"/>
      <c r="Q5069" s="12" t="n"/>
      <c r="R5069" s="12" t="n"/>
      <c r="S5069" s="12" t="inlineStr">
        <is>
          <t>Tray / conduit</t>
        </is>
      </c>
      <c r="T5069" s="15" t="n">
        <v>40</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I-I-0467</t>
        </is>
      </c>
      <c r="B5070" s="12" t="inlineStr">
        <is>
          <t>I</t>
        </is>
      </c>
      <c r="C5070" s="12" t="inlineStr">
        <is>
          <t>Modular / portable power</t>
        </is>
      </c>
      <c r="D5070" s="12" t="inlineStr">
        <is>
          <t>Home run JB-SC-2 ammonia flow--AI01 to the control / marshalling room</t>
        </is>
      </c>
      <c r="E5070" s="12" t="inlineStr"/>
      <c r="F5070" s="12" t="inlineStr">
        <is>
          <t>SC-2 PCM + 15 kV GCB</t>
        </is>
      </c>
      <c r="G5070" s="12" t="inlineStr">
        <is>
          <t>JB-SC-2 ammonia flow--AI01</t>
        </is>
      </c>
      <c r="H5070" s="12" t="inlineStr">
        <is>
          <t>SC-2 ammonia flow-control unit</t>
        </is>
      </c>
      <c r="I5070" s="12" t="inlineStr">
        <is>
          <t>Instrumentation</t>
        </is>
      </c>
      <c r="J5070" s="12" t="inlineStr">
        <is>
          <t>Instrumentation PLTC / TC-ER 300 V, #18 twisted shielded pairs, overall shield</t>
        </is>
      </c>
      <c r="K5070" s="12" t="inlineStr">
        <is>
          <t>PLTC|24 pr|18</t>
        </is>
      </c>
      <c r="L5070" s="12" t="inlineStr">
        <is>
          <t>24 pr</t>
        </is>
      </c>
      <c r="M5070" s="12" t="inlineStr">
        <is>
          <t>18</t>
        </is>
      </c>
      <c r="N5070" s="12" t="n">
        <v>1</v>
      </c>
      <c r="O5070" s="12" t="n">
        <v>1</v>
      </c>
      <c r="P5070" s="12" t="n"/>
      <c r="Q5070" s="12" t="n"/>
      <c r="R5070" s="12" t="n"/>
      <c r="S5070" s="12" t="inlineStr">
        <is>
          <t>Duct bank</t>
        </is>
      </c>
      <c r="T5070" s="15" t="n">
        <v>48</v>
      </c>
      <c r="U5070" s="15" t="n">
        <v>62</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I-I-0468</t>
        </is>
      </c>
      <c r="B5071" s="12" t="inlineStr">
        <is>
          <t>I</t>
        </is>
      </c>
      <c r="C5071" s="12" t="inlineStr">
        <is>
          <t>Modular / portable power</t>
        </is>
      </c>
      <c r="D5071" s="12" t="inlineStr">
        <is>
          <t>Discrete device to JB JB-SC-2 ammonia flow--DI01: 8 x 1 pr (field cables)</t>
        </is>
      </c>
      <c r="E5071" s="12" t="inlineStr"/>
      <c r="F5071" s="12" t="inlineStr">
        <is>
          <t>SC-2 ammonia flow-control unit</t>
        </is>
      </c>
      <c r="G5071" s="12" t="inlineStr">
        <is>
          <t>JB-SC-2 ammonia flow--DI01</t>
        </is>
      </c>
      <c r="H5071" s="12" t="inlineStr">
        <is>
          <t>SC-2 ammonia flow-control unit</t>
        </is>
      </c>
      <c r="I5071" s="12" t="inlineStr">
        <is>
          <t>Instrumentation</t>
        </is>
      </c>
      <c r="J5071" s="12" t="inlineStr">
        <is>
          <t>Instrumentation PLTC / TC-ER 300 V, #18 twisted shielded pairs, overall shield</t>
        </is>
      </c>
      <c r="K5071" s="12" t="inlineStr">
        <is>
          <t>PLTC|1 pr|16</t>
        </is>
      </c>
      <c r="L5071" s="12" t="inlineStr">
        <is>
          <t>1 pr</t>
        </is>
      </c>
      <c r="M5071" s="12" t="inlineStr">
        <is>
          <t>16</t>
        </is>
      </c>
      <c r="N5071" s="12" t="n">
        <v>8</v>
      </c>
      <c r="O5071" s="12" t="n">
        <v>1</v>
      </c>
      <c r="P5071" s="12" t="n"/>
      <c r="Q5071" s="12" t="n"/>
      <c r="R5071" s="12" t="n"/>
      <c r="S5071" s="12" t="inlineStr">
        <is>
          <t>Tray / conduit</t>
        </is>
      </c>
      <c r="T5071" s="15" t="n">
        <v>40</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I-I-0469</t>
        </is>
      </c>
      <c r="B5072" s="12" t="inlineStr">
        <is>
          <t>I</t>
        </is>
      </c>
      <c r="C5072" s="12" t="inlineStr">
        <is>
          <t>Modular / portable power</t>
        </is>
      </c>
      <c r="D5072" s="12" t="inlineStr">
        <is>
          <t>Home run JB-SC-2 ammonia flow--DI01 to the control / marshalling room</t>
        </is>
      </c>
      <c r="E5072" s="12" t="inlineStr"/>
      <c r="F5072" s="12" t="inlineStr">
        <is>
          <t>SC-2 PCM + 15 kV GCB</t>
        </is>
      </c>
      <c r="G5072" s="12" t="inlineStr">
        <is>
          <t>JB-SC-2 ammonia flow--DI01</t>
        </is>
      </c>
      <c r="H5072" s="12" t="inlineStr">
        <is>
          <t>SC-2 ammonia flow-control unit</t>
        </is>
      </c>
      <c r="I5072" s="12" t="inlineStr">
        <is>
          <t>Instrumentation</t>
        </is>
      </c>
      <c r="J5072" s="12" t="inlineStr">
        <is>
          <t>Instrumentation PLTC / TC-ER 300 V, #18 twisted shielded pairs, overall shield</t>
        </is>
      </c>
      <c r="K5072" s="12" t="inlineStr">
        <is>
          <t>PLTC|24 pr|18</t>
        </is>
      </c>
      <c r="L5072" s="12" t="inlineStr">
        <is>
          <t>24 pr</t>
        </is>
      </c>
      <c r="M5072" s="12" t="inlineStr">
        <is>
          <t>18</t>
        </is>
      </c>
      <c r="N5072" s="12" t="n">
        <v>1</v>
      </c>
      <c r="O5072" s="12" t="n">
        <v>1</v>
      </c>
      <c r="P5072" s="12" t="n"/>
      <c r="Q5072" s="12" t="n"/>
      <c r="R5072" s="12" t="n"/>
      <c r="S5072" s="12" t="inlineStr">
        <is>
          <t>Duct bank</t>
        </is>
      </c>
      <c r="T5072" s="15" t="n">
        <v>48</v>
      </c>
      <c r="U5072" s="15" t="n">
        <v>62</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I-I-0470</t>
        </is>
      </c>
      <c r="B5073" s="12" t="inlineStr">
        <is>
          <t>I</t>
        </is>
      </c>
      <c r="C5073" s="12" t="inlineStr">
        <is>
          <t>Modular / portable power</t>
        </is>
      </c>
      <c r="D5073" s="12" t="inlineStr">
        <is>
          <t>Analog instrument to JB JB-SC-2 auxiliary ski-AI01: 14 x 1 pr (field cables)</t>
        </is>
      </c>
      <c r="E5073" s="12" t="inlineStr"/>
      <c r="F5073" s="12" t="inlineStr">
        <is>
          <t>SC-2 auxiliary skids: fuel-gas module, water-wash skid</t>
        </is>
      </c>
      <c r="G5073" s="12" t="inlineStr">
        <is>
          <t>JB-SC-2 auxiliary ski-AI01</t>
        </is>
      </c>
      <c r="H5073" s="12" t="inlineStr">
        <is>
          <t>SC-2 auxiliary skids: fuel-gas module, water-wash skid</t>
        </is>
      </c>
      <c r="I5073" s="12" t="inlineStr">
        <is>
          <t>Instrumentation</t>
        </is>
      </c>
      <c r="J5073" s="12" t="inlineStr">
        <is>
          <t>Instrumentation ITC / PLTC, IS, #18 shielded pairs, blue jacket</t>
        </is>
      </c>
      <c r="K5073" s="12" t="inlineStr">
        <is>
          <t>ITC|1 pr|16</t>
        </is>
      </c>
      <c r="L5073" s="12" t="inlineStr">
        <is>
          <t>1 pr</t>
        </is>
      </c>
      <c r="M5073" s="12" t="inlineStr">
        <is>
          <t>16</t>
        </is>
      </c>
      <c r="N5073" s="12" t="n">
        <v>14</v>
      </c>
      <c r="O5073" s="12" t="n">
        <v>1</v>
      </c>
      <c r="P5073" s="12" t="n"/>
      <c r="Q5073" s="12" t="n"/>
      <c r="R5073" s="12" t="n"/>
      <c r="S5073" s="12" t="inlineStr">
        <is>
          <t>Tray / conduit</t>
        </is>
      </c>
      <c r="T5073" s="15" t="n">
        <v>63</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I-I-0471</t>
        </is>
      </c>
      <c r="B5074" s="12" t="inlineStr">
        <is>
          <t>I</t>
        </is>
      </c>
      <c r="C5074" s="12" t="inlineStr">
        <is>
          <t>Modular / portable power</t>
        </is>
      </c>
      <c r="D5074" s="12" t="inlineStr">
        <is>
          <t>Home run JB-SC-2 auxiliary ski-AI01 to the control / marshalling room</t>
        </is>
      </c>
      <c r="E5074" s="12" t="inlineStr"/>
      <c r="F5074" s="12" t="inlineStr">
        <is>
          <t>SC-2 PCM + 15 kV GCB</t>
        </is>
      </c>
      <c r="G5074" s="12" t="inlineStr">
        <is>
          <t>JB-SC-2 auxiliary ski-AI01</t>
        </is>
      </c>
      <c r="H5074" s="12" t="inlineStr">
        <is>
          <t>SC-2 auxiliary skids: fuel-gas module, water-wash skid</t>
        </is>
      </c>
      <c r="I5074" s="12" t="inlineStr">
        <is>
          <t>Instrumentation</t>
        </is>
      </c>
      <c r="J5074" s="12" t="inlineStr">
        <is>
          <t>Instrumentation ITC / PLTC, IS, #18 shielded pairs, blue jacket</t>
        </is>
      </c>
      <c r="K5074" s="12" t="inlineStr">
        <is>
          <t>ITC|24 pr|18</t>
        </is>
      </c>
      <c r="L5074" s="12" t="inlineStr">
        <is>
          <t>24 pr</t>
        </is>
      </c>
      <c r="M5074" s="12" t="inlineStr">
        <is>
          <t>18</t>
        </is>
      </c>
      <c r="N5074" s="12" t="n">
        <v>1</v>
      </c>
      <c r="O5074" s="12" t="n">
        <v>1</v>
      </c>
      <c r="P5074" s="12" t="n"/>
      <c r="Q5074" s="12" t="n"/>
      <c r="R5074" s="12" t="n"/>
      <c r="S5074" s="12" t="inlineStr">
        <is>
          <t>Duct bank</t>
        </is>
      </c>
      <c r="T5074" s="15" t="n">
        <v>10</v>
      </c>
      <c r="U5074" s="15" t="n">
        <v>43</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I-I-0472</t>
        </is>
      </c>
      <c r="B5075" s="12" t="inlineStr">
        <is>
          <t>I</t>
        </is>
      </c>
      <c r="C5075" s="12" t="inlineStr">
        <is>
          <t>Modular / portable power</t>
        </is>
      </c>
      <c r="D5075" s="12" t="inlineStr">
        <is>
          <t>Discrete device to JB JB-SC-2 auxiliary ski-DI01: 12 x 1 pr (field cables)</t>
        </is>
      </c>
      <c r="E5075" s="12" t="inlineStr"/>
      <c r="F5075" s="12" t="inlineStr">
        <is>
          <t>SC-2 auxiliary skids: fuel-gas module, water-wash skid</t>
        </is>
      </c>
      <c r="G5075" s="12" t="inlineStr">
        <is>
          <t>JB-SC-2 auxiliary ski-DI01</t>
        </is>
      </c>
      <c r="H5075" s="12" t="inlineStr">
        <is>
          <t>SC-2 auxiliary skids: fuel-gas module, water-wash skid</t>
        </is>
      </c>
      <c r="I5075" s="12" t="inlineStr">
        <is>
          <t>Instrumentation</t>
        </is>
      </c>
      <c r="J5075" s="12" t="inlineStr">
        <is>
          <t>Instrumentation ITC / PLTC, IS, #18 shielded pairs, blue jacket</t>
        </is>
      </c>
      <c r="K5075" s="12" t="inlineStr">
        <is>
          <t>ITC|1 pr|16</t>
        </is>
      </c>
      <c r="L5075" s="12" t="inlineStr">
        <is>
          <t>1 pr</t>
        </is>
      </c>
      <c r="M5075" s="12" t="inlineStr">
        <is>
          <t>16</t>
        </is>
      </c>
      <c r="N5075" s="12" t="n">
        <v>12</v>
      </c>
      <c r="O5075" s="12" t="n">
        <v>1</v>
      </c>
      <c r="P5075" s="12" t="n"/>
      <c r="Q5075" s="12" t="n"/>
      <c r="R5075" s="12" t="n"/>
      <c r="S5075" s="12" t="inlineStr">
        <is>
          <t>Tray / conduit</t>
        </is>
      </c>
      <c r="T5075" s="15" t="n">
        <v>63</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I-I-0473</t>
        </is>
      </c>
      <c r="B5076" s="12" t="inlineStr">
        <is>
          <t>I</t>
        </is>
      </c>
      <c r="C5076" s="12" t="inlineStr">
        <is>
          <t>Modular / portable power</t>
        </is>
      </c>
      <c r="D5076" s="12" t="inlineStr">
        <is>
          <t>Home run JB-SC-2 auxiliary ski-DI01 to the control / marshalling room</t>
        </is>
      </c>
      <c r="E5076" s="12" t="inlineStr"/>
      <c r="F5076" s="12" t="inlineStr">
        <is>
          <t>SC-2 PCM + 15 kV GCB</t>
        </is>
      </c>
      <c r="G5076" s="12" t="inlineStr">
        <is>
          <t>JB-SC-2 auxiliary ski-DI01</t>
        </is>
      </c>
      <c r="H5076" s="12" t="inlineStr">
        <is>
          <t>SC-2 auxiliary skids: fuel-gas module, water-wash skid</t>
        </is>
      </c>
      <c r="I5076" s="12" t="inlineStr">
        <is>
          <t>Instrumentation</t>
        </is>
      </c>
      <c r="J5076" s="12" t="inlineStr">
        <is>
          <t>Instrumentation ITC / PLTC, IS, #18 shielded pairs, blue jacket</t>
        </is>
      </c>
      <c r="K5076" s="12" t="inlineStr">
        <is>
          <t>ITC|24 pr|18</t>
        </is>
      </c>
      <c r="L5076" s="12" t="inlineStr">
        <is>
          <t>24 pr</t>
        </is>
      </c>
      <c r="M5076" s="12" t="inlineStr">
        <is>
          <t>18</t>
        </is>
      </c>
      <c r="N5076" s="12" t="n">
        <v>1</v>
      </c>
      <c r="O5076" s="12" t="n">
        <v>1</v>
      </c>
      <c r="P5076" s="12" t="n"/>
      <c r="Q5076" s="12" t="n"/>
      <c r="R5076" s="12" t="n"/>
      <c r="S5076" s="12" t="inlineStr">
        <is>
          <t>Duct bank</t>
        </is>
      </c>
      <c r="T5076" s="15" t="n">
        <v>10</v>
      </c>
      <c r="U5076" s="15" t="n">
        <v>43</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I-I-0474</t>
        </is>
      </c>
      <c r="B5077" s="12" t="inlineStr">
        <is>
          <t>I</t>
        </is>
      </c>
      <c r="C5077" s="12" t="inlineStr">
        <is>
          <t>Modular / portable power</t>
        </is>
      </c>
      <c r="D5077" s="12" t="inlineStr">
        <is>
          <t>Analog instrument to JB JB-SC-2 lube-oil fin--AI01: 4 x 1 pr (field cables)</t>
        </is>
      </c>
      <c r="E5077" s="12" t="inlineStr"/>
      <c r="F5077" s="12" t="inlineStr">
        <is>
          <t>SC-2 lube-oil fin-fan cooler</t>
        </is>
      </c>
      <c r="G5077" s="12" t="inlineStr">
        <is>
          <t>JB-SC-2 lube-oil fin--AI01</t>
        </is>
      </c>
      <c r="H5077" s="12" t="inlineStr">
        <is>
          <t>SC-2 lube-oil fin-fan cooler</t>
        </is>
      </c>
      <c r="I5077" s="12" t="inlineStr">
        <is>
          <t>Instrumentation</t>
        </is>
      </c>
      <c r="J5077" s="12" t="inlineStr">
        <is>
          <t>Instrumentation PLTC / TC-ER 300 V, #18 twisted shielded pairs, overall shield</t>
        </is>
      </c>
      <c r="K5077" s="12" t="inlineStr">
        <is>
          <t>PLTC|1 pr|16</t>
        </is>
      </c>
      <c r="L5077" s="12" t="inlineStr">
        <is>
          <t>1 pr</t>
        </is>
      </c>
      <c r="M5077" s="12" t="inlineStr">
        <is>
          <t>16</t>
        </is>
      </c>
      <c r="N5077" s="12" t="n">
        <v>4</v>
      </c>
      <c r="O5077" s="12" t="n">
        <v>1</v>
      </c>
      <c r="P5077" s="12" t="n"/>
      <c r="Q5077" s="12" t="n"/>
      <c r="R5077" s="12" t="n"/>
      <c r="S5077" s="12" t="inlineStr">
        <is>
          <t>Tray / conduit</t>
        </is>
      </c>
      <c r="T5077" s="15" t="n">
        <v>46</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I-I-0475</t>
        </is>
      </c>
      <c r="B5078" s="12" t="inlineStr">
        <is>
          <t>I</t>
        </is>
      </c>
      <c r="C5078" s="12" t="inlineStr">
        <is>
          <t>Modular / portable power</t>
        </is>
      </c>
      <c r="D5078" s="12" t="inlineStr">
        <is>
          <t>Home run JB-SC-2 lube-oil fin--AI01 to the control / marshalling room</t>
        </is>
      </c>
      <c r="E5078" s="12" t="inlineStr"/>
      <c r="F5078" s="12" t="inlineStr">
        <is>
          <t>SC-2 PCM + 15 kV GCB</t>
        </is>
      </c>
      <c r="G5078" s="12" t="inlineStr">
        <is>
          <t>JB-SC-2 lube-oil fin--AI01</t>
        </is>
      </c>
      <c r="H5078" s="12" t="inlineStr">
        <is>
          <t>SC-2 lube-oil fin-fan cooler</t>
        </is>
      </c>
      <c r="I5078" s="12" t="inlineStr">
        <is>
          <t>Instrumentation</t>
        </is>
      </c>
      <c r="J5078" s="12" t="inlineStr">
        <is>
          <t>Instrumentation PLTC / TC-ER 300 V, #18 twisted shielded pairs, overall shield</t>
        </is>
      </c>
      <c r="K5078" s="12" t="inlineStr">
        <is>
          <t>PLTC|24 pr|18</t>
        </is>
      </c>
      <c r="L5078" s="12" t="inlineStr">
        <is>
          <t>24 pr</t>
        </is>
      </c>
      <c r="M5078" s="12" t="inlineStr">
        <is>
          <t>18</t>
        </is>
      </c>
      <c r="N5078" s="12" t="n">
        <v>1</v>
      </c>
      <c r="O5078" s="12" t="n">
        <v>1</v>
      </c>
      <c r="P5078" s="12" t="n"/>
      <c r="Q5078" s="12" t="n"/>
      <c r="R5078" s="12" t="n"/>
      <c r="S5078" s="12" t="inlineStr">
        <is>
          <t>Duct bank</t>
        </is>
      </c>
      <c r="T5078" s="15" t="n">
        <v>4</v>
      </c>
      <c r="U5078" s="15" t="n">
        <v>38</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I-I-0476</t>
        </is>
      </c>
      <c r="B5079" s="12" t="inlineStr">
        <is>
          <t>I</t>
        </is>
      </c>
      <c r="C5079" s="12" t="inlineStr">
        <is>
          <t>Modular / portable power</t>
        </is>
      </c>
      <c r="D5079" s="12" t="inlineStr">
        <is>
          <t>Discrete device to JB JB-SC-2 lube-oil fin--DI01: 8 x 1 pr (field cables)</t>
        </is>
      </c>
      <c r="E5079" s="12" t="inlineStr"/>
      <c r="F5079" s="12" t="inlineStr">
        <is>
          <t>SC-2 lube-oil fin-fan cooler</t>
        </is>
      </c>
      <c r="G5079" s="12" t="inlineStr">
        <is>
          <t>JB-SC-2 lube-oil fin--DI01</t>
        </is>
      </c>
      <c r="H5079" s="12" t="inlineStr">
        <is>
          <t>SC-2 lube-oil fin-fan cooler</t>
        </is>
      </c>
      <c r="I5079" s="12" t="inlineStr">
        <is>
          <t>Instrumentation</t>
        </is>
      </c>
      <c r="J5079" s="12" t="inlineStr">
        <is>
          <t>Instrumentation PLTC / TC-ER 300 V, #18 twisted shielded pairs, overall shield</t>
        </is>
      </c>
      <c r="K5079" s="12" t="inlineStr">
        <is>
          <t>PLTC|1 pr|16</t>
        </is>
      </c>
      <c r="L5079" s="12" t="inlineStr">
        <is>
          <t>1 pr</t>
        </is>
      </c>
      <c r="M5079" s="12" t="inlineStr">
        <is>
          <t>16</t>
        </is>
      </c>
      <c r="N5079" s="12" t="n">
        <v>8</v>
      </c>
      <c r="O5079" s="12" t="n">
        <v>1</v>
      </c>
      <c r="P5079" s="12" t="n"/>
      <c r="Q5079" s="12" t="n"/>
      <c r="R5079" s="12" t="n"/>
      <c r="S5079" s="12" t="inlineStr">
        <is>
          <t>Tray / conduit</t>
        </is>
      </c>
      <c r="T5079" s="15" t="n">
        <v>46</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I-I-0477</t>
        </is>
      </c>
      <c r="B5080" s="12" t="inlineStr">
        <is>
          <t>I</t>
        </is>
      </c>
      <c r="C5080" s="12" t="inlineStr">
        <is>
          <t>Modular / portable power</t>
        </is>
      </c>
      <c r="D5080" s="12" t="inlineStr">
        <is>
          <t>Home run JB-SC-2 lube-oil fin--DI01 to the control / marshalling room</t>
        </is>
      </c>
      <c r="E5080" s="12" t="inlineStr"/>
      <c r="F5080" s="12" t="inlineStr">
        <is>
          <t>SC-2 PCM + 15 kV GCB</t>
        </is>
      </c>
      <c r="G5080" s="12" t="inlineStr">
        <is>
          <t>JB-SC-2 lube-oil fin--DI01</t>
        </is>
      </c>
      <c r="H5080" s="12" t="inlineStr">
        <is>
          <t>SC-2 lube-oil fin-fan cooler</t>
        </is>
      </c>
      <c r="I5080" s="12" t="inlineStr">
        <is>
          <t>Instrumentation</t>
        </is>
      </c>
      <c r="J5080" s="12" t="inlineStr">
        <is>
          <t>Instrumentation PLTC / TC-ER 300 V, #18 twisted shielded pairs, overall shield</t>
        </is>
      </c>
      <c r="K5080" s="12" t="inlineStr">
        <is>
          <t>PLTC|24 pr|18</t>
        </is>
      </c>
      <c r="L5080" s="12" t="inlineStr">
        <is>
          <t>24 pr</t>
        </is>
      </c>
      <c r="M5080" s="12" t="inlineStr">
        <is>
          <t>18</t>
        </is>
      </c>
      <c r="N5080" s="12" t="n">
        <v>1</v>
      </c>
      <c r="O5080" s="12" t="n">
        <v>1</v>
      </c>
      <c r="P5080" s="12" t="n"/>
      <c r="Q5080" s="12" t="n"/>
      <c r="R5080" s="12" t="n"/>
      <c r="S5080" s="12" t="inlineStr">
        <is>
          <t>Duct bank</t>
        </is>
      </c>
      <c r="T5080" s="15" t="n">
        <v>4</v>
      </c>
      <c r="U5080" s="15" t="n">
        <v>38</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I-I-0478</t>
        </is>
      </c>
      <c r="B5081" s="12" t="inlineStr">
        <is>
          <t>I</t>
        </is>
      </c>
      <c r="C5081" s="12" t="inlineStr">
        <is>
          <t>Modular / portable power</t>
        </is>
      </c>
      <c r="D5081" s="12" t="inlineStr">
        <is>
          <t>Analog instrument to JB JB-SC-2 tempering-air-AI01: 8 x 1 pr (field cables)</t>
        </is>
      </c>
      <c r="E5081" s="12" t="inlineStr"/>
      <c r="F5081" s="12" t="inlineStr">
        <is>
          <t>SC-2 tempering-air fans (2 x 100 %)</t>
        </is>
      </c>
      <c r="G5081" s="12" t="inlineStr">
        <is>
          <t>JB-SC-2 tempering-air-AI01</t>
        </is>
      </c>
      <c r="H5081" s="12" t="inlineStr">
        <is>
          <t>SC-2 tempering-air fans (2 x 100 %)</t>
        </is>
      </c>
      <c r="I5081" s="12" t="inlineStr">
        <is>
          <t>Instrumentation</t>
        </is>
      </c>
      <c r="J5081" s="12" t="inlineStr">
        <is>
          <t>Instrumentation PLTC / TC-ER 300 V, #18 twisted shielded pairs, overall shield</t>
        </is>
      </c>
      <c r="K5081" s="12" t="inlineStr">
        <is>
          <t>PLTC|1 pr|16</t>
        </is>
      </c>
      <c r="L5081" s="12" t="inlineStr">
        <is>
          <t>1 pr</t>
        </is>
      </c>
      <c r="M5081" s="12" t="inlineStr">
        <is>
          <t>16</t>
        </is>
      </c>
      <c r="N5081" s="12" t="n">
        <v>8</v>
      </c>
      <c r="O5081" s="12" t="n">
        <v>1</v>
      </c>
      <c r="P5081" s="12" t="n"/>
      <c r="Q5081" s="12" t="n"/>
      <c r="R5081" s="12" t="n"/>
      <c r="S5081" s="12" t="inlineStr">
        <is>
          <t>Tray / conduit</t>
        </is>
      </c>
      <c r="T5081" s="15" t="n">
        <v>53</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I-I-0479</t>
        </is>
      </c>
      <c r="B5082" s="12" t="inlineStr">
        <is>
          <t>I</t>
        </is>
      </c>
      <c r="C5082" s="12" t="inlineStr">
        <is>
          <t>Modular / portable power</t>
        </is>
      </c>
      <c r="D5082" s="12" t="inlineStr">
        <is>
          <t>Home run JB-SC-2 tempering-air-AI01 to the control / marshalling room</t>
        </is>
      </c>
      <c r="E5082" s="12" t="inlineStr"/>
      <c r="F5082" s="12" t="inlineStr">
        <is>
          <t>SC-2 PCM + 15 kV GCB</t>
        </is>
      </c>
      <c r="G5082" s="12" t="inlineStr">
        <is>
          <t>JB-SC-2 tempering-air-AI01</t>
        </is>
      </c>
      <c r="H5082" s="12" t="inlineStr">
        <is>
          <t>SC-2 tempering-air fans (2 x 100 %)</t>
        </is>
      </c>
      <c r="I5082" s="12" t="inlineStr">
        <is>
          <t>Instrumentation</t>
        </is>
      </c>
      <c r="J5082" s="12" t="inlineStr">
        <is>
          <t>Instrumentation PLTC / TC-ER 300 V, #18 twisted shielded pairs, overall shield</t>
        </is>
      </c>
      <c r="K5082" s="12" t="inlineStr">
        <is>
          <t>PLTC|24 pr|18</t>
        </is>
      </c>
      <c r="L5082" s="12" t="inlineStr">
        <is>
          <t>24 pr</t>
        </is>
      </c>
      <c r="M5082" s="12" t="inlineStr">
        <is>
          <t>18</t>
        </is>
      </c>
      <c r="N5082" s="12" t="n">
        <v>1</v>
      </c>
      <c r="O5082" s="12" t="n">
        <v>1</v>
      </c>
      <c r="P5082" s="12" t="n"/>
      <c r="Q5082" s="12" t="n"/>
      <c r="R5082" s="12" t="n"/>
      <c r="S5082" s="12" t="inlineStr">
        <is>
          <t>Duct bank</t>
        </is>
      </c>
      <c r="T5082" s="15" t="n">
        <v>35</v>
      </c>
      <c r="U5082" s="15" t="n">
        <v>79</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I-I-0480</t>
        </is>
      </c>
      <c r="B5083" s="12" t="inlineStr">
        <is>
          <t>I</t>
        </is>
      </c>
      <c r="C5083" s="12" t="inlineStr">
        <is>
          <t>Modular / portable power</t>
        </is>
      </c>
      <c r="D5083" s="12" t="inlineStr">
        <is>
          <t>Discrete device to JB JB-SC-2 tempering-air-DI01: 8 x 1 pr (field cables)</t>
        </is>
      </c>
      <c r="E5083" s="12" t="inlineStr"/>
      <c r="F5083" s="12" t="inlineStr">
        <is>
          <t>SC-2 tempering-air fans (2 x 100 %)</t>
        </is>
      </c>
      <c r="G5083" s="12" t="inlineStr">
        <is>
          <t>JB-SC-2 tempering-air-DI01</t>
        </is>
      </c>
      <c r="H5083" s="12" t="inlineStr">
        <is>
          <t>SC-2 tempering-air fans (2 x 100 %)</t>
        </is>
      </c>
      <c r="I5083" s="12" t="inlineStr">
        <is>
          <t>Instrumentation</t>
        </is>
      </c>
      <c r="J5083" s="12" t="inlineStr">
        <is>
          <t>Instrumentation PLTC / TC-ER 300 V, #18 twisted shielded pairs, overall shield</t>
        </is>
      </c>
      <c r="K5083" s="12" t="inlineStr">
        <is>
          <t>PLTC|1 pr|16</t>
        </is>
      </c>
      <c r="L5083" s="12" t="inlineStr">
        <is>
          <t>1 pr</t>
        </is>
      </c>
      <c r="M5083" s="12" t="inlineStr">
        <is>
          <t>16</t>
        </is>
      </c>
      <c r="N5083" s="12" t="n">
        <v>8</v>
      </c>
      <c r="O5083" s="12" t="n">
        <v>1</v>
      </c>
      <c r="P5083" s="12" t="n"/>
      <c r="Q5083" s="12" t="n"/>
      <c r="R5083" s="12" t="n"/>
      <c r="S5083" s="12" t="inlineStr">
        <is>
          <t>Tray / conduit</t>
        </is>
      </c>
      <c r="T5083" s="15" t="n">
        <v>53</v>
      </c>
      <c r="U5083" s="15" t="n">
        <v>10</v>
      </c>
      <c r="V5083" s="15">
        <f>ROUNDUP((T5083+U5083+2*'Read Me'!$B$13)*(1+'Read Me'!$B$12),-1)</f>
        <v/>
      </c>
      <c r="W5083" s="15">
        <f>V5083*N5083*O5083</f>
        <v/>
      </c>
      <c r="X5083" s="12">
        <f>IF(LEFT(I5083,2)="MV",2*N5083*IF(L5083="1/C",O5083,1),0)</f>
        <v/>
      </c>
      <c r="Y5083" s="12">
        <f>IF(OR(LEFT(K5083,4)="LVAX",LEFT(K5083,6)="MV15AX",LEFT(K5083,4)="CTAX",LEFT(K5083,2)="W|"),2*N5083*O5083,0)</f>
        <v/>
      </c>
      <c r="Z5083" s="12" t="inlineStr">
        <is>
          <t>device-to-JB field wiring, one cable per device</t>
        </is>
      </c>
      <c r="AA5083" s="12">
        <f>N5083*O5083</f>
        <v/>
      </c>
    </row>
    <row r="5084">
      <c r="A5084" s="12" t="inlineStr">
        <is>
          <t>I-I-0481</t>
        </is>
      </c>
      <c r="B5084" s="12" t="inlineStr">
        <is>
          <t>I</t>
        </is>
      </c>
      <c r="C5084" s="12" t="inlineStr">
        <is>
          <t>Modular / portable power</t>
        </is>
      </c>
      <c r="D5084" s="12" t="inlineStr">
        <is>
          <t>Home run JB-SC-2 tempering-air-DI01 to the control / marshalling room</t>
        </is>
      </c>
      <c r="E5084" s="12" t="inlineStr"/>
      <c r="F5084" s="12" t="inlineStr">
        <is>
          <t>SC-2 PCM + 15 kV GCB</t>
        </is>
      </c>
      <c r="G5084" s="12" t="inlineStr">
        <is>
          <t>JB-SC-2 tempering-air-DI01</t>
        </is>
      </c>
      <c r="H5084" s="12" t="inlineStr">
        <is>
          <t>SC-2 tempering-air fans (2 x 100 %)</t>
        </is>
      </c>
      <c r="I5084" s="12" t="inlineStr">
        <is>
          <t>Instrumentation</t>
        </is>
      </c>
      <c r="J5084" s="12" t="inlineStr">
        <is>
          <t>Instrumentation PLTC / TC-ER 300 V, #18 twisted shielded pairs, overall shield</t>
        </is>
      </c>
      <c r="K5084" s="12" t="inlineStr">
        <is>
          <t>PLTC|24 pr|18</t>
        </is>
      </c>
      <c r="L5084" s="12" t="inlineStr">
        <is>
          <t>24 pr</t>
        </is>
      </c>
      <c r="M5084" s="12" t="inlineStr">
        <is>
          <t>18</t>
        </is>
      </c>
      <c r="N5084" s="12" t="n">
        <v>1</v>
      </c>
      <c r="O5084" s="12" t="n">
        <v>1</v>
      </c>
      <c r="P5084" s="12" t="n"/>
      <c r="Q5084" s="12" t="n"/>
      <c r="R5084" s="12" t="n"/>
      <c r="S5084" s="12" t="inlineStr">
        <is>
          <t>Duct bank</t>
        </is>
      </c>
      <c r="T5084" s="15" t="n">
        <v>35</v>
      </c>
      <c r="U5084" s="15" t="n">
        <v>79</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I-I-0482</t>
        </is>
      </c>
      <c r="B5085" s="12" t="inlineStr">
        <is>
          <t>I</t>
        </is>
      </c>
      <c r="C5085" s="12" t="inlineStr">
        <is>
          <t>Modular / portable power</t>
        </is>
      </c>
      <c r="D5085" s="12" t="inlineStr">
        <is>
          <t>Analog instrument to JB JB-SC-2-AI01: 20 x 1 pr (field cables)</t>
        </is>
      </c>
      <c r="E5085" s="12" t="inlineStr">
        <is>
          <t>SC-2</t>
        </is>
      </c>
      <c r="F5085" s="12" t="inlineStr">
        <is>
          <t>SC-2: aeroderivative simple-cycle unit (LM6000 class)</t>
        </is>
      </c>
      <c r="G5085" s="12" t="inlineStr">
        <is>
          <t>JB-SC-2-AI01</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20</v>
      </c>
      <c r="O5085" s="12" t="n">
        <v>1</v>
      </c>
      <c r="P5085" s="12" t="n"/>
      <c r="Q5085" s="12" t="n"/>
      <c r="R5085" s="12" t="n"/>
      <c r="S5085" s="12" t="inlineStr">
        <is>
          <t>Tray / conduit</t>
        </is>
      </c>
      <c r="T5085" s="15" t="n">
        <v>99</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I-I-0483</t>
        </is>
      </c>
      <c r="B5086" s="12" t="inlineStr">
        <is>
          <t>I</t>
        </is>
      </c>
      <c r="C5086" s="12" t="inlineStr">
        <is>
          <t>Modular / portable power</t>
        </is>
      </c>
      <c r="D5086" s="12" t="inlineStr">
        <is>
          <t>Home run JB-SC-2-AI01 to the control / marshalling room</t>
        </is>
      </c>
      <c r="E5086" s="12" t="inlineStr"/>
      <c r="F5086" s="12" t="inlineStr">
        <is>
          <t>SC-2 PCM + 15 kV GCB</t>
        </is>
      </c>
      <c r="G5086" s="12" t="inlineStr">
        <is>
          <t>JB-SC-2-AI01</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35</v>
      </c>
      <c r="U5086" s="15" t="n">
        <v>32</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I-I-0484</t>
        </is>
      </c>
      <c r="B5087" s="12" t="inlineStr">
        <is>
          <t>I</t>
        </is>
      </c>
      <c r="C5087" s="12" t="inlineStr">
        <is>
          <t>Modular / portable power</t>
        </is>
      </c>
      <c r="D5087" s="12" t="inlineStr">
        <is>
          <t>Analog instrument to JB JB-SC-2-AI02: 20 x 1 pr (field cables)</t>
        </is>
      </c>
      <c r="E5087" s="12" t="inlineStr">
        <is>
          <t>SC-2</t>
        </is>
      </c>
      <c r="F5087" s="12" t="inlineStr">
        <is>
          <t>SC-2: aeroderivative simple-cycle unit (LM6000 class)</t>
        </is>
      </c>
      <c r="G5087" s="12" t="inlineStr">
        <is>
          <t>JB-SC-2-AI02</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20</v>
      </c>
      <c r="O5087" s="12" t="n">
        <v>1</v>
      </c>
      <c r="P5087" s="12" t="n"/>
      <c r="Q5087" s="12" t="n"/>
      <c r="R5087" s="12" t="n"/>
      <c r="S5087" s="12" t="inlineStr">
        <is>
          <t>Tray / conduit</t>
        </is>
      </c>
      <c r="T5087" s="15" t="n">
        <v>99</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I-I-0485</t>
        </is>
      </c>
      <c r="B5088" s="12" t="inlineStr">
        <is>
          <t>I</t>
        </is>
      </c>
      <c r="C5088" s="12" t="inlineStr">
        <is>
          <t>Modular / portable power</t>
        </is>
      </c>
      <c r="D5088" s="12" t="inlineStr">
        <is>
          <t>Home run JB-SC-2-AI02 to the control / marshalling room</t>
        </is>
      </c>
      <c r="E5088" s="12" t="inlineStr"/>
      <c r="F5088" s="12" t="inlineStr">
        <is>
          <t>SC-2 PCM + 15 kV GCB</t>
        </is>
      </c>
      <c r="G5088" s="12" t="inlineStr">
        <is>
          <t>JB-SC-2-AI02</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35</v>
      </c>
      <c r="U5088" s="15" t="n">
        <v>32</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I-I-0486</t>
        </is>
      </c>
      <c r="B5089" s="12" t="inlineStr">
        <is>
          <t>I</t>
        </is>
      </c>
      <c r="C5089" s="12" t="inlineStr">
        <is>
          <t>Modular / portable power</t>
        </is>
      </c>
      <c r="D5089" s="12" t="inlineStr">
        <is>
          <t>Analog instrument to JB JB-SC-2-AI03: 20 x 1 pr (field cables)</t>
        </is>
      </c>
      <c r="E5089" s="12" t="inlineStr">
        <is>
          <t>SC-2</t>
        </is>
      </c>
      <c r="F5089" s="12" t="inlineStr">
        <is>
          <t>SC-2: aeroderivative simple-cycle unit (LM6000 class)</t>
        </is>
      </c>
      <c r="G5089" s="12" t="inlineStr">
        <is>
          <t>JB-SC-2-AI03</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20</v>
      </c>
      <c r="O5089" s="12" t="n">
        <v>1</v>
      </c>
      <c r="P5089" s="12" t="n"/>
      <c r="Q5089" s="12" t="n"/>
      <c r="R5089" s="12" t="n"/>
      <c r="S5089" s="12" t="inlineStr">
        <is>
          <t>Tray / conduit</t>
        </is>
      </c>
      <c r="T5089" s="15" t="n">
        <v>99</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I-I-0487</t>
        </is>
      </c>
      <c r="B5090" s="12" t="inlineStr">
        <is>
          <t>I</t>
        </is>
      </c>
      <c r="C5090" s="12" t="inlineStr">
        <is>
          <t>Modular / portable power</t>
        </is>
      </c>
      <c r="D5090" s="12" t="inlineStr">
        <is>
          <t>Home run JB-SC-2-AI03 to the control / marshalling room</t>
        </is>
      </c>
      <c r="E5090" s="12" t="inlineStr"/>
      <c r="F5090" s="12" t="inlineStr">
        <is>
          <t>SC-2 PCM + 15 kV GCB</t>
        </is>
      </c>
      <c r="G5090" s="12" t="inlineStr">
        <is>
          <t>JB-SC-2-AI03</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35</v>
      </c>
      <c r="U5090" s="15" t="n">
        <v>32</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I-I-0488</t>
        </is>
      </c>
      <c r="B5091" s="12" t="inlineStr">
        <is>
          <t>I</t>
        </is>
      </c>
      <c r="C5091" s="12" t="inlineStr">
        <is>
          <t>Modular / portable power</t>
        </is>
      </c>
      <c r="D5091" s="12" t="inlineStr">
        <is>
          <t>Analog instrument to JB JB-SC-2-AI04: 20 x 1 pr (field cables)</t>
        </is>
      </c>
      <c r="E5091" s="12" t="inlineStr">
        <is>
          <t>SC-2</t>
        </is>
      </c>
      <c r="F5091" s="12" t="inlineStr">
        <is>
          <t>SC-2: aeroderivative simple-cycle unit (LM6000 class)</t>
        </is>
      </c>
      <c r="G5091" s="12" t="inlineStr">
        <is>
          <t>JB-SC-2-AI04</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20</v>
      </c>
      <c r="O5091" s="12" t="n">
        <v>1</v>
      </c>
      <c r="P5091" s="12" t="n"/>
      <c r="Q5091" s="12" t="n"/>
      <c r="R5091" s="12" t="n"/>
      <c r="S5091" s="12" t="inlineStr">
        <is>
          <t>Tray / conduit</t>
        </is>
      </c>
      <c r="T5091" s="15" t="n">
        <v>99</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I-I-0489</t>
        </is>
      </c>
      <c r="B5092" s="12" t="inlineStr">
        <is>
          <t>I</t>
        </is>
      </c>
      <c r="C5092" s="12" t="inlineStr">
        <is>
          <t>Modular / portable power</t>
        </is>
      </c>
      <c r="D5092" s="12" t="inlineStr">
        <is>
          <t>Home run JB-SC-2-AI04 to the control / marshalling room</t>
        </is>
      </c>
      <c r="E5092" s="12" t="inlineStr"/>
      <c r="F5092" s="12" t="inlineStr">
        <is>
          <t>SC-2 PCM + 15 kV GCB</t>
        </is>
      </c>
      <c r="G5092" s="12" t="inlineStr">
        <is>
          <t>JB-SC-2-AI04</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35</v>
      </c>
      <c r="U5092" s="15" t="n">
        <v>32</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I-I-0490</t>
        </is>
      </c>
      <c r="B5093" s="12" t="inlineStr">
        <is>
          <t>I</t>
        </is>
      </c>
      <c r="C5093" s="12" t="inlineStr">
        <is>
          <t>Modular / portable power</t>
        </is>
      </c>
      <c r="D5093" s="12" t="inlineStr">
        <is>
          <t>Analog instrument to JB JB-SC-2-AI05: 20 x 1 pr (field cables)</t>
        </is>
      </c>
      <c r="E5093" s="12" t="inlineStr">
        <is>
          <t>SC-2</t>
        </is>
      </c>
      <c r="F5093" s="12" t="inlineStr">
        <is>
          <t>SC-2: aeroderivative simple-cycle unit (LM6000 class)</t>
        </is>
      </c>
      <c r="G5093" s="12" t="inlineStr">
        <is>
          <t>JB-SC-2-AI05</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20</v>
      </c>
      <c r="O5093" s="12" t="n">
        <v>1</v>
      </c>
      <c r="P5093" s="12" t="n"/>
      <c r="Q5093" s="12" t="n"/>
      <c r="R5093" s="12" t="n"/>
      <c r="S5093" s="12" t="inlineStr">
        <is>
          <t>Tray / conduit</t>
        </is>
      </c>
      <c r="T5093" s="15" t="n">
        <v>99</v>
      </c>
      <c r="U5093" s="15" t="n">
        <v>10</v>
      </c>
      <c r="V5093" s="15">
        <f>ROUNDUP((T5093+U5093+2*'Read Me'!$B$13)*(1+'Read Me'!$B$12),-1)</f>
        <v/>
      </c>
      <c r="W5093" s="15">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I-I-0491</t>
        </is>
      </c>
      <c r="B5094" s="12" t="inlineStr">
        <is>
          <t>I</t>
        </is>
      </c>
      <c r="C5094" s="12" t="inlineStr">
        <is>
          <t>Modular / portable power</t>
        </is>
      </c>
      <c r="D5094" s="12" t="inlineStr">
        <is>
          <t>Home run JB-SC-2-AI05 to the control / marshalling room</t>
        </is>
      </c>
      <c r="E5094" s="12" t="inlineStr"/>
      <c r="F5094" s="12" t="inlineStr">
        <is>
          <t>SC-2 PCM + 15 kV GCB</t>
        </is>
      </c>
      <c r="G5094" s="12" t="inlineStr">
        <is>
          <t>JB-SC-2-AI05</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Duct bank</t>
        </is>
      </c>
      <c r="T5094" s="15" t="n">
        <v>35</v>
      </c>
      <c r="U5094" s="15" t="n">
        <v>32</v>
      </c>
      <c r="V5094" s="15">
        <f>ROUNDUP((T5094+U5094+2*'Read Me'!$B$13)*(1+'Read Me'!$B$12),-1)</f>
        <v/>
      </c>
      <c r="W5094" s="15">
        <f>V5094*N5094*O5094</f>
        <v/>
      </c>
      <c r="X5094" s="12">
        <f>IF(LEFT(I5094,2)="MV",2*N5094*IF(L5094="1/C",O5094,1),0)</f>
        <v/>
      </c>
      <c r="Y5094" s="12">
        <f>IF(OR(LEFT(K5094,4)="LVAX",LEFT(K5094,6)="MV15AX",LEFT(K5094,4)="CTAX",LEFT(K5094,2)="W|"),2*N5094*O5094,0)</f>
        <v/>
      </c>
      <c r="Z5094" s="12" t="inlineStr"/>
      <c r="AA5094" s="12">
        <f>N5094*O5094</f>
        <v/>
      </c>
    </row>
    <row r="5095">
      <c r="A5095" s="12" t="inlineStr">
        <is>
          <t>I-I-0492</t>
        </is>
      </c>
      <c r="B5095" s="12" t="inlineStr">
        <is>
          <t>I</t>
        </is>
      </c>
      <c r="C5095" s="12" t="inlineStr">
        <is>
          <t>Modular / portable power</t>
        </is>
      </c>
      <c r="D5095" s="12" t="inlineStr">
        <is>
          <t>Analog instrument to JB JB-SC-2-AI06: 20 x 1 pr (field cables)</t>
        </is>
      </c>
      <c r="E5095" s="12" t="inlineStr">
        <is>
          <t>SC-2</t>
        </is>
      </c>
      <c r="F5095" s="12" t="inlineStr">
        <is>
          <t>SC-2: aeroderivative simple-cycle unit (LM6000 class)</t>
        </is>
      </c>
      <c r="G5095" s="12" t="inlineStr">
        <is>
          <t>JB-SC-2-AI06</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PLTC|1 pr|16</t>
        </is>
      </c>
      <c r="L5095" s="12" t="inlineStr">
        <is>
          <t>1 pr</t>
        </is>
      </c>
      <c r="M5095" s="12" t="inlineStr">
        <is>
          <t>16</t>
        </is>
      </c>
      <c r="N5095" s="12" t="n">
        <v>20</v>
      </c>
      <c r="O5095" s="12" t="n">
        <v>1</v>
      </c>
      <c r="P5095" s="12" t="n"/>
      <c r="Q5095" s="12" t="n"/>
      <c r="R5095" s="12" t="n"/>
      <c r="S5095" s="12" t="inlineStr">
        <is>
          <t>Tray / conduit</t>
        </is>
      </c>
      <c r="T5095" s="15" t="n">
        <v>99</v>
      </c>
      <c r="U5095" s="15" t="n">
        <v>10</v>
      </c>
      <c r="V5095" s="15">
        <f>ROUNDUP((T5095+U5095+2*'Read Me'!$B$13)*(1+'Read Me'!$B$12),-1)</f>
        <v/>
      </c>
      <c r="W5095" s="15">
        <f>V5095*N5095*O5095</f>
        <v/>
      </c>
      <c r="X5095" s="12">
        <f>IF(LEFT(I5095,2)="MV",2*N5095*IF(L5095="1/C",O5095,1),0)</f>
        <v/>
      </c>
      <c r="Y5095" s="12">
        <f>IF(OR(LEFT(K5095,4)="LVAX",LEFT(K5095,6)="MV15AX",LEFT(K5095,4)="CTAX",LEFT(K5095,2)="W|"),2*N5095*O5095,0)</f>
        <v/>
      </c>
      <c r="Z5095" s="12" t="inlineStr">
        <is>
          <t>device-to-JB field wiring, one cable per device</t>
        </is>
      </c>
      <c r="AA5095" s="12">
        <f>N5095*O5095</f>
        <v/>
      </c>
    </row>
    <row r="5096">
      <c r="A5096" s="12" t="inlineStr">
        <is>
          <t>I-I-0493</t>
        </is>
      </c>
      <c r="B5096" s="12" t="inlineStr">
        <is>
          <t>I</t>
        </is>
      </c>
      <c r="C5096" s="12" t="inlineStr">
        <is>
          <t>Modular / portable power</t>
        </is>
      </c>
      <c r="D5096" s="12" t="inlineStr">
        <is>
          <t>Home run JB-SC-2-AI06 to the control / marshalling room</t>
        </is>
      </c>
      <c r="E5096" s="12" t="inlineStr"/>
      <c r="F5096" s="12" t="inlineStr">
        <is>
          <t>SC-2 PCM + 15 kV GCB</t>
        </is>
      </c>
      <c r="G5096" s="12" t="inlineStr">
        <is>
          <t>JB-SC-2-AI06</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PLTC|24 pr|18</t>
        </is>
      </c>
      <c r="L5096" s="12" t="inlineStr">
        <is>
          <t>24 pr</t>
        </is>
      </c>
      <c r="M5096" s="12" t="inlineStr">
        <is>
          <t>18</t>
        </is>
      </c>
      <c r="N5096" s="12" t="n">
        <v>1</v>
      </c>
      <c r="O5096" s="12" t="n">
        <v>1</v>
      </c>
      <c r="P5096" s="12" t="n"/>
      <c r="Q5096" s="12" t="n"/>
      <c r="R5096" s="12" t="n"/>
      <c r="S5096" s="12" t="inlineStr">
        <is>
          <t>Duct bank</t>
        </is>
      </c>
      <c r="T5096" s="15" t="n">
        <v>35</v>
      </c>
      <c r="U5096" s="15" t="n">
        <v>32</v>
      </c>
      <c r="V5096" s="15">
        <f>ROUNDUP((T5096+U5096+2*'Read Me'!$B$13)*(1+'Read Me'!$B$12),-1)</f>
        <v/>
      </c>
      <c r="W5096" s="15">
        <f>V5096*N5096*O5096</f>
        <v/>
      </c>
      <c r="X5096" s="12">
        <f>IF(LEFT(I5096,2)="MV",2*N5096*IF(L5096="1/C",O5096,1),0)</f>
        <v/>
      </c>
      <c r="Y5096" s="12">
        <f>IF(OR(LEFT(K5096,4)="LVAX",LEFT(K5096,6)="MV15AX",LEFT(K5096,4)="CTAX",LEFT(K5096,2)="W|"),2*N5096*O5096,0)</f>
        <v/>
      </c>
      <c r="Z5096" s="12" t="inlineStr"/>
      <c r="AA5096" s="12">
        <f>N5096*O5096</f>
        <v/>
      </c>
    </row>
    <row r="5097">
      <c r="A5097" s="12" t="inlineStr">
        <is>
          <t>I-I-0494</t>
        </is>
      </c>
      <c r="B5097" s="12" t="inlineStr">
        <is>
          <t>I</t>
        </is>
      </c>
      <c r="C5097" s="12" t="inlineStr">
        <is>
          <t>Modular / portable power</t>
        </is>
      </c>
      <c r="D5097" s="12" t="inlineStr">
        <is>
          <t>Analog instrument to JB JB-SC-2-AI07: 20 x 1 pr (field cables)</t>
        </is>
      </c>
      <c r="E5097" s="12" t="inlineStr">
        <is>
          <t>SC-2</t>
        </is>
      </c>
      <c r="F5097" s="12" t="inlineStr">
        <is>
          <t>SC-2: aeroderivative simple-cycle unit (LM6000 class)</t>
        </is>
      </c>
      <c r="G5097" s="12" t="inlineStr">
        <is>
          <t>JB-SC-2-AI07</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PLTC|1 pr|16</t>
        </is>
      </c>
      <c r="L5097" s="12" t="inlineStr">
        <is>
          <t>1 pr</t>
        </is>
      </c>
      <c r="M5097" s="12" t="inlineStr">
        <is>
          <t>16</t>
        </is>
      </c>
      <c r="N5097" s="12" t="n">
        <v>20</v>
      </c>
      <c r="O5097" s="12" t="n">
        <v>1</v>
      </c>
      <c r="P5097" s="12" t="n"/>
      <c r="Q5097" s="12" t="n"/>
      <c r="R5097" s="12" t="n"/>
      <c r="S5097" s="12" t="inlineStr">
        <is>
          <t>Tray / conduit</t>
        </is>
      </c>
      <c r="T5097" s="15" t="n">
        <v>99</v>
      </c>
      <c r="U5097" s="15" t="n">
        <v>10</v>
      </c>
      <c r="V5097" s="15">
        <f>ROUNDUP((T5097+U5097+2*'Read Me'!$B$13)*(1+'Read Me'!$B$12),-1)</f>
        <v/>
      </c>
      <c r="W5097" s="15">
        <f>V5097*N5097*O5097</f>
        <v/>
      </c>
      <c r="X5097" s="12">
        <f>IF(LEFT(I5097,2)="MV",2*N5097*IF(L5097="1/C",O5097,1),0)</f>
        <v/>
      </c>
      <c r="Y5097" s="12">
        <f>IF(OR(LEFT(K5097,4)="LVAX",LEFT(K5097,6)="MV15AX",LEFT(K5097,4)="CTAX",LEFT(K5097,2)="W|"),2*N5097*O5097,0)</f>
        <v/>
      </c>
      <c r="Z5097" s="12" t="inlineStr">
        <is>
          <t>device-to-JB field wiring, one cable per device</t>
        </is>
      </c>
      <c r="AA5097" s="12">
        <f>N5097*O5097</f>
        <v/>
      </c>
    </row>
    <row r="5098">
      <c r="A5098" s="12" t="inlineStr">
        <is>
          <t>I-I-0495</t>
        </is>
      </c>
      <c r="B5098" s="12" t="inlineStr">
        <is>
          <t>I</t>
        </is>
      </c>
      <c r="C5098" s="12" t="inlineStr">
        <is>
          <t>Modular / portable power</t>
        </is>
      </c>
      <c r="D5098" s="12" t="inlineStr">
        <is>
          <t>Home run JB-SC-2-AI07 to the control / marshalling room</t>
        </is>
      </c>
      <c r="E5098" s="12" t="inlineStr"/>
      <c r="F5098" s="12" t="inlineStr">
        <is>
          <t>SC-2 PCM + 15 kV GCB</t>
        </is>
      </c>
      <c r="G5098" s="12" t="inlineStr">
        <is>
          <t>JB-SC-2-AI07</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PLTC|24 pr|18</t>
        </is>
      </c>
      <c r="L5098" s="12" t="inlineStr">
        <is>
          <t>24 pr</t>
        </is>
      </c>
      <c r="M5098" s="12" t="inlineStr">
        <is>
          <t>18</t>
        </is>
      </c>
      <c r="N5098" s="12" t="n">
        <v>1</v>
      </c>
      <c r="O5098" s="12" t="n">
        <v>1</v>
      </c>
      <c r="P5098" s="12" t="n"/>
      <c r="Q5098" s="12" t="n"/>
      <c r="R5098" s="12" t="n"/>
      <c r="S5098" s="12" t="inlineStr">
        <is>
          <t>Duct bank</t>
        </is>
      </c>
      <c r="T5098" s="15" t="n">
        <v>35</v>
      </c>
      <c r="U5098" s="15" t="n">
        <v>32</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I-I-0496</t>
        </is>
      </c>
      <c r="B5099" s="12" t="inlineStr">
        <is>
          <t>I</t>
        </is>
      </c>
      <c r="C5099" s="12" t="inlineStr">
        <is>
          <t>Modular / portable power</t>
        </is>
      </c>
      <c r="D5099" s="12" t="inlineStr">
        <is>
          <t>Analog instrument to JB JB-SC-2-AI08: 10 x 1 pr (field cables)</t>
        </is>
      </c>
      <c r="E5099" s="12" t="inlineStr">
        <is>
          <t>SC-2</t>
        </is>
      </c>
      <c r="F5099" s="12" t="inlineStr">
        <is>
          <t>SC-2: aeroderivative simple-cycle unit (LM6000 class)</t>
        </is>
      </c>
      <c r="G5099" s="12" t="inlineStr">
        <is>
          <t>JB-SC-2-AI08</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10</v>
      </c>
      <c r="O5099" s="12" t="n">
        <v>1</v>
      </c>
      <c r="P5099" s="12" t="n"/>
      <c r="Q5099" s="12" t="n"/>
      <c r="R5099" s="12" t="n"/>
      <c r="S5099" s="12" t="inlineStr">
        <is>
          <t>Tray / conduit</t>
        </is>
      </c>
      <c r="T5099" s="15" t="n">
        <v>99</v>
      </c>
      <c r="U5099" s="15" t="n">
        <v>10</v>
      </c>
      <c r="V5099" s="15">
        <f>ROUNDUP((T5099+U5099+2*'Read Me'!$B$13)*(1+'Read Me'!$B$12),-1)</f>
        <v/>
      </c>
      <c r="W5099" s="15">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I-I-0497</t>
        </is>
      </c>
      <c r="B5100" s="12" t="inlineStr">
        <is>
          <t>I</t>
        </is>
      </c>
      <c r="C5100" s="12" t="inlineStr">
        <is>
          <t>Modular / portable power</t>
        </is>
      </c>
      <c r="D5100" s="12" t="inlineStr">
        <is>
          <t>Home run JB-SC-2-AI08 to the control / marshalling room</t>
        </is>
      </c>
      <c r="E5100" s="12" t="inlineStr"/>
      <c r="F5100" s="12" t="inlineStr">
        <is>
          <t>SC-2 PCM + 15 kV GCB</t>
        </is>
      </c>
      <c r="G5100" s="12" t="inlineStr">
        <is>
          <t>JB-SC-2-AI08</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Duct bank</t>
        </is>
      </c>
      <c r="T5100" s="15" t="n">
        <v>35</v>
      </c>
      <c r="U5100" s="15" t="n">
        <v>32</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I-I-0498</t>
        </is>
      </c>
      <c r="B5101" s="12" t="inlineStr">
        <is>
          <t>I</t>
        </is>
      </c>
      <c r="C5101" s="12" t="inlineStr">
        <is>
          <t>Modular / portable power</t>
        </is>
      </c>
      <c r="D5101" s="12" t="inlineStr">
        <is>
          <t>Discrete device to JB JB-SC-2-DI01: 20 x 1 pr (field cables)</t>
        </is>
      </c>
      <c r="E5101" s="12" t="inlineStr">
        <is>
          <t>SC-2</t>
        </is>
      </c>
      <c r="F5101" s="12" t="inlineStr">
        <is>
          <t>SC-2: aeroderivative simple-cycle unit (LM6000 class)</t>
        </is>
      </c>
      <c r="G5101" s="12" t="inlineStr">
        <is>
          <t>JB-SC-2-DI01</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20</v>
      </c>
      <c r="O5101" s="12" t="n">
        <v>1</v>
      </c>
      <c r="P5101" s="12" t="n"/>
      <c r="Q5101" s="12" t="n"/>
      <c r="R5101" s="12" t="n"/>
      <c r="S5101" s="12" t="inlineStr">
        <is>
          <t>Tray / conduit</t>
        </is>
      </c>
      <c r="T5101" s="15" t="n">
        <v>99</v>
      </c>
      <c r="U5101" s="15" t="n">
        <v>10</v>
      </c>
      <c r="V5101" s="15">
        <f>ROUNDUP((T5101+U5101+2*'Read Me'!$B$13)*(1+'Read Me'!$B$12),-1)</f>
        <v/>
      </c>
      <c r="W5101" s="15">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I-I-0499</t>
        </is>
      </c>
      <c r="B5102" s="12" t="inlineStr">
        <is>
          <t>I</t>
        </is>
      </c>
      <c r="C5102" s="12" t="inlineStr">
        <is>
          <t>Modular / portable power</t>
        </is>
      </c>
      <c r="D5102" s="12" t="inlineStr">
        <is>
          <t>Home run JB-SC-2-DI01 to the control / marshalling room</t>
        </is>
      </c>
      <c r="E5102" s="12" t="inlineStr"/>
      <c r="F5102" s="12" t="inlineStr">
        <is>
          <t>SC-2 PCM + 15 kV GCB</t>
        </is>
      </c>
      <c r="G5102" s="12" t="inlineStr">
        <is>
          <t>JB-SC-2-DI01</t>
        </is>
      </c>
      <c r="H5102" s="12" t="inlineStr">
        <is>
          <t>SC-2: aeroderivative simple-cycle unit (LM6000 class)</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Duct bank</t>
        </is>
      </c>
      <c r="T5102" s="15" t="n">
        <v>35</v>
      </c>
      <c r="U5102" s="15" t="n">
        <v>32</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I-I-0500</t>
        </is>
      </c>
      <c r="B5103" s="12" t="inlineStr">
        <is>
          <t>I</t>
        </is>
      </c>
      <c r="C5103" s="12" t="inlineStr">
        <is>
          <t>Modular / portable power</t>
        </is>
      </c>
      <c r="D5103" s="12" t="inlineStr">
        <is>
          <t>Discrete device to JB JB-SC-2-DI02: 20 x 1 pr (field cables)</t>
        </is>
      </c>
      <c r="E5103" s="12" t="inlineStr">
        <is>
          <t>SC-2</t>
        </is>
      </c>
      <c r="F5103" s="12" t="inlineStr">
        <is>
          <t>SC-2: aeroderivative simple-cycle unit (LM6000 class)</t>
        </is>
      </c>
      <c r="G5103" s="12" t="inlineStr">
        <is>
          <t>JB-SC-2-DI02</t>
        </is>
      </c>
      <c r="H5103" s="12" t="inlineStr">
        <is>
          <t>SC-2: aeroderivative simple-cycle unit (LM6000 class)</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20</v>
      </c>
      <c r="O5103" s="12" t="n">
        <v>1</v>
      </c>
      <c r="P5103" s="12" t="n"/>
      <c r="Q5103" s="12" t="n"/>
      <c r="R5103" s="12" t="n"/>
      <c r="S5103" s="12" t="inlineStr">
        <is>
          <t>Tray / conduit</t>
        </is>
      </c>
      <c r="T5103" s="15" t="n">
        <v>99</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I-I-0501</t>
        </is>
      </c>
      <c r="B5104" s="12" t="inlineStr">
        <is>
          <t>I</t>
        </is>
      </c>
      <c r="C5104" s="12" t="inlineStr">
        <is>
          <t>Modular / portable power</t>
        </is>
      </c>
      <c r="D5104" s="12" t="inlineStr">
        <is>
          <t>Home run JB-SC-2-DI02 to the control / marshalling room</t>
        </is>
      </c>
      <c r="E5104" s="12" t="inlineStr"/>
      <c r="F5104" s="12" t="inlineStr">
        <is>
          <t>SC-2 PCM + 15 kV GCB</t>
        </is>
      </c>
      <c r="G5104" s="12" t="inlineStr">
        <is>
          <t>JB-SC-2-DI02</t>
        </is>
      </c>
      <c r="H5104" s="12" t="inlineStr">
        <is>
          <t>SC-2: aeroderivative simple-cycle unit (LM6000 class)</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35</v>
      </c>
      <c r="U5104" s="15" t="n">
        <v>32</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I-I-0502</t>
        </is>
      </c>
      <c r="B5105" s="12" t="inlineStr">
        <is>
          <t>I</t>
        </is>
      </c>
      <c r="C5105" s="12" t="inlineStr">
        <is>
          <t>Modular / portable power</t>
        </is>
      </c>
      <c r="D5105" s="12" t="inlineStr">
        <is>
          <t>Discrete device to JB JB-SC-2-DI03: 20 x 1 pr (field cables)</t>
        </is>
      </c>
      <c r="E5105" s="12" t="inlineStr">
        <is>
          <t>SC-2</t>
        </is>
      </c>
      <c r="F5105" s="12" t="inlineStr">
        <is>
          <t>SC-2: aeroderivative simple-cycle unit (LM6000 class)</t>
        </is>
      </c>
      <c r="G5105" s="12" t="inlineStr">
        <is>
          <t>JB-SC-2-DI03</t>
        </is>
      </c>
      <c r="H5105" s="12" t="inlineStr">
        <is>
          <t>SC-2: aeroderivative simple-cycle unit (LM6000 class)</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20</v>
      </c>
      <c r="O5105" s="12" t="n">
        <v>1</v>
      </c>
      <c r="P5105" s="12" t="n"/>
      <c r="Q5105" s="12" t="n"/>
      <c r="R5105" s="12" t="n"/>
      <c r="S5105" s="12" t="inlineStr">
        <is>
          <t>Tray / conduit</t>
        </is>
      </c>
      <c r="T5105" s="15" t="n">
        <v>99</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I-I-0503</t>
        </is>
      </c>
      <c r="B5106" s="12" t="inlineStr">
        <is>
          <t>I</t>
        </is>
      </c>
      <c r="C5106" s="12" t="inlineStr">
        <is>
          <t>Modular / portable power</t>
        </is>
      </c>
      <c r="D5106" s="12" t="inlineStr">
        <is>
          <t>Home run JB-SC-2-DI03 to the control / marshalling room</t>
        </is>
      </c>
      <c r="E5106" s="12" t="inlineStr"/>
      <c r="F5106" s="12" t="inlineStr">
        <is>
          <t>SC-2 PCM + 15 kV GCB</t>
        </is>
      </c>
      <c r="G5106" s="12" t="inlineStr">
        <is>
          <t>JB-SC-2-DI03</t>
        </is>
      </c>
      <c r="H5106" s="12" t="inlineStr">
        <is>
          <t>SC-2: aeroderivative simple-cycle unit (LM6000 class)</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35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I-I-0504</t>
        </is>
      </c>
      <c r="B5107" s="12" t="inlineStr">
        <is>
          <t>I</t>
        </is>
      </c>
      <c r="C5107" s="12" t="inlineStr">
        <is>
          <t>Modular / portable power</t>
        </is>
      </c>
      <c r="D5107" s="12" t="inlineStr">
        <is>
          <t>Discrete device to JB JB-SC-2-DI04: 20 x 1 pr (field cables)</t>
        </is>
      </c>
      <c r="E5107" s="12" t="inlineStr">
        <is>
          <t>SC-2</t>
        </is>
      </c>
      <c r="F5107" s="12" t="inlineStr">
        <is>
          <t>SC-2: aeroderivative simple-cycle unit (LM6000 class)</t>
        </is>
      </c>
      <c r="G5107" s="12" t="inlineStr">
        <is>
          <t>JB-SC-2-DI04</t>
        </is>
      </c>
      <c r="H5107" s="12" t="inlineStr">
        <is>
          <t>SC-2: aeroderivative simple-cycle unit (LM6000 class)</t>
        </is>
      </c>
      <c r="I5107" s="12" t="inlineStr">
        <is>
          <t>Instrumentation</t>
        </is>
      </c>
      <c r="J5107" s="12" t="inlineStr">
        <is>
          <t>Instrumentation PLTC / TC-ER 300 V, #18 twisted shielded pairs, overall shield</t>
        </is>
      </c>
      <c r="K5107" s="12" t="inlineStr">
        <is>
          <t>PLTC|1 pr|16</t>
        </is>
      </c>
      <c r="L5107" s="12" t="inlineStr">
        <is>
          <t>1 pr</t>
        </is>
      </c>
      <c r="M5107" s="12" t="inlineStr">
        <is>
          <t>16</t>
        </is>
      </c>
      <c r="N5107" s="12" t="n">
        <v>20</v>
      </c>
      <c r="O5107" s="12" t="n">
        <v>1</v>
      </c>
      <c r="P5107" s="12" t="n"/>
      <c r="Q5107" s="12" t="n"/>
      <c r="R5107" s="12" t="n"/>
      <c r="S5107" s="12" t="inlineStr">
        <is>
          <t>Tray / conduit</t>
        </is>
      </c>
      <c r="T5107" s="15" t="n">
        <v>99</v>
      </c>
      <c r="U5107" s="15" t="n">
        <v>10</v>
      </c>
      <c r="V5107" s="15">
        <f>ROUNDUP((T5107+U5107+2*'Read Me'!$B$13)*(1+'Read Me'!$B$12),-1)</f>
        <v/>
      </c>
      <c r="W5107" s="15">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I-I-0505</t>
        </is>
      </c>
      <c r="B5108" s="12" t="inlineStr">
        <is>
          <t>I</t>
        </is>
      </c>
      <c r="C5108" s="12" t="inlineStr">
        <is>
          <t>Modular / portable power</t>
        </is>
      </c>
      <c r="D5108" s="12" t="inlineStr">
        <is>
          <t>Home run JB-SC-2-DI04 to the control / marshalling room</t>
        </is>
      </c>
      <c r="E5108" s="12" t="inlineStr"/>
      <c r="F5108" s="12" t="inlineStr">
        <is>
          <t>SC-2 PCM + 15 kV GCB</t>
        </is>
      </c>
      <c r="G5108" s="12" t="inlineStr">
        <is>
          <t>JB-SC-2-DI04</t>
        </is>
      </c>
      <c r="H5108" s="12" t="inlineStr">
        <is>
          <t>SC-2: aeroderivative simple-cycle unit (LM6000 class)</t>
        </is>
      </c>
      <c r="I5108" s="12" t="inlineStr">
        <is>
          <t>Instrumentation</t>
        </is>
      </c>
      <c r="J5108" s="12" t="inlineStr">
        <is>
          <t>Instrumentation PLTC / TC-ER 300 V, #18 twisted shielded pairs, overall shield</t>
        </is>
      </c>
      <c r="K5108" s="12" t="inlineStr">
        <is>
          <t>PLTC|24 pr|18</t>
        </is>
      </c>
      <c r="L5108" s="12" t="inlineStr">
        <is>
          <t>24 pr</t>
        </is>
      </c>
      <c r="M5108" s="12" t="inlineStr">
        <is>
          <t>18</t>
        </is>
      </c>
      <c r="N5108" s="12" t="n">
        <v>1</v>
      </c>
      <c r="O5108" s="12" t="n">
        <v>1</v>
      </c>
      <c r="P5108" s="12" t="n"/>
      <c r="Q5108" s="12" t="n"/>
      <c r="R5108" s="12" t="n"/>
      <c r="S5108" s="12" t="inlineStr">
        <is>
          <t>Duct bank</t>
        </is>
      </c>
      <c r="T5108" s="15" t="n">
        <v>35</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I-I-0506</t>
        </is>
      </c>
      <c r="B5109" s="12" t="inlineStr">
        <is>
          <t>I</t>
        </is>
      </c>
      <c r="C5109" s="12" t="inlineStr">
        <is>
          <t>Modular / portable power</t>
        </is>
      </c>
      <c r="D5109" s="12" t="inlineStr">
        <is>
          <t>Discrete device to JB JB-SC-2-DI05: 20 x 1 pr (field cables)</t>
        </is>
      </c>
      <c r="E5109" s="12" t="inlineStr">
        <is>
          <t>SC-2</t>
        </is>
      </c>
      <c r="F5109" s="12" t="inlineStr">
        <is>
          <t>SC-2: aeroderivative simple-cycle unit (LM6000 class)</t>
        </is>
      </c>
      <c r="G5109" s="12" t="inlineStr">
        <is>
          <t>JB-SC-2-DI05</t>
        </is>
      </c>
      <c r="H5109" s="12" t="inlineStr">
        <is>
          <t>SC-2: aeroderivative simple-cycle unit (LM6000 class)</t>
        </is>
      </c>
      <c r="I5109" s="12" t="inlineStr">
        <is>
          <t>Instrumentation</t>
        </is>
      </c>
      <c r="J5109" s="12" t="inlineStr">
        <is>
          <t>Instrumentation PLTC / TC-ER 300 V, #18 twisted shielded pairs, overall shield</t>
        </is>
      </c>
      <c r="K5109" s="12" t="inlineStr">
        <is>
          <t>PLTC|1 pr|16</t>
        </is>
      </c>
      <c r="L5109" s="12" t="inlineStr">
        <is>
          <t>1 pr</t>
        </is>
      </c>
      <c r="M5109" s="12" t="inlineStr">
        <is>
          <t>16</t>
        </is>
      </c>
      <c r="N5109" s="12" t="n">
        <v>20</v>
      </c>
      <c r="O5109" s="12" t="n">
        <v>1</v>
      </c>
      <c r="P5109" s="12" t="n"/>
      <c r="Q5109" s="12" t="n"/>
      <c r="R5109" s="12" t="n"/>
      <c r="S5109" s="12" t="inlineStr">
        <is>
          <t>Tray / conduit</t>
        </is>
      </c>
      <c r="T5109" s="15" t="n">
        <v>99</v>
      </c>
      <c r="U5109" s="15" t="n">
        <v>10</v>
      </c>
      <c r="V5109" s="15">
        <f>ROUNDUP((T5109+U5109+2*'Read Me'!$B$13)*(1+'Read Me'!$B$12),-1)</f>
        <v/>
      </c>
      <c r="W5109" s="15">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I-I-0507</t>
        </is>
      </c>
      <c r="B5110" s="12" t="inlineStr">
        <is>
          <t>I</t>
        </is>
      </c>
      <c r="C5110" s="12" t="inlineStr">
        <is>
          <t>Modular / portable power</t>
        </is>
      </c>
      <c r="D5110" s="12" t="inlineStr">
        <is>
          <t>Home run JB-SC-2-DI05 to the control / marshalling room</t>
        </is>
      </c>
      <c r="E5110" s="12" t="inlineStr"/>
      <c r="F5110" s="12" t="inlineStr">
        <is>
          <t>SC-2 PCM + 15 kV GCB</t>
        </is>
      </c>
      <c r="G5110" s="12" t="inlineStr">
        <is>
          <t>JB-SC-2-DI05</t>
        </is>
      </c>
      <c r="H5110" s="12" t="inlineStr">
        <is>
          <t>SC-2: aeroderivative simple-cycle unit (LM6000 class)</t>
        </is>
      </c>
      <c r="I5110" s="12" t="inlineStr">
        <is>
          <t>Instrumentation</t>
        </is>
      </c>
      <c r="J5110" s="12" t="inlineStr">
        <is>
          <t>Instrumentation PLTC / TC-ER 300 V, #18 twisted shielded pairs, overall shield</t>
        </is>
      </c>
      <c r="K5110" s="12" t="inlineStr">
        <is>
          <t>PLTC|24 pr|18</t>
        </is>
      </c>
      <c r="L5110" s="12" t="inlineStr">
        <is>
          <t>24 pr</t>
        </is>
      </c>
      <c r="M5110" s="12" t="inlineStr">
        <is>
          <t>18</t>
        </is>
      </c>
      <c r="N5110" s="12" t="n">
        <v>1</v>
      </c>
      <c r="O5110" s="12" t="n">
        <v>1</v>
      </c>
      <c r="P5110" s="12" t="n"/>
      <c r="Q5110" s="12" t="n"/>
      <c r="R5110" s="12" t="n"/>
      <c r="S5110" s="12" t="inlineStr">
        <is>
          <t>Duct bank</t>
        </is>
      </c>
      <c r="T5110" s="15" t="n">
        <v>35</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I-I-0508</t>
        </is>
      </c>
      <c r="B5111" s="12" t="inlineStr">
        <is>
          <t>I</t>
        </is>
      </c>
      <c r="C5111" s="12" t="inlineStr">
        <is>
          <t>Modular / portable power</t>
        </is>
      </c>
      <c r="D5111" s="12" t="inlineStr">
        <is>
          <t>Thermocouple to TC JB JB-SC-2-TC01: 20 x 1 pr (field cables)</t>
        </is>
      </c>
      <c r="E5111" s="12" t="inlineStr">
        <is>
          <t>SC-2</t>
        </is>
      </c>
      <c r="F5111" s="12" t="inlineStr">
        <is>
          <t>SC-2: aeroderivative simple-cycle unit (LM6000 class)</t>
        </is>
      </c>
      <c r="G5111" s="12" t="inlineStr">
        <is>
          <t>JB-SC-2-TC01</t>
        </is>
      </c>
      <c r="H5111" s="12" t="inlineStr">
        <is>
          <t>SC-2: aeroderivative simple-cycle unit (LM6000 class)</t>
        </is>
      </c>
      <c r="I5111" s="12" t="inlineStr">
        <is>
          <t>Instrumentation</t>
        </is>
      </c>
      <c r="J5111" s="12" t="inlineStr">
        <is>
          <t>Thermocouple extension KX, #16 shielded pairs, PLTC</t>
        </is>
      </c>
      <c r="K5111" s="12" t="inlineStr">
        <is>
          <t>TCX|1 pr|16</t>
        </is>
      </c>
      <c r="L5111" s="12" t="inlineStr">
        <is>
          <t>1 pr</t>
        </is>
      </c>
      <c r="M5111" s="12" t="inlineStr">
        <is>
          <t>16</t>
        </is>
      </c>
      <c r="N5111" s="12" t="n">
        <v>20</v>
      </c>
      <c r="O5111" s="12" t="n">
        <v>1</v>
      </c>
      <c r="P5111" s="12" t="n"/>
      <c r="Q5111" s="12" t="n"/>
      <c r="R5111" s="12" t="n"/>
      <c r="S5111" s="12" t="inlineStr">
        <is>
          <t>Tray / conduit</t>
        </is>
      </c>
      <c r="T5111" s="15" t="n">
        <v>99</v>
      </c>
      <c r="U5111" s="15" t="n">
        <v>10</v>
      </c>
      <c r="V5111" s="15">
        <f>ROUNDUP((T5111+U5111+2*'Read Me'!$B$13)*(1+'Read Me'!$B$12),-1)</f>
        <v/>
      </c>
      <c r="W5111" s="15">
        <f>V5111*N5111*O5111</f>
        <v/>
      </c>
      <c r="X5111" s="12">
        <f>IF(LEFT(I5111,2)="MV",2*N5111*IF(L5111="1/C",O5111,1),0)</f>
        <v/>
      </c>
      <c r="Y5111" s="12">
        <f>IF(OR(LEFT(K5111,4)="LVAX",LEFT(K5111,6)="MV15AX",LEFT(K5111,4)="CTAX",LEFT(K5111,2)="W|"),2*N5111*O5111,0)</f>
        <v/>
      </c>
      <c r="Z5111" s="12" t="inlineStr">
        <is>
          <t>device-to-JB field wiring, one cable per device</t>
        </is>
      </c>
      <c r="AA5111" s="12">
        <f>N5111*O5111</f>
        <v/>
      </c>
    </row>
    <row r="5112">
      <c r="A5112" s="12" t="inlineStr">
        <is>
          <t>I-I-0509</t>
        </is>
      </c>
      <c r="B5112" s="12" t="inlineStr">
        <is>
          <t>I</t>
        </is>
      </c>
      <c r="C5112" s="12" t="inlineStr">
        <is>
          <t>Modular / portable power</t>
        </is>
      </c>
      <c r="D5112" s="12" t="inlineStr">
        <is>
          <t>Home run JB-SC-2-TC01 to the control / marshalling room</t>
        </is>
      </c>
      <c r="E5112" s="12" t="inlineStr"/>
      <c r="F5112" s="12" t="inlineStr">
        <is>
          <t>SC-2 PCM + 15 kV GCB</t>
        </is>
      </c>
      <c r="G5112" s="12" t="inlineStr">
        <is>
          <t>JB-SC-2-TC01</t>
        </is>
      </c>
      <c r="H5112" s="12" t="inlineStr">
        <is>
          <t>SC-2: aeroderivative simple-cycle unit (LM6000 class)</t>
        </is>
      </c>
      <c r="I5112" s="12" t="inlineStr">
        <is>
          <t>Instrumentation</t>
        </is>
      </c>
      <c r="J5112" s="12" t="inlineStr">
        <is>
          <t>Thermocouple extension KX, #16 shielded pairs, PLTC</t>
        </is>
      </c>
      <c r="K5112" s="12" t="inlineStr">
        <is>
          <t>TCX|24 pr|16</t>
        </is>
      </c>
      <c r="L5112" s="12" t="inlineStr">
        <is>
          <t>24 pr</t>
        </is>
      </c>
      <c r="M5112" s="12" t="inlineStr">
        <is>
          <t>16</t>
        </is>
      </c>
      <c r="N5112" s="12" t="n">
        <v>1</v>
      </c>
      <c r="O5112" s="12" t="n">
        <v>1</v>
      </c>
      <c r="P5112" s="12" t="n"/>
      <c r="Q5112" s="12" t="n"/>
      <c r="R5112" s="12" t="n"/>
      <c r="S5112" s="12" t="inlineStr">
        <is>
          <t>Duct bank</t>
        </is>
      </c>
      <c r="T5112" s="15" t="n">
        <v>35</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I-I-0510</t>
        </is>
      </c>
      <c r="B5113" s="12" t="inlineStr">
        <is>
          <t>I</t>
        </is>
      </c>
      <c r="C5113" s="12" t="inlineStr">
        <is>
          <t>Modular / portable power</t>
        </is>
      </c>
      <c r="D5113" s="12" t="inlineStr">
        <is>
          <t>Thermocouple to TC JB JB-SC-2-TC02: 20 x 1 pr (field cables)</t>
        </is>
      </c>
      <c r="E5113" s="12" t="inlineStr">
        <is>
          <t>SC-2</t>
        </is>
      </c>
      <c r="F5113" s="12" t="inlineStr">
        <is>
          <t>SC-2: aeroderivative simple-cycle unit (LM6000 class)</t>
        </is>
      </c>
      <c r="G5113" s="12" t="inlineStr">
        <is>
          <t>JB-SC-2-TC02</t>
        </is>
      </c>
      <c r="H5113" s="12" t="inlineStr">
        <is>
          <t>SC-2: aeroderivative simple-cycle unit (LM6000 class)</t>
        </is>
      </c>
      <c r="I5113" s="12" t="inlineStr">
        <is>
          <t>Instrumentation</t>
        </is>
      </c>
      <c r="J5113" s="12" t="inlineStr">
        <is>
          <t>Thermocouple extension KX, #16 shielded pairs, PLTC</t>
        </is>
      </c>
      <c r="K5113" s="12" t="inlineStr">
        <is>
          <t>TCX|1 pr|16</t>
        </is>
      </c>
      <c r="L5113" s="12" t="inlineStr">
        <is>
          <t>1 pr</t>
        </is>
      </c>
      <c r="M5113" s="12" t="inlineStr">
        <is>
          <t>16</t>
        </is>
      </c>
      <c r="N5113" s="12" t="n">
        <v>20</v>
      </c>
      <c r="O5113" s="12" t="n">
        <v>1</v>
      </c>
      <c r="P5113" s="12" t="n"/>
      <c r="Q5113" s="12" t="n"/>
      <c r="R5113" s="12" t="n"/>
      <c r="S5113" s="12" t="inlineStr">
        <is>
          <t>Tray / conduit</t>
        </is>
      </c>
      <c r="T5113" s="15" t="n">
        <v>99</v>
      </c>
      <c r="U5113" s="15" t="n">
        <v>10</v>
      </c>
      <c r="V5113" s="15">
        <f>ROUNDUP((T5113+U5113+2*'Read Me'!$B$13)*(1+'Read Me'!$B$12),-1)</f>
        <v/>
      </c>
      <c r="W5113" s="15">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I-I-0511</t>
        </is>
      </c>
      <c r="B5114" s="12" t="inlineStr">
        <is>
          <t>I</t>
        </is>
      </c>
      <c r="C5114" s="12" t="inlineStr">
        <is>
          <t>Modular / portable power</t>
        </is>
      </c>
      <c r="D5114" s="12" t="inlineStr">
        <is>
          <t>Home run JB-SC-2-TC02 to the control / marshalling room</t>
        </is>
      </c>
      <c r="E5114" s="12" t="inlineStr"/>
      <c r="F5114" s="12" t="inlineStr">
        <is>
          <t>SC-2 PCM + 15 kV GCB</t>
        </is>
      </c>
      <c r="G5114" s="12" t="inlineStr">
        <is>
          <t>JB-SC-2-TC02</t>
        </is>
      </c>
      <c r="H5114" s="12" t="inlineStr">
        <is>
          <t>SC-2: aeroderivative simple-cycle unit (LM6000 class)</t>
        </is>
      </c>
      <c r="I5114" s="12" t="inlineStr">
        <is>
          <t>Instrumentation</t>
        </is>
      </c>
      <c r="J5114" s="12" t="inlineStr">
        <is>
          <t>Thermocouple extension KX, #16 shielded pairs, PLTC</t>
        </is>
      </c>
      <c r="K5114" s="12" t="inlineStr">
        <is>
          <t>TCX|24 pr|16</t>
        </is>
      </c>
      <c r="L5114" s="12" t="inlineStr">
        <is>
          <t>24 pr</t>
        </is>
      </c>
      <c r="M5114" s="12" t="inlineStr">
        <is>
          <t>16</t>
        </is>
      </c>
      <c r="N5114" s="12" t="n">
        <v>1</v>
      </c>
      <c r="O5114" s="12" t="n">
        <v>1</v>
      </c>
      <c r="P5114" s="12" t="n"/>
      <c r="Q5114" s="12" t="n"/>
      <c r="R5114" s="12" t="n"/>
      <c r="S5114" s="12" t="inlineStr">
        <is>
          <t>Duct bank</t>
        </is>
      </c>
      <c r="T5114" s="15" t="n">
        <v>35</v>
      </c>
      <c r="U5114" s="15" t="n">
        <v>32</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I-I-0512</t>
        </is>
      </c>
      <c r="B5115" s="12" t="inlineStr">
        <is>
          <t>I</t>
        </is>
      </c>
      <c r="C5115" s="12" t="inlineStr">
        <is>
          <t>Modular / portable power</t>
        </is>
      </c>
      <c r="D5115" s="12" t="inlineStr">
        <is>
          <t>SC-GSU-1 monitoring: temperatures, gas relay, oil level</t>
        </is>
      </c>
      <c r="E5115" s="12" t="inlineStr"/>
      <c r="F5115" s="12" t="inlineStr">
        <is>
          <t>SC-1 PCM + 15 kV GCB</t>
        </is>
      </c>
      <c r="G5115" s="12" t="inlineStr">
        <is>
          <t>SC-GSU-1</t>
        </is>
      </c>
      <c r="H5115" s="12" t="inlineStr">
        <is>
          <t>SC-GSU-1: 13.8 / 34.5 kV unit step-up, ~60 MVA (SC-1)</t>
        </is>
      </c>
      <c r="I5115" s="12" t="inlineStr">
        <is>
          <t>Instrumentation</t>
        </is>
      </c>
      <c r="J5115" s="12" t="inlineStr">
        <is>
          <t>Instrumentation ITC / PLTC, IS, #18 shielded pairs, blue jacket</t>
        </is>
      </c>
      <c r="K5115" s="12" t="inlineStr">
        <is>
          <t>ITC|4 pr|18</t>
        </is>
      </c>
      <c r="L5115" s="12" t="inlineStr">
        <is>
          <t>4 pr</t>
        </is>
      </c>
      <c r="M5115" s="12" t="inlineStr">
        <is>
          <t>18</t>
        </is>
      </c>
      <c r="N5115" s="12" t="n">
        <v>1</v>
      </c>
      <c r="O5115" s="12" t="n">
        <v>1</v>
      </c>
      <c r="P5115" s="12" t="n"/>
      <c r="Q5115" s="12" t="n"/>
      <c r="R5115" s="12" t="n"/>
      <c r="S5115" s="12" t="inlineStr">
        <is>
          <t>Duct bank</t>
        </is>
      </c>
      <c r="T5115" s="15" t="n">
        <v>55</v>
      </c>
      <c r="U5115" s="15" t="n">
        <v>32</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I-I-0513</t>
        </is>
      </c>
      <c r="B5116" s="12" t="inlineStr">
        <is>
          <t>I</t>
        </is>
      </c>
      <c r="C5116" s="12" t="inlineStr">
        <is>
          <t>Modular / portable power</t>
        </is>
      </c>
      <c r="D5116" s="12" t="inlineStr">
        <is>
          <t>SC-GSU-2 monitoring: temperatures, gas relay, oil level</t>
        </is>
      </c>
      <c r="E5116" s="12" t="inlineStr"/>
      <c r="F5116" s="12" t="inlineStr">
        <is>
          <t>SC-2 PCM + 15 kV GCB</t>
        </is>
      </c>
      <c r="G5116" s="12" t="inlineStr">
        <is>
          <t>SC-GSU-2</t>
        </is>
      </c>
      <c r="H5116" s="12" t="inlineStr">
        <is>
          <t>SC-GSU-2: 13.8 / 34.5 kV unit step-up, ~60 MVA (SC-2)</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48</v>
      </c>
      <c r="U5116" s="15" t="n">
        <v>32</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I-I-0514</t>
        </is>
      </c>
      <c r="B5117" s="12" t="inlineStr">
        <is>
          <t>I</t>
        </is>
      </c>
      <c r="C5117" s="12" t="inlineStr">
        <is>
          <t>Modular / portable power</t>
        </is>
      </c>
      <c r="D5117" s="12" t="inlineStr">
        <is>
          <t>Analog instrument to JB JB-T-MOD 230 kV take--AI01: 8 x 1 pr (field cables)</t>
        </is>
      </c>
      <c r="E5117" s="12" t="inlineStr"/>
      <c r="F5117" s="12" t="inlineStr">
        <is>
          <t>T-MOD 230 kV take-off gantry with arresters</t>
        </is>
      </c>
      <c r="G5117" s="12" t="inlineStr">
        <is>
          <t>JB-T-MOD 230 kV take--AI01</t>
        </is>
      </c>
      <c r="H5117" s="12" t="inlineStr">
        <is>
          <t>T-MOD 230 kV take-off gantry with arresters</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88</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I-I-0515</t>
        </is>
      </c>
      <c r="B5118" s="12" t="inlineStr">
        <is>
          <t>I</t>
        </is>
      </c>
      <c r="C5118" s="12" t="inlineStr">
        <is>
          <t>Modular / portable power</t>
        </is>
      </c>
      <c r="D5118" s="12" t="inlineStr">
        <is>
          <t>Home run JB-T-MOD 230 kV take--AI01 to the control / marshalling room</t>
        </is>
      </c>
      <c r="E5118" s="12" t="inlineStr">
        <is>
          <t>PAD-EH</t>
        </is>
      </c>
      <c r="F5118" s="12" t="inlineStr">
        <is>
          <t>PAD-EH 13.8 kV switchgear e-house</t>
        </is>
      </c>
      <c r="G5118" s="12" t="inlineStr">
        <is>
          <t>JB-T-MOD 230 kV take--AI01</t>
        </is>
      </c>
      <c r="H5118" s="12" t="inlineStr">
        <is>
          <t>T-MOD 230 kV take-off gantry with arresters</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509</v>
      </c>
      <c r="U5118" s="15" t="n">
        <v>47</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I-I-0516</t>
        </is>
      </c>
      <c r="B5119" s="12" t="inlineStr">
        <is>
          <t>I</t>
        </is>
      </c>
      <c r="C5119" s="12" t="inlineStr">
        <is>
          <t>Modular / portable power</t>
        </is>
      </c>
      <c r="D5119" s="12" t="inlineStr">
        <is>
          <t>Discrete device to JB JB-T-MOD 230 kV take--DI01: 16 x 1 pr (field cables)</t>
        </is>
      </c>
      <c r="E5119" s="12" t="inlineStr"/>
      <c r="F5119" s="12" t="inlineStr">
        <is>
          <t>T-MOD 230 kV take-off gantry with arresters</t>
        </is>
      </c>
      <c r="G5119" s="12" t="inlineStr">
        <is>
          <t>JB-T-MOD 230 kV take--DI01</t>
        </is>
      </c>
      <c r="H5119" s="12" t="inlineStr">
        <is>
          <t>T-MOD 230 kV take-off gantry with arresters</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88</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I-I-0517</t>
        </is>
      </c>
      <c r="B5120" s="12" t="inlineStr">
        <is>
          <t>I</t>
        </is>
      </c>
      <c r="C5120" s="12" t="inlineStr">
        <is>
          <t>Modular / portable power</t>
        </is>
      </c>
      <c r="D5120" s="12" t="inlineStr">
        <is>
          <t>Home run JB-T-MOD 230 kV take--DI01 to the control / marshalling room</t>
        </is>
      </c>
      <c r="E5120" s="12" t="inlineStr">
        <is>
          <t>PAD-EH</t>
        </is>
      </c>
      <c r="F5120" s="12" t="inlineStr">
        <is>
          <t>PAD-EH 13.8 kV switchgear e-house</t>
        </is>
      </c>
      <c r="G5120" s="12" t="inlineStr">
        <is>
          <t>JB-T-MOD 230 kV take--DI01</t>
        </is>
      </c>
      <c r="H5120" s="12" t="inlineStr">
        <is>
          <t>T-MOD 230 kV take-off gantry with arresters</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509</v>
      </c>
      <c r="U5120" s="15" t="n">
        <v>47</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I-I-0518</t>
        </is>
      </c>
      <c r="B5121" s="12" t="inlineStr">
        <is>
          <t>I</t>
        </is>
      </c>
      <c r="C5121" s="12" t="inlineStr">
        <is>
          <t>Modular / portable power</t>
        </is>
      </c>
      <c r="D5121" s="12" t="inlineStr">
        <is>
          <t>Analog instrument to JB JB-T-MOD-1 / T-MOD-2 -AI01: 8 x 1 pr (field cables)</t>
        </is>
      </c>
      <c r="E5121" s="12" t="inlineStr"/>
      <c r="F5121" s="12" t="inlineStr">
        <is>
          <t>T-MOD-1 / T-MOD-2 firewall</t>
        </is>
      </c>
      <c r="G5121" s="12" t="inlineStr">
        <is>
          <t>JB-T-MOD-1 / T-MOD-2 -AI01</t>
        </is>
      </c>
      <c r="H5121" s="12" t="inlineStr">
        <is>
          <t>T-MOD-1 / T-MOD-2 firewall</t>
        </is>
      </c>
      <c r="I5121" s="12" t="inlineStr">
        <is>
          <t>Instrumentation</t>
        </is>
      </c>
      <c r="J5121" s="12" t="inlineStr">
        <is>
          <t>Instrumentation PLTC / TC-ER 300 V, #18 twisted shielded pairs, overall shield</t>
        </is>
      </c>
      <c r="K5121" s="12" t="inlineStr">
        <is>
          <t>PLTC|1 pr|16</t>
        </is>
      </c>
      <c r="L5121" s="12" t="inlineStr">
        <is>
          <t>1 pr</t>
        </is>
      </c>
      <c r="M5121" s="12" t="inlineStr">
        <is>
          <t>16</t>
        </is>
      </c>
      <c r="N5121" s="12" t="n">
        <v>8</v>
      </c>
      <c r="O5121" s="12" t="n">
        <v>1</v>
      </c>
      <c r="P5121" s="12" t="n"/>
      <c r="Q5121" s="12" t="n"/>
      <c r="R5121" s="12" t="n"/>
      <c r="S5121" s="12" t="inlineStr">
        <is>
          <t>Tray / conduit</t>
        </is>
      </c>
      <c r="T5121" s="15" t="n">
        <v>64</v>
      </c>
      <c r="U5121" s="15" t="n">
        <v>10</v>
      </c>
      <c r="V5121" s="15">
        <f>ROUNDUP((T5121+U5121+2*'Read Me'!$B$13)*(1+'Read Me'!$B$12),-1)</f>
        <v/>
      </c>
      <c r="W5121" s="15">
        <f>V5121*N5121*O5121</f>
        <v/>
      </c>
      <c r="X5121" s="12">
        <f>IF(LEFT(I5121,2)="MV",2*N5121*IF(L5121="1/C",O5121,1),0)</f>
        <v/>
      </c>
      <c r="Y5121" s="12">
        <f>IF(OR(LEFT(K5121,4)="LVAX",LEFT(K5121,6)="MV15AX",LEFT(K5121,4)="CTAX",LEFT(K5121,2)="W|"),2*N5121*O5121,0)</f>
        <v/>
      </c>
      <c r="Z5121" s="12" t="inlineStr">
        <is>
          <t>device-to-JB field wiring, one cable per device</t>
        </is>
      </c>
      <c r="AA5121" s="12">
        <f>N5121*O5121</f>
        <v/>
      </c>
    </row>
    <row r="5122">
      <c r="A5122" s="12" t="inlineStr">
        <is>
          <t>I-I-0519</t>
        </is>
      </c>
      <c r="B5122" s="12" t="inlineStr">
        <is>
          <t>I</t>
        </is>
      </c>
      <c r="C5122" s="12" t="inlineStr">
        <is>
          <t>Modular / portable power</t>
        </is>
      </c>
      <c r="D5122" s="12" t="inlineStr">
        <is>
          <t>Home run JB-T-MOD-1 / T-MOD-2 -AI01 to the control / marshalling room</t>
        </is>
      </c>
      <c r="E5122" s="12" t="inlineStr"/>
      <c r="F5122" s="12" t="inlineStr">
        <is>
          <t>PCM: power control module</t>
        </is>
      </c>
      <c r="G5122" s="12" t="inlineStr">
        <is>
          <t>JB-T-MOD-1 / T-MOD-2 -AI01</t>
        </is>
      </c>
      <c r="H5122" s="12" t="inlineStr">
        <is>
          <t>T-MOD-1 / T-MOD-2 firewall</t>
        </is>
      </c>
      <c r="I5122" s="12" t="inlineStr">
        <is>
          <t>Instrumentation</t>
        </is>
      </c>
      <c r="J5122" s="12" t="inlineStr">
        <is>
          <t>Instrumentation PLTC / TC-ER 300 V, #18 twisted shielded pairs, overall shield</t>
        </is>
      </c>
      <c r="K5122" s="12" t="inlineStr">
        <is>
          <t>PLTC|24 pr|18</t>
        </is>
      </c>
      <c r="L5122" s="12" t="inlineStr">
        <is>
          <t>24 pr</t>
        </is>
      </c>
      <c r="M5122" s="12" t="inlineStr">
        <is>
          <t>18</t>
        </is>
      </c>
      <c r="N5122" s="12" t="n">
        <v>1</v>
      </c>
      <c r="O5122" s="12" t="n">
        <v>1</v>
      </c>
      <c r="P5122" s="12" t="n"/>
      <c r="Q5122" s="12" t="n"/>
      <c r="R5122" s="12" t="n"/>
      <c r="S5122" s="12" t="inlineStr">
        <is>
          <t>Duct bank</t>
        </is>
      </c>
      <c r="T5122" s="15" t="n">
        <v>423</v>
      </c>
      <c r="U5122" s="15" t="n">
        <v>91</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I-I-0520</t>
        </is>
      </c>
      <c r="B5123" s="12" t="inlineStr">
        <is>
          <t>I</t>
        </is>
      </c>
      <c r="C5123" s="12" t="inlineStr">
        <is>
          <t>Modular / portable power</t>
        </is>
      </c>
      <c r="D5123" s="12" t="inlineStr">
        <is>
          <t>Discrete device to JB JB-T-MOD-1 / T-MOD-2 -DI01: 16 x 1 pr (field cables)</t>
        </is>
      </c>
      <c r="E5123" s="12" t="inlineStr"/>
      <c r="F5123" s="12" t="inlineStr">
        <is>
          <t>T-MOD-1 / T-MOD-2 firewall</t>
        </is>
      </c>
      <c r="G5123" s="12" t="inlineStr">
        <is>
          <t>JB-T-MOD-1 / T-MOD-2 -DI01</t>
        </is>
      </c>
      <c r="H5123" s="12" t="inlineStr">
        <is>
          <t>T-MOD-1 / T-MOD-2 firewall</t>
        </is>
      </c>
      <c r="I5123" s="12" t="inlineStr">
        <is>
          <t>Instrumentation</t>
        </is>
      </c>
      <c r="J5123" s="12" t="inlineStr">
        <is>
          <t>Instrumentation PLTC / TC-ER 300 V, #18 twisted shielded pairs, overall shield</t>
        </is>
      </c>
      <c r="K5123" s="12" t="inlineStr">
        <is>
          <t>PLTC|1 pr|16</t>
        </is>
      </c>
      <c r="L5123" s="12" t="inlineStr">
        <is>
          <t>1 pr</t>
        </is>
      </c>
      <c r="M5123" s="12" t="inlineStr">
        <is>
          <t>16</t>
        </is>
      </c>
      <c r="N5123" s="12" t="n">
        <v>16</v>
      </c>
      <c r="O5123" s="12" t="n">
        <v>1</v>
      </c>
      <c r="P5123" s="12" t="n"/>
      <c r="Q5123" s="12" t="n"/>
      <c r="R5123" s="12" t="n"/>
      <c r="S5123" s="12" t="inlineStr">
        <is>
          <t>Tray / conduit</t>
        </is>
      </c>
      <c r="T5123" s="15" t="n">
        <v>64</v>
      </c>
      <c r="U5123" s="15" t="n">
        <v>10</v>
      </c>
      <c r="V5123" s="15">
        <f>ROUNDUP((T5123+U5123+2*'Read Me'!$B$13)*(1+'Read Me'!$B$12),-1)</f>
        <v/>
      </c>
      <c r="W5123" s="15">
        <f>V5123*N5123*O5123</f>
        <v/>
      </c>
      <c r="X5123" s="12">
        <f>IF(LEFT(I5123,2)="MV",2*N5123*IF(L5123="1/C",O5123,1),0)</f>
        <v/>
      </c>
      <c r="Y5123" s="12">
        <f>IF(OR(LEFT(K5123,4)="LVAX",LEFT(K5123,6)="MV15AX",LEFT(K5123,4)="CTAX",LEFT(K5123,2)="W|"),2*N5123*O5123,0)</f>
        <v/>
      </c>
      <c r="Z5123" s="12" t="inlineStr">
        <is>
          <t>device-to-JB field wiring, one cable per device</t>
        </is>
      </c>
      <c r="AA5123" s="12">
        <f>N5123*O5123</f>
        <v/>
      </c>
    </row>
    <row r="5124">
      <c r="A5124" s="12" t="inlineStr">
        <is>
          <t>I-I-0521</t>
        </is>
      </c>
      <c r="B5124" s="12" t="inlineStr">
        <is>
          <t>I</t>
        </is>
      </c>
      <c r="C5124" s="12" t="inlineStr">
        <is>
          <t>Modular / portable power</t>
        </is>
      </c>
      <c r="D5124" s="12" t="inlineStr">
        <is>
          <t>Home run JB-T-MOD-1 / T-MOD-2 -DI01 to the control / marshalling room</t>
        </is>
      </c>
      <c r="E5124" s="12" t="inlineStr"/>
      <c r="F5124" s="12" t="inlineStr">
        <is>
          <t>PCM: power control module</t>
        </is>
      </c>
      <c r="G5124" s="12" t="inlineStr">
        <is>
          <t>JB-T-MOD-1 / T-MOD-2 -DI01</t>
        </is>
      </c>
      <c r="H5124" s="12" t="inlineStr">
        <is>
          <t>T-MOD-1 / T-MOD-2 firewall</t>
        </is>
      </c>
      <c r="I5124" s="12" t="inlineStr">
        <is>
          <t>Instrumentation</t>
        </is>
      </c>
      <c r="J5124" s="12" t="inlineStr">
        <is>
          <t>Instrumentation PLTC / TC-ER 300 V, #18 twisted shielded pairs, overall shield</t>
        </is>
      </c>
      <c r="K5124" s="12" t="inlineStr">
        <is>
          <t>PLTC|24 pr|18</t>
        </is>
      </c>
      <c r="L5124" s="12" t="inlineStr">
        <is>
          <t>24 pr</t>
        </is>
      </c>
      <c r="M5124" s="12" t="inlineStr">
        <is>
          <t>18</t>
        </is>
      </c>
      <c r="N5124" s="12" t="n">
        <v>1</v>
      </c>
      <c r="O5124" s="12" t="n">
        <v>1</v>
      </c>
      <c r="P5124" s="12" t="n"/>
      <c r="Q5124" s="12" t="n"/>
      <c r="R5124" s="12" t="n"/>
      <c r="S5124" s="12" t="inlineStr">
        <is>
          <t>Duct bank</t>
        </is>
      </c>
      <c r="T5124" s="15" t="n">
        <v>423</v>
      </c>
      <c r="U5124" s="15" t="n">
        <v>91</v>
      </c>
      <c r="V5124" s="15">
        <f>ROUNDUP((T5124+U5124+2*'Read Me'!$B$13)*(1+'Read Me'!$B$12),-1)</f>
        <v/>
      </c>
      <c r="W5124" s="15">
        <f>V5124*N5124*O5124</f>
        <v/>
      </c>
      <c r="X5124" s="12">
        <f>IF(LEFT(I5124,2)="MV",2*N5124*IF(L5124="1/C",O5124,1),0)</f>
        <v/>
      </c>
      <c r="Y5124" s="12">
        <f>IF(OR(LEFT(K5124,4)="LVAX",LEFT(K5124,6)="MV15AX",LEFT(K5124,4)="CTAX",LEFT(K5124,2)="W|"),2*N5124*O5124,0)</f>
        <v/>
      </c>
      <c r="Z5124" s="12" t="inlineStr"/>
      <c r="AA5124" s="12">
        <f>N5124*O5124</f>
        <v/>
      </c>
    </row>
    <row r="5125">
      <c r="A5125" s="12" t="inlineStr">
        <is>
          <t>I-I-0522</t>
        </is>
      </c>
      <c r="B5125" s="12" t="inlineStr">
        <is>
          <t>I</t>
        </is>
      </c>
      <c r="C5125" s="12" t="inlineStr">
        <is>
          <t>Modular / portable power</t>
        </is>
      </c>
      <c r="D5125" s="12" t="inlineStr">
        <is>
          <t>T-MOD-1 monitoring: temperatures, gas relay, oil level</t>
        </is>
      </c>
      <c r="E5125" s="12" t="inlineStr">
        <is>
          <t>MOD-EH</t>
        </is>
      </c>
      <c r="F5125" s="12" t="inlineStr">
        <is>
          <t>MOD-EH: 34.5 kV modular collector e-house (2 bus sections + 13.8 kV st</t>
        </is>
      </c>
      <c r="G5125" s="12" t="inlineStr">
        <is>
          <t>T-MOD-1</t>
        </is>
      </c>
      <c r="H5125" s="12" t="inlineStr">
        <is>
          <t>T-MOD-1: 230 / 34.5 kV</t>
        </is>
      </c>
      <c r="I5125" s="12" t="inlineStr">
        <is>
          <t>Instrumentation</t>
        </is>
      </c>
      <c r="J5125" s="12" t="inlineStr">
        <is>
          <t>Instrumentation ITC / PLTC, IS, #18 shielded pairs, blue jacket</t>
        </is>
      </c>
      <c r="K5125" s="12" t="inlineStr">
        <is>
          <t>ITC|4 pr|18</t>
        </is>
      </c>
      <c r="L5125" s="12" t="inlineStr">
        <is>
          <t>4 pr</t>
        </is>
      </c>
      <c r="M5125" s="12" t="inlineStr">
        <is>
          <t>18</t>
        </is>
      </c>
      <c r="N5125" s="12" t="n">
        <v>1</v>
      </c>
      <c r="O5125" s="12" t="n">
        <v>1</v>
      </c>
      <c r="P5125" s="12" t="n"/>
      <c r="Q5125" s="12" t="n"/>
      <c r="R5125" s="12" t="n"/>
      <c r="S5125" s="12" t="inlineStr">
        <is>
          <t>Duct bank</t>
        </is>
      </c>
      <c r="T5125" s="15" t="n">
        <v>238</v>
      </c>
      <c r="U5125" s="15" t="n">
        <v>43</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I-I-0523</t>
        </is>
      </c>
      <c r="B5126" s="12" t="inlineStr">
        <is>
          <t>I</t>
        </is>
      </c>
      <c r="C5126" s="12" t="inlineStr">
        <is>
          <t>Modular / portable power</t>
        </is>
      </c>
      <c r="D5126" s="12" t="inlineStr">
        <is>
          <t>Analog instrument to JB JB-T-MOD-1-AI01: 8 x 1 pr (field cables)</t>
        </is>
      </c>
      <c r="E5126" s="12" t="inlineStr">
        <is>
          <t>T-MOD-1</t>
        </is>
      </c>
      <c r="F5126" s="12" t="inlineStr">
        <is>
          <t>T-MOD-1: 230 / 34.5 kV</t>
        </is>
      </c>
      <c r="G5126" s="12" t="inlineStr">
        <is>
          <t>JB-T-MOD-1-AI01</t>
        </is>
      </c>
      <c r="H5126" s="12" t="inlineStr">
        <is>
          <t>T-MOD-1: 230 / 34.5 kV</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77</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I-I-0524</t>
        </is>
      </c>
      <c r="B5127" s="12" t="inlineStr">
        <is>
          <t>I</t>
        </is>
      </c>
      <c r="C5127" s="12" t="inlineStr">
        <is>
          <t>Modular / portable power</t>
        </is>
      </c>
      <c r="D5127" s="12" t="inlineStr">
        <is>
          <t>Home run JB-T-MOD-1-AI01 to the control / marshalling room</t>
        </is>
      </c>
      <c r="E5127" s="12" t="inlineStr"/>
      <c r="F5127" s="12" t="inlineStr">
        <is>
          <t>PCM: power control module</t>
        </is>
      </c>
      <c r="G5127" s="12" t="inlineStr">
        <is>
          <t>JB-T-MOD-1-AI01</t>
        </is>
      </c>
      <c r="H5127" s="12" t="inlineStr">
        <is>
          <t>T-MOD-1: 230 / 34.5 kV</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423</v>
      </c>
      <c r="U5127" s="15" t="n">
        <v>43</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I-I-0525</t>
        </is>
      </c>
      <c r="B5128" s="12" t="inlineStr">
        <is>
          <t>I</t>
        </is>
      </c>
      <c r="C5128" s="12" t="inlineStr">
        <is>
          <t>Modular / portable power</t>
        </is>
      </c>
      <c r="D5128" s="12" t="inlineStr">
        <is>
          <t>Discrete device to JB JB-T-MOD-1-DI01: 16 x 1 pr (field cables)</t>
        </is>
      </c>
      <c r="E5128" s="12" t="inlineStr">
        <is>
          <t>T-MOD-1</t>
        </is>
      </c>
      <c r="F5128" s="12" t="inlineStr">
        <is>
          <t>T-MOD-1: 230 / 34.5 kV</t>
        </is>
      </c>
      <c r="G5128" s="12" t="inlineStr">
        <is>
          <t>JB-T-MOD-1-DI01</t>
        </is>
      </c>
      <c r="H5128" s="12" t="inlineStr">
        <is>
          <t>T-MOD-1: 230 / 34.5 kV</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77</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I-I-0526</t>
        </is>
      </c>
      <c r="B5129" s="12" t="inlineStr">
        <is>
          <t>I</t>
        </is>
      </c>
      <c r="C5129" s="12" t="inlineStr">
        <is>
          <t>Modular / portable power</t>
        </is>
      </c>
      <c r="D5129" s="12" t="inlineStr">
        <is>
          <t>Home run JB-T-MOD-1-DI01 to the control / marshalling room</t>
        </is>
      </c>
      <c r="E5129" s="12" t="inlineStr"/>
      <c r="F5129" s="12" t="inlineStr">
        <is>
          <t>PCM: power control module</t>
        </is>
      </c>
      <c r="G5129" s="12" t="inlineStr">
        <is>
          <t>JB-T-MOD-1-DI01</t>
        </is>
      </c>
      <c r="H5129" s="12" t="inlineStr">
        <is>
          <t>T-MOD-1: 230 / 34.5 kV</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423</v>
      </c>
      <c r="U5129" s="15" t="n">
        <v>43</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I-I-0527</t>
        </is>
      </c>
      <c r="B5130" s="12" t="inlineStr">
        <is>
          <t>I</t>
        </is>
      </c>
      <c r="C5130" s="12" t="inlineStr">
        <is>
          <t>Modular / portable power</t>
        </is>
      </c>
      <c r="D5130" s="12" t="inlineStr">
        <is>
          <t>T-MOD-2 monitoring: temperatures, gas relay, oil level</t>
        </is>
      </c>
      <c r="E5130" s="12" t="inlineStr">
        <is>
          <t>MOD-EH</t>
        </is>
      </c>
      <c r="F5130" s="12" t="inlineStr">
        <is>
          <t>MOD-EH: 34.5 kV modular collector e-house (2 bus sections + 13.8 kV st</t>
        </is>
      </c>
      <c r="G5130" s="12" t="inlineStr">
        <is>
          <t>T-MOD-2</t>
        </is>
      </c>
      <c r="H5130" s="12" t="inlineStr">
        <is>
          <t>T-MOD-2: 230 / 34.5 kV</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368</v>
      </c>
      <c r="U5130" s="15" t="n">
        <v>32</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I-I-0528</t>
        </is>
      </c>
      <c r="B5131" s="12" t="inlineStr">
        <is>
          <t>I</t>
        </is>
      </c>
      <c r="C5131" s="12" t="inlineStr">
        <is>
          <t>Modular / portable power</t>
        </is>
      </c>
      <c r="D5131" s="12" t="inlineStr">
        <is>
          <t>Analog instrument to JB JB-T-MOD-2-AI01: 8 x 1 pr (field cables)</t>
        </is>
      </c>
      <c r="E5131" s="12" t="inlineStr">
        <is>
          <t>T-MOD-2</t>
        </is>
      </c>
      <c r="F5131" s="12" t="inlineStr">
        <is>
          <t>T-MOD-2: 230 / 34.5 kV</t>
        </is>
      </c>
      <c r="G5131" s="12" t="inlineStr">
        <is>
          <t>JB-T-MOD-2-AI01</t>
        </is>
      </c>
      <c r="H5131" s="12" t="inlineStr">
        <is>
          <t>T-MOD-2: 230 / 34.5 kV</t>
        </is>
      </c>
      <c r="I5131" s="12" t="inlineStr">
        <is>
          <t>Instrumentation</t>
        </is>
      </c>
      <c r="J5131" s="12" t="inlineStr">
        <is>
          <t>Instrumentation PLTC / TC-ER 300 V, #18 twisted shielded pairs, overall shield</t>
        </is>
      </c>
      <c r="K5131" s="12" t="inlineStr">
        <is>
          <t>PLTC|1 pr|16</t>
        </is>
      </c>
      <c r="L5131" s="12" t="inlineStr">
        <is>
          <t>1 pr</t>
        </is>
      </c>
      <c r="M5131" s="12" t="inlineStr">
        <is>
          <t>16</t>
        </is>
      </c>
      <c r="N5131" s="12" t="n">
        <v>8</v>
      </c>
      <c r="O5131" s="12" t="n">
        <v>1</v>
      </c>
      <c r="P5131" s="12" t="n"/>
      <c r="Q5131" s="12" t="n"/>
      <c r="R5131" s="12" t="n"/>
      <c r="S5131" s="12" t="inlineStr">
        <is>
          <t>Tray / conduit</t>
        </is>
      </c>
      <c r="T5131" s="15" t="n">
        <v>77</v>
      </c>
      <c r="U5131" s="15" t="n">
        <v>10</v>
      </c>
      <c r="V5131" s="15">
        <f>ROUNDUP((T5131+U5131+2*'Read Me'!$B$13)*(1+'Read Me'!$B$12),-1)</f>
        <v/>
      </c>
      <c r="W5131" s="15">
        <f>V5131*N5131*O5131</f>
        <v/>
      </c>
      <c r="X5131" s="12">
        <f>IF(LEFT(I5131,2)="MV",2*N5131*IF(L5131="1/C",O5131,1),0)</f>
        <v/>
      </c>
      <c r="Y5131" s="12">
        <f>IF(OR(LEFT(K5131,4)="LVAX",LEFT(K5131,6)="MV15AX",LEFT(K5131,4)="CTAX",LEFT(K5131,2)="W|"),2*N5131*O5131,0)</f>
        <v/>
      </c>
      <c r="Z5131" s="12" t="inlineStr">
        <is>
          <t>device-to-JB field wiring, one cable per device</t>
        </is>
      </c>
      <c r="AA5131" s="12">
        <f>N5131*O5131</f>
        <v/>
      </c>
    </row>
    <row r="5132">
      <c r="A5132" s="12" t="inlineStr">
        <is>
          <t>I-I-0529</t>
        </is>
      </c>
      <c r="B5132" s="12" t="inlineStr">
        <is>
          <t>I</t>
        </is>
      </c>
      <c r="C5132" s="12" t="inlineStr">
        <is>
          <t>Modular / portable power</t>
        </is>
      </c>
      <c r="D5132" s="12" t="inlineStr">
        <is>
          <t>Home run JB-T-MOD-2-AI01 to the control / marshalling room</t>
        </is>
      </c>
      <c r="E5132" s="12" t="inlineStr"/>
      <c r="F5132" s="12" t="inlineStr">
        <is>
          <t>PCM: power control module</t>
        </is>
      </c>
      <c r="G5132" s="12" t="inlineStr">
        <is>
          <t>JB-T-MOD-2-AI01</t>
        </is>
      </c>
      <c r="H5132" s="12" t="inlineStr">
        <is>
          <t>T-MOD-2: 230 / 34.5 kV</t>
        </is>
      </c>
      <c r="I5132" s="12" t="inlineStr">
        <is>
          <t>Instrumentation</t>
        </is>
      </c>
      <c r="J5132" s="12" t="inlineStr">
        <is>
          <t>Instrumentation PLTC / TC-ER 300 V, #18 twisted shielded pairs, overall shield</t>
        </is>
      </c>
      <c r="K5132" s="12" t="inlineStr">
        <is>
          <t>PLTC|24 pr|18</t>
        </is>
      </c>
      <c r="L5132" s="12" t="inlineStr">
        <is>
          <t>24 pr</t>
        </is>
      </c>
      <c r="M5132" s="12" t="inlineStr">
        <is>
          <t>18</t>
        </is>
      </c>
      <c r="N5132" s="12" t="n">
        <v>1</v>
      </c>
      <c r="O5132" s="12" t="n">
        <v>1</v>
      </c>
      <c r="P5132" s="12" t="n"/>
      <c r="Q5132" s="12" t="n"/>
      <c r="R5132" s="12" t="n"/>
      <c r="S5132" s="12" t="inlineStr">
        <is>
          <t>Duct bank</t>
        </is>
      </c>
      <c r="T5132" s="15" t="n">
        <v>553</v>
      </c>
      <c r="U5132" s="15" t="n">
        <v>32</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I-I-0530</t>
        </is>
      </c>
      <c r="B5133" s="12" t="inlineStr">
        <is>
          <t>I</t>
        </is>
      </c>
      <c r="C5133" s="12" t="inlineStr">
        <is>
          <t>Modular / portable power</t>
        </is>
      </c>
      <c r="D5133" s="12" t="inlineStr">
        <is>
          <t>Discrete device to JB JB-T-MOD-2-DI01: 16 x 1 pr (field cables)</t>
        </is>
      </c>
      <c r="E5133" s="12" t="inlineStr">
        <is>
          <t>T-MOD-2</t>
        </is>
      </c>
      <c r="F5133" s="12" t="inlineStr">
        <is>
          <t>T-MOD-2: 230 / 34.5 kV</t>
        </is>
      </c>
      <c r="G5133" s="12" t="inlineStr">
        <is>
          <t>JB-T-MOD-2-DI01</t>
        </is>
      </c>
      <c r="H5133" s="12" t="inlineStr">
        <is>
          <t>T-MOD-2: 230 / 34.5 kV</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16</v>
      </c>
      <c r="O5133" s="12" t="n">
        <v>1</v>
      </c>
      <c r="P5133" s="12" t="n"/>
      <c r="Q5133" s="12" t="n"/>
      <c r="R5133" s="12" t="n"/>
      <c r="S5133" s="12" t="inlineStr">
        <is>
          <t>Tray / conduit</t>
        </is>
      </c>
      <c r="T5133" s="15" t="n">
        <v>77</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I-I-0531</t>
        </is>
      </c>
      <c r="B5134" s="12" t="inlineStr">
        <is>
          <t>I</t>
        </is>
      </c>
      <c r="C5134" s="12" t="inlineStr">
        <is>
          <t>Modular / portable power</t>
        </is>
      </c>
      <c r="D5134" s="12" t="inlineStr">
        <is>
          <t>Home run JB-T-MOD-2-DI01 to the control / marshalling room</t>
        </is>
      </c>
      <c r="E5134" s="12" t="inlineStr"/>
      <c r="F5134" s="12" t="inlineStr">
        <is>
          <t>PCM: power control module</t>
        </is>
      </c>
      <c r="G5134" s="12" t="inlineStr">
        <is>
          <t>JB-T-MOD-2-DI01</t>
        </is>
      </c>
      <c r="H5134" s="12" t="inlineStr">
        <is>
          <t>T-MOD-2: 230 / 34.5 kV</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553</v>
      </c>
      <c r="U5134" s="15" t="n">
        <v>32</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I-I-0532</t>
        </is>
      </c>
      <c r="B5135" s="12" t="inlineStr">
        <is>
          <t>I</t>
        </is>
      </c>
      <c r="C5135" s="12" t="inlineStr">
        <is>
          <t>Modular / portable power</t>
        </is>
      </c>
      <c r="D5135" s="12" t="inlineStr">
        <is>
          <t>Analog instrument to JB JB-T-MOD-3 230 kV gan-AI01: 8 x 1 pr (field cables)</t>
        </is>
      </c>
      <c r="E5135" s="12" t="inlineStr"/>
      <c r="F5135" s="12" t="inlineStr">
        <is>
          <t>T-MOD-3 230 kV gantry extension with arresters</t>
        </is>
      </c>
      <c r="G5135" s="12" t="inlineStr">
        <is>
          <t>JB-T-MOD-3 230 kV gan-AI01</t>
        </is>
      </c>
      <c r="H5135" s="12" t="inlineStr">
        <is>
          <t>T-MOD-3 230 kV gantry extension with arresters</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8</v>
      </c>
      <c r="O5135" s="12" t="n">
        <v>1</v>
      </c>
      <c r="P5135" s="12" t="n"/>
      <c r="Q5135" s="12" t="n"/>
      <c r="R5135" s="12" t="n"/>
      <c r="S5135" s="12" t="inlineStr">
        <is>
          <t>Tray / conduit</t>
        </is>
      </c>
      <c r="T5135" s="15" t="n">
        <v>85</v>
      </c>
      <c r="U5135" s="15" t="n">
        <v>10</v>
      </c>
      <c r="V5135" s="15">
        <f>ROUNDUP((T5135+U5135+2*'Read Me'!$B$13)*(1+'Read Me'!$B$12),-1)</f>
        <v/>
      </c>
      <c r="W5135" s="15">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I-I-0533</t>
        </is>
      </c>
      <c r="B5136" s="12" t="inlineStr">
        <is>
          <t>I</t>
        </is>
      </c>
      <c r="C5136" s="12" t="inlineStr">
        <is>
          <t>Modular / portable power</t>
        </is>
      </c>
      <c r="D5136" s="12" t="inlineStr">
        <is>
          <t>Home run JB-T-MOD-3 230 kV gan-AI01 to the control / marshalling room</t>
        </is>
      </c>
      <c r="E5136" s="12" t="inlineStr">
        <is>
          <t>PAD-EH</t>
        </is>
      </c>
      <c r="F5136" s="12" t="inlineStr">
        <is>
          <t>PAD-EH 13.8 kV switchgear e-house</t>
        </is>
      </c>
      <c r="G5136" s="12" t="inlineStr">
        <is>
          <t>JB-T-MOD-3 230 kV gan-AI01</t>
        </is>
      </c>
      <c r="H5136" s="12" t="inlineStr">
        <is>
          <t>T-MOD-3 230 kV gantry extension with arresters</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Duct bank</t>
        </is>
      </c>
      <c r="T5136" s="15" t="n">
        <v>509</v>
      </c>
      <c r="U5136" s="15" t="n">
        <v>36</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I-I-0534</t>
        </is>
      </c>
      <c r="B5137" s="12" t="inlineStr">
        <is>
          <t>I</t>
        </is>
      </c>
      <c r="C5137" s="12" t="inlineStr">
        <is>
          <t>Modular / portable power</t>
        </is>
      </c>
      <c r="D5137" s="12" t="inlineStr">
        <is>
          <t>Discrete device to JB JB-T-MOD-3 230 kV gan-DI01: 16 x 1 pr (field cables)</t>
        </is>
      </c>
      <c r="E5137" s="12" t="inlineStr"/>
      <c r="F5137" s="12" t="inlineStr">
        <is>
          <t>T-MOD-3 230 kV gantry extension with arresters</t>
        </is>
      </c>
      <c r="G5137" s="12" t="inlineStr">
        <is>
          <t>JB-T-MOD-3 230 kV gan-DI01</t>
        </is>
      </c>
      <c r="H5137" s="12" t="inlineStr">
        <is>
          <t>T-MOD-3 230 kV gantry extension with arresters</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16</v>
      </c>
      <c r="O5137" s="12" t="n">
        <v>1</v>
      </c>
      <c r="P5137" s="12" t="n"/>
      <c r="Q5137" s="12" t="n"/>
      <c r="R5137" s="12" t="n"/>
      <c r="S5137" s="12" t="inlineStr">
        <is>
          <t>Tray / conduit</t>
        </is>
      </c>
      <c r="T5137" s="15" t="n">
        <v>85</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I-I-0535</t>
        </is>
      </c>
      <c r="B5138" s="12" t="inlineStr">
        <is>
          <t>I</t>
        </is>
      </c>
      <c r="C5138" s="12" t="inlineStr">
        <is>
          <t>Modular / portable power</t>
        </is>
      </c>
      <c r="D5138" s="12" t="inlineStr">
        <is>
          <t>Home run JB-T-MOD-3 230 kV gan-DI01 to the control / marshalling room</t>
        </is>
      </c>
      <c r="E5138" s="12" t="inlineStr">
        <is>
          <t>PAD-EH</t>
        </is>
      </c>
      <c r="F5138" s="12" t="inlineStr">
        <is>
          <t>PAD-EH 13.8 kV switchgear e-house</t>
        </is>
      </c>
      <c r="G5138" s="12" t="inlineStr">
        <is>
          <t>JB-T-MOD-3 230 kV gan-DI01</t>
        </is>
      </c>
      <c r="H5138" s="12" t="inlineStr">
        <is>
          <t>T-MOD-3 230 kV gantry extension with arresters</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Duct bank</t>
        </is>
      </c>
      <c r="T5138" s="15" t="n">
        <v>509</v>
      </c>
      <c r="U5138" s="15" t="n">
        <v>36</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I-I-0536</t>
        </is>
      </c>
      <c r="B5139" s="12" t="inlineStr">
        <is>
          <t>I</t>
        </is>
      </c>
      <c r="C5139" s="12" t="inlineStr">
        <is>
          <t>Modular / portable power</t>
        </is>
      </c>
      <c r="D5139" s="12" t="inlineStr">
        <is>
          <t>T-MOD-3 monitoring: temperatures, gas relay, oil level</t>
        </is>
      </c>
      <c r="E5139" s="12" t="inlineStr">
        <is>
          <t>SWG-PK</t>
        </is>
      </c>
      <c r="F5139" s="12" t="inlineStr">
        <is>
          <t>SWG-PK: 34.5 kV park collector switchgear (2 bus sections, tie; 8 feed</t>
        </is>
      </c>
      <c r="G5139" s="12" t="inlineStr">
        <is>
          <t>T-MOD-3</t>
        </is>
      </c>
      <c r="H5139" s="12" t="inlineStr">
        <is>
          <t>T-MOD-3: 230 / 34.5 / 34.5 kV, ~250 MVA three-winding (power park coll</t>
        </is>
      </c>
      <c r="I5139" s="12" t="inlineStr">
        <is>
          <t>Instrumentation</t>
        </is>
      </c>
      <c r="J5139" s="12" t="inlineStr">
        <is>
          <t>Instrumentation ITC / PLTC, IS, #18 shielded pairs, blue jacket</t>
        </is>
      </c>
      <c r="K5139" s="12" t="inlineStr">
        <is>
          <t>ITC|4 pr|18</t>
        </is>
      </c>
      <c r="L5139" s="12" t="inlineStr">
        <is>
          <t>4 pr</t>
        </is>
      </c>
      <c r="M5139" s="12" t="inlineStr">
        <is>
          <t>18</t>
        </is>
      </c>
      <c r="N5139" s="12" t="n">
        <v>1</v>
      </c>
      <c r="O5139" s="12" t="n">
        <v>1</v>
      </c>
      <c r="P5139" s="12" t="n"/>
      <c r="Q5139" s="12" t="n"/>
      <c r="R5139" s="12" t="n"/>
      <c r="S5139" s="12" t="inlineStr">
        <is>
          <t>Duct bank</t>
        </is>
      </c>
      <c r="T5139" s="15" t="n">
        <v>22</v>
      </c>
      <c r="U5139" s="15" t="n">
        <v>58</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I-I-0537</t>
        </is>
      </c>
      <c r="B5140" s="12" t="inlineStr">
        <is>
          <t>I</t>
        </is>
      </c>
      <c r="C5140" s="12" t="inlineStr">
        <is>
          <t>Modular / portable power</t>
        </is>
      </c>
      <c r="D5140" s="12" t="inlineStr">
        <is>
          <t>TGF-1 instrumentation</t>
        </is>
      </c>
      <c r="E5140" s="12" t="inlineStr">
        <is>
          <t>TGF-SWG</t>
        </is>
      </c>
      <c r="F5140" s="12" t="inlineStr">
        <is>
          <t>TGF-SWG: mobile 13.8 kV switchgear trailer (fleet collector)</t>
        </is>
      </c>
      <c r="G5140" s="12" t="inlineStr">
        <is>
          <t>TGF-1</t>
        </is>
      </c>
      <c r="H5140" s="12" t="inlineStr">
        <is>
          <t xml:space="preserve">TGF-1: trailer-mounted gas-engine generator ~2.5 MW, 13.8 kV (trailer </t>
        </is>
      </c>
      <c r="I5140" s="12" t="inlineStr">
        <is>
          <t>Instrumentation</t>
        </is>
      </c>
      <c r="J5140" s="12" t="inlineStr">
        <is>
          <t>Instrumentation ITC / PLTC, IS, #18 shielded pairs, blue jacket</t>
        </is>
      </c>
      <c r="K5140" s="12" t="inlineStr">
        <is>
          <t>ITC|4 pr|18</t>
        </is>
      </c>
      <c r="L5140" s="12" t="inlineStr">
        <is>
          <t>4 pr</t>
        </is>
      </c>
      <c r="M5140" s="12" t="inlineStr">
        <is>
          <t>18</t>
        </is>
      </c>
      <c r="N5140" s="12" t="n">
        <v>1</v>
      </c>
      <c r="O5140" s="12" t="n">
        <v>1</v>
      </c>
      <c r="P5140" s="12" t="n"/>
      <c r="Q5140" s="12" t="n"/>
      <c r="R5140" s="12" t="n"/>
      <c r="S5140" s="12" t="inlineStr">
        <is>
          <t>Surface</t>
        </is>
      </c>
      <c r="T5140" s="15" t="n">
        <v>82</v>
      </c>
      <c r="U5140" s="15" t="n">
        <v>37</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I-I-0538</t>
        </is>
      </c>
      <c r="B5141" s="12" t="inlineStr">
        <is>
          <t>I</t>
        </is>
      </c>
      <c r="C5141" s="12" t="inlineStr">
        <is>
          <t>Modular / portable power</t>
        </is>
      </c>
      <c r="D5141" s="12" t="inlineStr">
        <is>
          <t>TGF-2 instrumentation</t>
        </is>
      </c>
      <c r="E5141" s="12" t="inlineStr">
        <is>
          <t>TGF-SWG</t>
        </is>
      </c>
      <c r="F5141" s="12" t="inlineStr">
        <is>
          <t>TGF-SWG: mobile 13.8 kV switchgear trailer (fleet collector)</t>
        </is>
      </c>
      <c r="G5141" s="12" t="inlineStr">
        <is>
          <t>TGF-2</t>
        </is>
      </c>
      <c r="H5141" s="12" t="inlineStr">
        <is>
          <t xml:space="preserve">TGF-2: trailer-mounted gas-engine generator ~2.5 MW, 13.8 kV (trailer </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Surface</t>
        </is>
      </c>
      <c r="T5141" s="15" t="n">
        <v>68</v>
      </c>
      <c r="U5141" s="15" t="n">
        <v>37</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I-I-0539</t>
        </is>
      </c>
      <c r="B5142" s="12" t="inlineStr">
        <is>
          <t>I</t>
        </is>
      </c>
      <c r="C5142" s="12" t="inlineStr">
        <is>
          <t>Modular / portable power</t>
        </is>
      </c>
      <c r="D5142" s="12" t="inlineStr">
        <is>
          <t>TGF-3 instrumentation</t>
        </is>
      </c>
      <c r="E5142" s="12" t="inlineStr">
        <is>
          <t>TGF-SWG</t>
        </is>
      </c>
      <c r="F5142" s="12" t="inlineStr">
        <is>
          <t>TGF-SWG: mobile 13.8 kV switchgear trailer (fleet collector)</t>
        </is>
      </c>
      <c r="G5142" s="12" t="inlineStr">
        <is>
          <t>TGF-3</t>
        </is>
      </c>
      <c r="H5142" s="12" t="inlineStr">
        <is>
          <t xml:space="preserve">TGF-3: trailer-mounted gas-engine generator ~2.5 MW, 13.8 kV (trailer </t>
        </is>
      </c>
      <c r="I5142" s="12" t="inlineStr">
        <is>
          <t>Instrumentation</t>
        </is>
      </c>
      <c r="J5142" s="12" t="inlineStr">
        <is>
          <t>Instrumentation ITC / PLTC, IS, #18 shielded pairs, blue jacket</t>
        </is>
      </c>
      <c r="K5142" s="12" t="inlineStr">
        <is>
          <t>ITC|4 pr|18</t>
        </is>
      </c>
      <c r="L5142" s="12" t="inlineStr">
        <is>
          <t>4 pr</t>
        </is>
      </c>
      <c r="M5142" s="12" t="inlineStr">
        <is>
          <t>18</t>
        </is>
      </c>
      <c r="N5142" s="12" t="n">
        <v>1</v>
      </c>
      <c r="O5142" s="12" t="n">
        <v>1</v>
      </c>
      <c r="P5142" s="12" t="n"/>
      <c r="Q5142" s="12" t="n"/>
      <c r="R5142" s="12" t="n"/>
      <c r="S5142" s="12" t="inlineStr">
        <is>
          <t>Surface</t>
        </is>
      </c>
      <c r="T5142" s="15" t="n">
        <v>54</v>
      </c>
      <c r="U5142" s="15" t="n">
        <v>37</v>
      </c>
      <c r="V5142" s="15">
        <f>ROUNDUP((T5142+U5142+2*'Read Me'!$B$13)*(1+'Read Me'!$B$12),-1)</f>
        <v/>
      </c>
      <c r="W5142" s="15">
        <f>V5142*N5142*O5142</f>
        <v/>
      </c>
      <c r="X5142" s="12">
        <f>IF(LEFT(I5142,2)="MV",2*N5142*IF(L5142="1/C",O5142,1),0)</f>
        <v/>
      </c>
      <c r="Y5142" s="12">
        <f>IF(OR(LEFT(K5142,4)="LVAX",LEFT(K5142,6)="MV15AX",LEFT(K5142,4)="CTAX",LEFT(K5142,2)="W|"),2*N5142*O5142,0)</f>
        <v/>
      </c>
      <c r="Z5142" s="12" t="inlineStr"/>
      <c r="AA5142" s="12">
        <f>N5142*O5142</f>
        <v/>
      </c>
    </row>
    <row r="5143">
      <c r="A5143" s="12" t="inlineStr">
        <is>
          <t>I-I-0540</t>
        </is>
      </c>
      <c r="B5143" s="12" t="inlineStr">
        <is>
          <t>I</t>
        </is>
      </c>
      <c r="C5143" s="12" t="inlineStr">
        <is>
          <t>Modular / portable power</t>
        </is>
      </c>
      <c r="D5143" s="12" t="inlineStr">
        <is>
          <t>TGF-4 instrumentation</t>
        </is>
      </c>
      <c r="E5143" s="12" t="inlineStr">
        <is>
          <t>TGF-SWG</t>
        </is>
      </c>
      <c r="F5143" s="12" t="inlineStr">
        <is>
          <t>TGF-SWG: mobile 13.8 kV switchgear trailer (fleet collector)</t>
        </is>
      </c>
      <c r="G5143" s="12" t="inlineStr">
        <is>
          <t>TGF-4</t>
        </is>
      </c>
      <c r="H5143" s="12" t="inlineStr">
        <is>
          <t xml:space="preserve">TGF-4: trailer-mounted gas-engine generator ~2.5 MW, 13.8 kV (trailer </t>
        </is>
      </c>
      <c r="I5143" s="12" t="inlineStr">
        <is>
          <t>Instrumentation</t>
        </is>
      </c>
      <c r="J5143" s="12" t="inlineStr">
        <is>
          <t>Instrumentation ITC / PLTC, IS, #18 shielded pairs, blue jacket</t>
        </is>
      </c>
      <c r="K5143" s="12" t="inlineStr">
        <is>
          <t>ITC|4 pr|18</t>
        </is>
      </c>
      <c r="L5143" s="12" t="inlineStr">
        <is>
          <t>4 pr</t>
        </is>
      </c>
      <c r="M5143" s="12" t="inlineStr">
        <is>
          <t>18</t>
        </is>
      </c>
      <c r="N5143" s="12" t="n">
        <v>1</v>
      </c>
      <c r="O5143" s="12" t="n">
        <v>1</v>
      </c>
      <c r="P5143" s="12" t="n"/>
      <c r="Q5143" s="12" t="n"/>
      <c r="R5143" s="12" t="n"/>
      <c r="S5143" s="12" t="inlineStr">
        <is>
          <t>Surface</t>
        </is>
      </c>
      <c r="T5143" s="15" t="n">
        <v>40</v>
      </c>
      <c r="U5143" s="15" t="n">
        <v>37</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I-I-0541</t>
        </is>
      </c>
      <c r="B5144" s="12" t="inlineStr">
        <is>
          <t>I</t>
        </is>
      </c>
      <c r="C5144" s="12" t="inlineStr">
        <is>
          <t>Modular / portable power</t>
        </is>
      </c>
      <c r="D5144" s="12" t="inlineStr">
        <is>
          <t>TGF-5 instrumentation</t>
        </is>
      </c>
      <c r="E5144" s="12" t="inlineStr">
        <is>
          <t>TGF-SWG</t>
        </is>
      </c>
      <c r="F5144" s="12" t="inlineStr">
        <is>
          <t>TGF-SWG: mobile 13.8 kV switchgear trailer (fleet collector)</t>
        </is>
      </c>
      <c r="G5144" s="12" t="inlineStr">
        <is>
          <t>TGF-5</t>
        </is>
      </c>
      <c r="H5144" s="12" t="inlineStr">
        <is>
          <t xml:space="preserve">TGF-5: trailer-mounted gas-engine generator ~2.5 MW, 13.8 kV (trailer </t>
        </is>
      </c>
      <c r="I5144" s="12" t="inlineStr">
        <is>
          <t>Instrumentation</t>
        </is>
      </c>
      <c r="J5144" s="12" t="inlineStr">
        <is>
          <t>Instrumentation ITC / PLTC, IS, #18 shielded pairs, blue jacket</t>
        </is>
      </c>
      <c r="K5144" s="12" t="inlineStr">
        <is>
          <t>ITC|4 pr|18</t>
        </is>
      </c>
      <c r="L5144" s="12" t="inlineStr">
        <is>
          <t>4 pr</t>
        </is>
      </c>
      <c r="M5144" s="12" t="inlineStr">
        <is>
          <t>18</t>
        </is>
      </c>
      <c r="N5144" s="12" t="n">
        <v>1</v>
      </c>
      <c r="O5144" s="12" t="n">
        <v>1</v>
      </c>
      <c r="P5144" s="12" t="n"/>
      <c r="Q5144" s="12" t="n"/>
      <c r="R5144" s="12" t="n"/>
      <c r="S5144" s="12" t="inlineStr">
        <is>
          <t>Surface</t>
        </is>
      </c>
      <c r="T5144" s="15" t="n">
        <v>34</v>
      </c>
      <c r="U5144" s="15" t="n">
        <v>31</v>
      </c>
      <c r="V5144" s="15">
        <f>ROUNDUP((T5144+U5144+2*'Read Me'!$B$13)*(1+'Read Me'!$B$12),-1)</f>
        <v/>
      </c>
      <c r="W5144" s="15">
        <f>V5144*N5144*O5144</f>
        <v/>
      </c>
      <c r="X5144" s="12">
        <f>IF(LEFT(I5144,2)="MV",2*N5144*IF(L5144="1/C",O5144,1),0)</f>
        <v/>
      </c>
      <c r="Y5144" s="12">
        <f>IF(OR(LEFT(K5144,4)="LVAX",LEFT(K5144,6)="MV15AX",LEFT(K5144,4)="CTAX",LEFT(K5144,2)="W|"),2*N5144*O5144,0)</f>
        <v/>
      </c>
      <c r="Z5144" s="12" t="inlineStr"/>
      <c r="AA5144" s="12">
        <f>N5144*O5144</f>
        <v/>
      </c>
    </row>
    <row r="5145">
      <c r="A5145" s="12" t="inlineStr">
        <is>
          <t>I-I-0542</t>
        </is>
      </c>
      <c r="B5145" s="12" t="inlineStr">
        <is>
          <t>I</t>
        </is>
      </c>
      <c r="C5145" s="12" t="inlineStr">
        <is>
          <t>Modular / portable power</t>
        </is>
      </c>
      <c r="D5145" s="12" t="inlineStr">
        <is>
          <t>TGF-6 instrumentation</t>
        </is>
      </c>
      <c r="E5145" s="12" t="inlineStr">
        <is>
          <t>TGF-SWG</t>
        </is>
      </c>
      <c r="F5145" s="12" t="inlineStr">
        <is>
          <t>TGF-SWG: mobile 13.8 kV switchgear trailer (fleet collector)</t>
        </is>
      </c>
      <c r="G5145" s="12" t="inlineStr">
        <is>
          <t>TGF-6</t>
        </is>
      </c>
      <c r="H5145" s="12" t="inlineStr">
        <is>
          <t xml:space="preserve">TGF-6: trailer-mounted gas-engine generator ~2.5 MW, 13.8 kV (trailer </t>
        </is>
      </c>
      <c r="I5145" s="12" t="inlineStr">
        <is>
          <t>Instrumentation</t>
        </is>
      </c>
      <c r="J5145" s="12" t="inlineStr">
        <is>
          <t>Instrumentation ITC / PLTC, IS, #18 shielded pairs, blue jacket</t>
        </is>
      </c>
      <c r="K5145" s="12" t="inlineStr">
        <is>
          <t>ITC|4 pr|18</t>
        </is>
      </c>
      <c r="L5145" s="12" t="inlineStr">
        <is>
          <t>4 pr</t>
        </is>
      </c>
      <c r="M5145" s="12" t="inlineStr">
        <is>
          <t>18</t>
        </is>
      </c>
      <c r="N5145" s="12" t="n">
        <v>1</v>
      </c>
      <c r="O5145" s="12" t="n">
        <v>1</v>
      </c>
      <c r="P5145" s="12" t="n"/>
      <c r="Q5145" s="12" t="n"/>
      <c r="R5145" s="12" t="n"/>
      <c r="S5145" s="12" t="inlineStr">
        <is>
          <t>Surface</t>
        </is>
      </c>
      <c r="T5145" s="15" t="n">
        <v>26</v>
      </c>
      <c r="U5145" s="15" t="n">
        <v>27</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I-I-0543</t>
        </is>
      </c>
      <c r="B5146" s="12" t="inlineStr">
        <is>
          <t>I</t>
        </is>
      </c>
      <c r="C5146" s="12" t="inlineStr">
        <is>
          <t>Modular / portable power</t>
        </is>
      </c>
      <c r="D5146" s="12" t="inlineStr">
        <is>
          <t>TGF-GSU monitoring: temperatures, gas relay, oil level</t>
        </is>
      </c>
      <c r="E5146" s="12" t="inlineStr">
        <is>
          <t>TGF-SWG</t>
        </is>
      </c>
      <c r="F5146" s="12" t="inlineStr">
        <is>
          <t>TGF-SWG: mobile 13.8 kV switchgear trailer (fleet collector)</t>
        </is>
      </c>
      <c r="G5146" s="12" t="inlineStr">
        <is>
          <t>TGF-GSU</t>
        </is>
      </c>
      <c r="H5146" s="12" t="inlineStr">
        <is>
          <t>TGF-GSU: 13.8 / 34.5 kV step-up, ~20 MVA (trailer fleet)</t>
        </is>
      </c>
      <c r="I5146" s="12" t="inlineStr">
        <is>
          <t>Instrumentation</t>
        </is>
      </c>
      <c r="J5146" s="12" t="inlineStr">
        <is>
          <t>Instrumentation ITC / PLTC, IS, #18 shielded pairs, blue jacket</t>
        </is>
      </c>
      <c r="K5146" s="12" t="inlineStr">
        <is>
          <t>ITC|4 pr|18</t>
        </is>
      </c>
      <c r="L5146" s="12" t="inlineStr">
        <is>
          <t>4 pr</t>
        </is>
      </c>
      <c r="M5146" s="12" t="inlineStr">
        <is>
          <t>18</t>
        </is>
      </c>
      <c r="N5146" s="12" t="n">
        <v>1</v>
      </c>
      <c r="O5146" s="12" t="n">
        <v>1</v>
      </c>
      <c r="P5146" s="12" t="n"/>
      <c r="Q5146" s="12" t="n"/>
      <c r="R5146" s="12" t="n"/>
      <c r="S5146" s="12" t="inlineStr">
        <is>
          <t>Surface</t>
        </is>
      </c>
      <c r="T5146" s="15" t="n">
        <v>38</v>
      </c>
      <c r="U5146" s="15" t="n">
        <v>27</v>
      </c>
      <c r="V5146" s="15">
        <f>ROUNDUP((T5146+U5146+2*'Read Me'!$B$13)*(1+'Read Me'!$B$12),-1)</f>
        <v/>
      </c>
      <c r="W5146" s="15">
        <f>V5146*N5146*O5146</f>
        <v/>
      </c>
      <c r="X5146" s="12">
        <f>IF(LEFT(I5146,2)="MV",2*N5146*IF(L5146="1/C",O5146,1),0)</f>
        <v/>
      </c>
      <c r="Y5146" s="12">
        <f>IF(OR(LEFT(K5146,4)="LVAX",LEFT(K5146,6)="MV15AX",LEFT(K5146,4)="CTAX",LEFT(K5146,2)="W|"),2*N5146*O5146,0)</f>
        <v/>
      </c>
      <c r="Z5146" s="12" t="inlineStr"/>
      <c r="AA5146" s="12">
        <f>N5146*O5146</f>
        <v/>
      </c>
    </row>
    <row r="5147">
      <c r="A5147" s="12" t="inlineStr">
        <is>
          <t>I-I-0544</t>
        </is>
      </c>
      <c r="B5147" s="12" t="inlineStr">
        <is>
          <t>I</t>
        </is>
      </c>
      <c r="C5147" s="12" t="inlineStr">
        <is>
          <t>Modular / portable power</t>
        </is>
      </c>
      <c r="D5147" s="12" t="inlineStr">
        <is>
          <t>Analog instrument to JB JB-TM-1-AI01: 20 x 1 pr (field cables)</t>
        </is>
      </c>
      <c r="E5147" s="12" t="inlineStr">
        <is>
          <t>TM-1</t>
        </is>
      </c>
      <c r="F5147" s="12" t="inlineStr">
        <is>
          <t>TM-1: trailer-mounted aeroderivative GT (TM2500 class, ~35 MW)</t>
        </is>
      </c>
      <c r="G5147" s="12" t="inlineStr">
        <is>
          <t>JB-TM-1-AI01</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PLTC|1 pr|16</t>
        </is>
      </c>
      <c r="L5147" s="12" t="inlineStr">
        <is>
          <t>1 pr</t>
        </is>
      </c>
      <c r="M5147" s="12" t="inlineStr">
        <is>
          <t>16</t>
        </is>
      </c>
      <c r="N5147" s="12" t="n">
        <v>20</v>
      </c>
      <c r="O5147" s="12" t="n">
        <v>1</v>
      </c>
      <c r="P5147" s="12" t="n"/>
      <c r="Q5147" s="12" t="n"/>
      <c r="R5147" s="12" t="n"/>
      <c r="S5147" s="12" t="inlineStr">
        <is>
          <t>Tray / conduit</t>
        </is>
      </c>
      <c r="T5147" s="15" t="n">
        <v>108</v>
      </c>
      <c r="U5147" s="15" t="n">
        <v>10</v>
      </c>
      <c r="V5147" s="15">
        <f>ROUNDUP((T5147+U5147+2*'Read Me'!$B$13)*(1+'Read Me'!$B$12),-1)</f>
        <v/>
      </c>
      <c r="W5147" s="15">
        <f>V5147*N5147*O5147</f>
        <v/>
      </c>
      <c r="X5147" s="12">
        <f>IF(LEFT(I5147,2)="MV",2*N5147*IF(L5147="1/C",O5147,1),0)</f>
        <v/>
      </c>
      <c r="Y5147" s="12">
        <f>IF(OR(LEFT(K5147,4)="LVAX",LEFT(K5147,6)="MV15AX",LEFT(K5147,4)="CTAX",LEFT(K5147,2)="W|"),2*N5147*O5147,0)</f>
        <v/>
      </c>
      <c r="Z5147" s="12" t="inlineStr">
        <is>
          <t>device-to-JB field wiring, one cable per device</t>
        </is>
      </c>
      <c r="AA5147" s="12">
        <f>N5147*O5147</f>
        <v/>
      </c>
    </row>
    <row r="5148">
      <c r="A5148" s="12" t="inlineStr">
        <is>
          <t>I-I-0545</t>
        </is>
      </c>
      <c r="B5148" s="12" t="inlineStr">
        <is>
          <t>I</t>
        </is>
      </c>
      <c r="C5148" s="12" t="inlineStr">
        <is>
          <t>Modular / portable power</t>
        </is>
      </c>
      <c r="D5148" s="12" t="inlineStr">
        <is>
          <t>Home run JB-TM-1-AI01 to the control / marshalling room</t>
        </is>
      </c>
      <c r="E5148" s="12" t="inlineStr">
        <is>
          <t>PAD-EH</t>
        </is>
      </c>
      <c r="F5148" s="12" t="inlineStr">
        <is>
          <t>PAD-EH 13.8 kV switchgear e-house</t>
        </is>
      </c>
      <c r="G5148" s="12" t="inlineStr">
        <is>
          <t>JB-TM-1-AI01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PLTC|24 pr|18</t>
        </is>
      </c>
      <c r="L5148" s="12" t="inlineStr">
        <is>
          <t>24 pr</t>
        </is>
      </c>
      <c r="M5148" s="12" t="inlineStr">
        <is>
          <t>18</t>
        </is>
      </c>
      <c r="N5148" s="12" t="n">
        <v>1</v>
      </c>
      <c r="O5148" s="12" t="n">
        <v>1</v>
      </c>
      <c r="P5148" s="12" t="n"/>
      <c r="Q5148" s="12" t="n"/>
      <c r="R5148" s="12" t="n"/>
      <c r="S5148" s="12" t="inlineStr">
        <is>
          <t>Duct bank</t>
        </is>
      </c>
      <c r="T5148" s="15" t="n">
        <v>431</v>
      </c>
      <c r="U5148" s="15" t="n">
        <v>39</v>
      </c>
      <c r="V5148" s="15">
        <f>ROUNDUP((T5148+U5148+2*'Read Me'!$B$13)*(1+'Read Me'!$B$12),-1)</f>
        <v/>
      </c>
      <c r="W5148" s="15">
        <f>V5148*N5148*O5148</f>
        <v/>
      </c>
      <c r="X5148" s="12">
        <f>IF(LEFT(I5148,2)="MV",2*N5148*IF(L5148="1/C",O5148,1),0)</f>
        <v/>
      </c>
      <c r="Y5148" s="12">
        <f>IF(OR(LEFT(K5148,4)="LVAX",LEFT(K5148,6)="MV15AX",LEFT(K5148,4)="CTAX",LEFT(K5148,2)="W|"),2*N5148*O5148,0)</f>
        <v/>
      </c>
      <c r="Z5148" s="12" t="inlineStr"/>
      <c r="AA5148" s="12">
        <f>N5148*O5148</f>
        <v/>
      </c>
    </row>
    <row r="5149">
      <c r="A5149" s="12" t="inlineStr">
        <is>
          <t>I-I-0546</t>
        </is>
      </c>
      <c r="B5149" s="12" t="inlineStr">
        <is>
          <t>I</t>
        </is>
      </c>
      <c r="C5149" s="12" t="inlineStr">
        <is>
          <t>Modular / portable power</t>
        </is>
      </c>
      <c r="D5149" s="12" t="inlineStr">
        <is>
          <t>Analog instrument to JB JB-TM-1-AI02: 20 x 1 pr (field cables)</t>
        </is>
      </c>
      <c r="E5149" s="12" t="inlineStr">
        <is>
          <t>TM-1</t>
        </is>
      </c>
      <c r="F5149" s="12" t="inlineStr">
        <is>
          <t>TM-1: trailer-mounted aeroderivative GT (TM2500 class, ~35 MW)</t>
        </is>
      </c>
      <c r="G5149" s="12" t="inlineStr">
        <is>
          <t>JB-TM-1-AI02</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PLTC|1 pr|16</t>
        </is>
      </c>
      <c r="L5149" s="12" t="inlineStr">
        <is>
          <t>1 pr</t>
        </is>
      </c>
      <c r="M5149" s="12" t="inlineStr">
        <is>
          <t>16</t>
        </is>
      </c>
      <c r="N5149" s="12" t="n">
        <v>20</v>
      </c>
      <c r="O5149" s="12" t="n">
        <v>1</v>
      </c>
      <c r="P5149" s="12" t="n"/>
      <c r="Q5149" s="12" t="n"/>
      <c r="R5149" s="12" t="n"/>
      <c r="S5149" s="12" t="inlineStr">
        <is>
          <t>Tray / conduit</t>
        </is>
      </c>
      <c r="T5149" s="15" t="n">
        <v>108</v>
      </c>
      <c r="U5149" s="15" t="n">
        <v>10</v>
      </c>
      <c r="V5149" s="15">
        <f>ROUNDUP((T5149+U5149+2*'Read Me'!$B$13)*(1+'Read Me'!$B$12),-1)</f>
        <v/>
      </c>
      <c r="W5149" s="15">
        <f>V5149*N5149*O5149</f>
        <v/>
      </c>
      <c r="X5149" s="12">
        <f>IF(LEFT(I5149,2)="MV",2*N5149*IF(L5149="1/C",O5149,1),0)</f>
        <v/>
      </c>
      <c r="Y5149" s="12">
        <f>IF(OR(LEFT(K5149,4)="LVAX",LEFT(K5149,6)="MV15AX",LEFT(K5149,4)="CTAX",LEFT(K5149,2)="W|"),2*N5149*O5149,0)</f>
        <v/>
      </c>
      <c r="Z5149" s="12" t="inlineStr">
        <is>
          <t>device-to-JB field wiring, one cable per device</t>
        </is>
      </c>
      <c r="AA5149" s="12">
        <f>N5149*O5149</f>
        <v/>
      </c>
    </row>
    <row r="5150">
      <c r="A5150" s="12" t="inlineStr">
        <is>
          <t>I-I-0547</t>
        </is>
      </c>
      <c r="B5150" s="12" t="inlineStr">
        <is>
          <t>I</t>
        </is>
      </c>
      <c r="C5150" s="12" t="inlineStr">
        <is>
          <t>Modular / portable power</t>
        </is>
      </c>
      <c r="D5150" s="12" t="inlineStr">
        <is>
          <t>Home run JB-TM-1-AI02 to the control / marshalling room</t>
        </is>
      </c>
      <c r="E5150" s="12" t="inlineStr">
        <is>
          <t>PAD-EH</t>
        </is>
      </c>
      <c r="F5150" s="12" t="inlineStr">
        <is>
          <t>PAD-EH 13.8 kV switchgear e-house</t>
        </is>
      </c>
      <c r="G5150" s="12" t="inlineStr">
        <is>
          <t>JB-TM-1-AI02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PLTC|24 pr|18</t>
        </is>
      </c>
      <c r="L5150" s="12" t="inlineStr">
        <is>
          <t>24 pr</t>
        </is>
      </c>
      <c r="M5150" s="12" t="inlineStr">
        <is>
          <t>18</t>
        </is>
      </c>
      <c r="N5150" s="12" t="n">
        <v>1</v>
      </c>
      <c r="O5150" s="12" t="n">
        <v>1</v>
      </c>
      <c r="P5150" s="12" t="n"/>
      <c r="Q5150" s="12" t="n"/>
      <c r="R5150" s="12" t="n"/>
      <c r="S5150" s="12" t="inlineStr">
        <is>
          <t>Duct bank</t>
        </is>
      </c>
      <c r="T5150" s="15" t="n">
        <v>431</v>
      </c>
      <c r="U5150" s="15" t="n">
        <v>39</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I-I-0548</t>
        </is>
      </c>
      <c r="B5151" s="12" t="inlineStr">
        <is>
          <t>I</t>
        </is>
      </c>
      <c r="C5151" s="12" t="inlineStr">
        <is>
          <t>Modular / portable power</t>
        </is>
      </c>
      <c r="D5151" s="12" t="inlineStr">
        <is>
          <t>Analog instrument to JB JB-TM-1-AI03: 20 x 1 pr (field cables)</t>
        </is>
      </c>
      <c r="E5151" s="12" t="inlineStr">
        <is>
          <t>TM-1</t>
        </is>
      </c>
      <c r="F5151" s="12" t="inlineStr">
        <is>
          <t>TM-1: trailer-mounted aeroderivative GT (TM2500 class, ~35 MW)</t>
        </is>
      </c>
      <c r="G5151" s="12" t="inlineStr">
        <is>
          <t>JB-TM-1-AI03</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PLTC|1 pr|16</t>
        </is>
      </c>
      <c r="L5151" s="12" t="inlineStr">
        <is>
          <t>1 pr</t>
        </is>
      </c>
      <c r="M5151" s="12" t="inlineStr">
        <is>
          <t>16</t>
        </is>
      </c>
      <c r="N5151" s="12" t="n">
        <v>20</v>
      </c>
      <c r="O5151" s="12" t="n">
        <v>1</v>
      </c>
      <c r="P5151" s="12" t="n"/>
      <c r="Q5151" s="12" t="n"/>
      <c r="R5151" s="12" t="n"/>
      <c r="S5151" s="12" t="inlineStr">
        <is>
          <t>Tray / conduit</t>
        </is>
      </c>
      <c r="T5151" s="15" t="n">
        <v>108</v>
      </c>
      <c r="U5151" s="15" t="n">
        <v>10</v>
      </c>
      <c r="V5151" s="15">
        <f>ROUNDUP((T5151+U5151+2*'Read Me'!$B$13)*(1+'Read Me'!$B$12),-1)</f>
        <v/>
      </c>
      <c r="W5151" s="15">
        <f>V5151*N5151*O5151</f>
        <v/>
      </c>
      <c r="X5151" s="12">
        <f>IF(LEFT(I5151,2)="MV",2*N5151*IF(L5151="1/C",O5151,1),0)</f>
        <v/>
      </c>
      <c r="Y5151" s="12">
        <f>IF(OR(LEFT(K5151,4)="LVAX",LEFT(K5151,6)="MV15AX",LEFT(K5151,4)="CTAX",LEFT(K5151,2)="W|"),2*N5151*O5151,0)</f>
        <v/>
      </c>
      <c r="Z5151" s="12" t="inlineStr">
        <is>
          <t>device-to-JB field wiring, one cable per device</t>
        </is>
      </c>
      <c r="AA5151" s="12">
        <f>N5151*O5151</f>
        <v/>
      </c>
    </row>
    <row r="5152">
      <c r="A5152" s="12" t="inlineStr">
        <is>
          <t>I-I-0549</t>
        </is>
      </c>
      <c r="B5152" s="12" t="inlineStr">
        <is>
          <t>I</t>
        </is>
      </c>
      <c r="C5152" s="12" t="inlineStr">
        <is>
          <t>Modular / portable power</t>
        </is>
      </c>
      <c r="D5152" s="12" t="inlineStr">
        <is>
          <t>Home run JB-TM-1-AI03 to the control / marshalling room</t>
        </is>
      </c>
      <c r="E5152" s="12" t="inlineStr">
        <is>
          <t>PAD-EH</t>
        </is>
      </c>
      <c r="F5152" s="12" t="inlineStr">
        <is>
          <t>PAD-EH 13.8 kV switchgear e-house</t>
        </is>
      </c>
      <c r="G5152" s="12" t="inlineStr">
        <is>
          <t>JB-TM-1-AI03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PLTC|24 pr|18</t>
        </is>
      </c>
      <c r="L5152" s="12" t="inlineStr">
        <is>
          <t>24 pr</t>
        </is>
      </c>
      <c r="M5152" s="12" t="inlineStr">
        <is>
          <t>18</t>
        </is>
      </c>
      <c r="N5152" s="12" t="n">
        <v>1</v>
      </c>
      <c r="O5152" s="12" t="n">
        <v>1</v>
      </c>
      <c r="P5152" s="12" t="n"/>
      <c r="Q5152" s="12" t="n"/>
      <c r="R5152" s="12" t="n"/>
      <c r="S5152" s="12" t="inlineStr">
        <is>
          <t>Duct bank</t>
        </is>
      </c>
      <c r="T5152" s="15" t="n">
        <v>431</v>
      </c>
      <c r="U5152" s="15" t="n">
        <v>39</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I-I-0550</t>
        </is>
      </c>
      <c r="B5153" s="12" t="inlineStr">
        <is>
          <t>I</t>
        </is>
      </c>
      <c r="C5153" s="12" t="inlineStr">
        <is>
          <t>Modular / portable power</t>
        </is>
      </c>
      <c r="D5153" s="12" t="inlineStr">
        <is>
          <t>Analog instrument to JB JB-TM-1-AI04: 20 x 1 pr (field cables)</t>
        </is>
      </c>
      <c r="E5153" s="12" t="inlineStr">
        <is>
          <t>TM-1</t>
        </is>
      </c>
      <c r="F5153" s="12" t="inlineStr">
        <is>
          <t>TM-1: trailer-mounted aeroderivative GT (TM2500 class, ~35 MW)</t>
        </is>
      </c>
      <c r="G5153" s="12" t="inlineStr">
        <is>
          <t>JB-TM-1-AI04</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PLTC|1 pr|16</t>
        </is>
      </c>
      <c r="L5153" s="12" t="inlineStr">
        <is>
          <t>1 pr</t>
        </is>
      </c>
      <c r="M5153" s="12" t="inlineStr">
        <is>
          <t>16</t>
        </is>
      </c>
      <c r="N5153" s="12" t="n">
        <v>20</v>
      </c>
      <c r="O5153" s="12" t="n">
        <v>1</v>
      </c>
      <c r="P5153" s="12" t="n"/>
      <c r="Q5153" s="12" t="n"/>
      <c r="R5153" s="12" t="n"/>
      <c r="S5153" s="12" t="inlineStr">
        <is>
          <t>Tray / conduit</t>
        </is>
      </c>
      <c r="T5153" s="15" t="n">
        <v>108</v>
      </c>
      <c r="U5153" s="15" t="n">
        <v>10</v>
      </c>
      <c r="V5153" s="15">
        <f>ROUNDUP((T5153+U5153+2*'Read Me'!$B$13)*(1+'Read Me'!$B$12),-1)</f>
        <v/>
      </c>
      <c r="W5153" s="15">
        <f>V5153*N5153*O5153</f>
        <v/>
      </c>
      <c r="X5153" s="12">
        <f>IF(LEFT(I5153,2)="MV",2*N5153*IF(L5153="1/C",O5153,1),0)</f>
        <v/>
      </c>
      <c r="Y5153" s="12">
        <f>IF(OR(LEFT(K5153,4)="LVAX",LEFT(K5153,6)="MV15AX",LEFT(K5153,4)="CTAX",LEFT(K5153,2)="W|"),2*N5153*O5153,0)</f>
        <v/>
      </c>
      <c r="Z5153" s="12" t="inlineStr">
        <is>
          <t>device-to-JB field wiring, one cable per device</t>
        </is>
      </c>
      <c r="AA5153" s="12">
        <f>N5153*O5153</f>
        <v/>
      </c>
    </row>
    <row r="5154">
      <c r="A5154" s="12" t="inlineStr">
        <is>
          <t>I-I-0551</t>
        </is>
      </c>
      <c r="B5154" s="12" t="inlineStr">
        <is>
          <t>I</t>
        </is>
      </c>
      <c r="C5154" s="12" t="inlineStr">
        <is>
          <t>Modular / portable power</t>
        </is>
      </c>
      <c r="D5154" s="12" t="inlineStr">
        <is>
          <t>Home run JB-TM-1-AI04 to the control / marshalling room</t>
        </is>
      </c>
      <c r="E5154" s="12" t="inlineStr">
        <is>
          <t>PAD-EH</t>
        </is>
      </c>
      <c r="F5154" s="12" t="inlineStr">
        <is>
          <t>PAD-EH 13.8 kV switchgear e-house</t>
        </is>
      </c>
      <c r="G5154" s="12" t="inlineStr">
        <is>
          <t>JB-TM-1-AI04</t>
        </is>
      </c>
      <c r="H5154" s="12" t="inlineStr">
        <is>
          <t>TM-1: trailer-mounted aeroderivative GT (TM2500 class, ~35 MW)</t>
        </is>
      </c>
      <c r="I5154" s="12" t="inlineStr">
        <is>
          <t>Instrumentation</t>
        </is>
      </c>
      <c r="J5154" s="12" t="inlineStr">
        <is>
          <t>Instrumentation PLTC / TC-ER 300 V, #18 twisted shielded pairs, overall shield</t>
        </is>
      </c>
      <c r="K5154" s="12" t="inlineStr">
        <is>
          <t>PLTC|24 pr|18</t>
        </is>
      </c>
      <c r="L5154" s="12" t="inlineStr">
        <is>
          <t>24 pr</t>
        </is>
      </c>
      <c r="M5154" s="12" t="inlineStr">
        <is>
          <t>18</t>
        </is>
      </c>
      <c r="N5154" s="12" t="n">
        <v>1</v>
      </c>
      <c r="O5154" s="12" t="n">
        <v>1</v>
      </c>
      <c r="P5154" s="12" t="n"/>
      <c r="Q5154" s="12" t="n"/>
      <c r="R5154" s="12" t="n"/>
      <c r="S5154" s="12" t="inlineStr">
        <is>
          <t>Duct bank</t>
        </is>
      </c>
      <c r="T5154" s="15" t="n">
        <v>431</v>
      </c>
      <c r="U5154" s="15" t="n">
        <v>39</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I-I-0552</t>
        </is>
      </c>
      <c r="B5155" s="12" t="inlineStr">
        <is>
          <t>I</t>
        </is>
      </c>
      <c r="C5155" s="12" t="inlineStr">
        <is>
          <t>Modular / portable power</t>
        </is>
      </c>
      <c r="D5155" s="12" t="inlineStr">
        <is>
          <t>Analog instrument to JB JB-TM-1-AI05: 20 x 1 pr (field cables)</t>
        </is>
      </c>
      <c r="E5155" s="12" t="inlineStr">
        <is>
          <t>TM-1</t>
        </is>
      </c>
      <c r="F5155" s="12" t="inlineStr">
        <is>
          <t>TM-1: trailer-mounted aeroderivative GT (TM2500 class, ~35 MW)</t>
        </is>
      </c>
      <c r="G5155" s="12" t="inlineStr">
        <is>
          <t>JB-TM-1-AI05</t>
        </is>
      </c>
      <c r="H5155" s="12" t="inlineStr">
        <is>
          <t>TM-1: trailer-mounted aeroderivative GT (TM2500 class, ~35 MW)</t>
        </is>
      </c>
      <c r="I5155" s="12" t="inlineStr">
        <is>
          <t>Instrumentation</t>
        </is>
      </c>
      <c r="J5155" s="12" t="inlineStr">
        <is>
          <t>Instrumentation PLTC / TC-ER 300 V, #18 twisted shielded pairs, overall shield</t>
        </is>
      </c>
      <c r="K5155" s="12" t="inlineStr">
        <is>
          <t>PLTC|1 pr|16</t>
        </is>
      </c>
      <c r="L5155" s="12" t="inlineStr">
        <is>
          <t>1 pr</t>
        </is>
      </c>
      <c r="M5155" s="12" t="inlineStr">
        <is>
          <t>16</t>
        </is>
      </c>
      <c r="N5155" s="12" t="n">
        <v>20</v>
      </c>
      <c r="O5155" s="12" t="n">
        <v>1</v>
      </c>
      <c r="P5155" s="12" t="n"/>
      <c r="Q5155" s="12" t="n"/>
      <c r="R5155" s="12" t="n"/>
      <c r="S5155" s="12" t="inlineStr">
        <is>
          <t>Tray / conduit</t>
        </is>
      </c>
      <c r="T5155" s="15" t="n">
        <v>108</v>
      </c>
      <c r="U5155" s="15" t="n">
        <v>10</v>
      </c>
      <c r="V5155" s="15">
        <f>ROUNDUP((T5155+U5155+2*'Read Me'!$B$13)*(1+'Read Me'!$B$12),-1)</f>
        <v/>
      </c>
      <c r="W5155" s="15">
        <f>V5155*N5155*O5155</f>
        <v/>
      </c>
      <c r="X5155" s="12">
        <f>IF(LEFT(I5155,2)="MV",2*N5155*IF(L5155="1/C",O5155,1),0)</f>
        <v/>
      </c>
      <c r="Y5155" s="12">
        <f>IF(OR(LEFT(K5155,4)="LVAX",LEFT(K5155,6)="MV15AX",LEFT(K5155,4)="CTAX",LEFT(K5155,2)="W|"),2*N5155*O5155,0)</f>
        <v/>
      </c>
      <c r="Z5155" s="12" t="inlineStr">
        <is>
          <t>device-to-JB field wiring, one cable per device</t>
        </is>
      </c>
      <c r="AA5155" s="12">
        <f>N5155*O5155</f>
        <v/>
      </c>
    </row>
    <row r="5156">
      <c r="A5156" s="12" t="inlineStr">
        <is>
          <t>I-I-0553</t>
        </is>
      </c>
      <c r="B5156" s="12" t="inlineStr">
        <is>
          <t>I</t>
        </is>
      </c>
      <c r="C5156" s="12" t="inlineStr">
        <is>
          <t>Modular / portable power</t>
        </is>
      </c>
      <c r="D5156" s="12" t="inlineStr">
        <is>
          <t>Home run JB-TM-1-AI05 to the control / marshalling room</t>
        </is>
      </c>
      <c r="E5156" s="12" t="inlineStr">
        <is>
          <t>PAD-EH</t>
        </is>
      </c>
      <c r="F5156" s="12" t="inlineStr">
        <is>
          <t>PAD-EH 13.8 kV switchgear e-house</t>
        </is>
      </c>
      <c r="G5156" s="12" t="inlineStr">
        <is>
          <t>JB-TM-1-AI05</t>
        </is>
      </c>
      <c r="H5156" s="12" t="inlineStr">
        <is>
          <t>TM-1: trailer-mounted aeroderivative GT (TM2500 class, ~35 MW)</t>
        </is>
      </c>
      <c r="I5156" s="12" t="inlineStr">
        <is>
          <t>Instrumentation</t>
        </is>
      </c>
      <c r="J5156" s="12" t="inlineStr">
        <is>
          <t>Instrumentation PLTC / TC-ER 300 V, #18 twisted shielded pairs, overall shield</t>
        </is>
      </c>
      <c r="K5156" s="12" t="inlineStr">
        <is>
          <t>PLTC|24 pr|18</t>
        </is>
      </c>
      <c r="L5156" s="12" t="inlineStr">
        <is>
          <t>24 pr</t>
        </is>
      </c>
      <c r="M5156" s="12" t="inlineStr">
        <is>
          <t>18</t>
        </is>
      </c>
      <c r="N5156" s="12" t="n">
        <v>1</v>
      </c>
      <c r="O5156" s="12" t="n">
        <v>1</v>
      </c>
      <c r="P5156" s="12" t="n"/>
      <c r="Q5156" s="12" t="n"/>
      <c r="R5156" s="12" t="n"/>
      <c r="S5156" s="12" t="inlineStr">
        <is>
          <t>Duct bank</t>
        </is>
      </c>
      <c r="T5156" s="15" t="n">
        <v>431</v>
      </c>
      <c r="U5156" s="15" t="n">
        <v>39</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I-I-0554</t>
        </is>
      </c>
      <c r="B5157" s="12" t="inlineStr">
        <is>
          <t>I</t>
        </is>
      </c>
      <c r="C5157" s="12" t="inlineStr">
        <is>
          <t>Modular / portable power</t>
        </is>
      </c>
      <c r="D5157" s="12" t="inlineStr">
        <is>
          <t>Discrete device to JB JB-TM-1-DI01: 20 x 1 pr (field cables)</t>
        </is>
      </c>
      <c r="E5157" s="12" t="inlineStr">
        <is>
          <t>TM-1</t>
        </is>
      </c>
      <c r="F5157" s="12" t="inlineStr">
        <is>
          <t>TM-1: trailer-mounted aeroderivative GT (TM2500 class, ~35 MW)</t>
        </is>
      </c>
      <c r="G5157" s="12" t="inlineStr">
        <is>
          <t>JB-TM-1-DI01</t>
        </is>
      </c>
      <c r="H5157" s="12" t="inlineStr">
        <is>
          <t>TM-1: trailer-mounted aeroderivative GT (TM2500 class, ~35 MW)</t>
        </is>
      </c>
      <c r="I5157" s="12" t="inlineStr">
        <is>
          <t>Instrumentation</t>
        </is>
      </c>
      <c r="J5157" s="12" t="inlineStr">
        <is>
          <t>Instrumentation PLTC / TC-ER 300 V, #18 twisted shielded pairs, overall shield</t>
        </is>
      </c>
      <c r="K5157" s="12" t="inlineStr">
        <is>
          <t>PLTC|1 pr|16</t>
        </is>
      </c>
      <c r="L5157" s="12" t="inlineStr">
        <is>
          <t>1 pr</t>
        </is>
      </c>
      <c r="M5157" s="12" t="inlineStr">
        <is>
          <t>16</t>
        </is>
      </c>
      <c r="N5157" s="12" t="n">
        <v>20</v>
      </c>
      <c r="O5157" s="12" t="n">
        <v>1</v>
      </c>
      <c r="P5157" s="12" t="n"/>
      <c r="Q5157" s="12" t="n"/>
      <c r="R5157" s="12" t="n"/>
      <c r="S5157" s="12" t="inlineStr">
        <is>
          <t>Tray / conduit</t>
        </is>
      </c>
      <c r="T5157" s="15" t="n">
        <v>108</v>
      </c>
      <c r="U5157" s="15" t="n">
        <v>10</v>
      </c>
      <c r="V5157" s="15">
        <f>ROUNDUP((T5157+U5157+2*'Read Me'!$B$13)*(1+'Read Me'!$B$12),-1)</f>
        <v/>
      </c>
      <c r="W5157" s="15">
        <f>V5157*N5157*O5157</f>
        <v/>
      </c>
      <c r="X5157" s="12">
        <f>IF(LEFT(I5157,2)="MV",2*N5157*IF(L5157="1/C",O5157,1),0)</f>
        <v/>
      </c>
      <c r="Y5157" s="12">
        <f>IF(OR(LEFT(K5157,4)="LVAX",LEFT(K5157,6)="MV15AX",LEFT(K5157,4)="CTAX",LEFT(K5157,2)="W|"),2*N5157*O5157,0)</f>
        <v/>
      </c>
      <c r="Z5157" s="12" t="inlineStr">
        <is>
          <t>device-to-JB field wiring, one cable per device</t>
        </is>
      </c>
      <c r="AA5157" s="12">
        <f>N5157*O5157</f>
        <v/>
      </c>
    </row>
    <row r="5158">
      <c r="A5158" s="12" t="inlineStr">
        <is>
          <t>I-I-0555</t>
        </is>
      </c>
      <c r="B5158" s="12" t="inlineStr">
        <is>
          <t>I</t>
        </is>
      </c>
      <c r="C5158" s="12" t="inlineStr">
        <is>
          <t>Modular / portable power</t>
        </is>
      </c>
      <c r="D5158" s="12" t="inlineStr">
        <is>
          <t>Home run JB-TM-1-DI01 to the control / marshalling room</t>
        </is>
      </c>
      <c r="E5158" s="12" t="inlineStr">
        <is>
          <t>PAD-EH</t>
        </is>
      </c>
      <c r="F5158" s="12" t="inlineStr">
        <is>
          <t>PAD-EH 13.8 kV switchgear e-house</t>
        </is>
      </c>
      <c r="G5158" s="12" t="inlineStr">
        <is>
          <t>JB-TM-1-DI01</t>
        </is>
      </c>
      <c r="H5158" s="12" t="inlineStr">
        <is>
          <t>TM-1: trailer-mounted aeroderivative GT (TM2500 class, ~35 MW)</t>
        </is>
      </c>
      <c r="I5158" s="12" t="inlineStr">
        <is>
          <t>Instrumentation</t>
        </is>
      </c>
      <c r="J5158" s="12" t="inlineStr">
        <is>
          <t>Instrumentation PLTC / TC-ER 300 V, #18 twisted shielded pairs, overall shield</t>
        </is>
      </c>
      <c r="K5158" s="12" t="inlineStr">
        <is>
          <t>PLTC|24 pr|18</t>
        </is>
      </c>
      <c r="L5158" s="12" t="inlineStr">
        <is>
          <t>24 pr</t>
        </is>
      </c>
      <c r="M5158" s="12" t="inlineStr">
        <is>
          <t>18</t>
        </is>
      </c>
      <c r="N5158" s="12" t="n">
        <v>1</v>
      </c>
      <c r="O5158" s="12" t="n">
        <v>1</v>
      </c>
      <c r="P5158" s="12" t="n"/>
      <c r="Q5158" s="12" t="n"/>
      <c r="R5158" s="12" t="n"/>
      <c r="S5158" s="12" t="inlineStr">
        <is>
          <t>Duct bank</t>
        </is>
      </c>
      <c r="T5158" s="15" t="n">
        <v>431</v>
      </c>
      <c r="U5158" s="15" t="n">
        <v>39</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I-I-0556</t>
        </is>
      </c>
      <c r="B5159" s="12" t="inlineStr">
        <is>
          <t>I</t>
        </is>
      </c>
      <c r="C5159" s="12" t="inlineStr">
        <is>
          <t>Modular / portable power</t>
        </is>
      </c>
      <c r="D5159" s="12" t="inlineStr">
        <is>
          <t>Discrete device to JB JB-TM-1-DI02: 20 x 1 pr (field cables)</t>
        </is>
      </c>
      <c r="E5159" s="12" t="inlineStr">
        <is>
          <t>TM-1</t>
        </is>
      </c>
      <c r="F5159" s="12" t="inlineStr">
        <is>
          <t>TM-1: trailer-mounted aeroderivative GT (TM2500 class, ~35 MW)</t>
        </is>
      </c>
      <c r="G5159" s="12" t="inlineStr">
        <is>
          <t>JB-TM-1-DI02</t>
        </is>
      </c>
      <c r="H5159" s="12" t="inlineStr">
        <is>
          <t>TM-1: trailer-mounted aeroderivative GT (TM2500 class, ~35 MW)</t>
        </is>
      </c>
      <c r="I5159" s="12" t="inlineStr">
        <is>
          <t>Instrumentation</t>
        </is>
      </c>
      <c r="J5159" s="12" t="inlineStr">
        <is>
          <t>Instrumentation PLTC / TC-ER 300 V, #18 twisted shielded pairs, overall shield</t>
        </is>
      </c>
      <c r="K5159" s="12" t="inlineStr">
        <is>
          <t>PLTC|1 pr|16</t>
        </is>
      </c>
      <c r="L5159" s="12" t="inlineStr">
        <is>
          <t>1 pr</t>
        </is>
      </c>
      <c r="M5159" s="12" t="inlineStr">
        <is>
          <t>16</t>
        </is>
      </c>
      <c r="N5159" s="12" t="n">
        <v>20</v>
      </c>
      <c r="O5159" s="12" t="n">
        <v>1</v>
      </c>
      <c r="P5159" s="12" t="n"/>
      <c r="Q5159" s="12" t="n"/>
      <c r="R5159" s="12" t="n"/>
      <c r="S5159" s="12" t="inlineStr">
        <is>
          <t>Tray / conduit</t>
        </is>
      </c>
      <c r="T5159" s="15" t="n">
        <v>108</v>
      </c>
      <c r="U5159" s="15" t="n">
        <v>10</v>
      </c>
      <c r="V5159" s="15">
        <f>ROUNDUP((T5159+U5159+2*'Read Me'!$B$13)*(1+'Read Me'!$B$12),-1)</f>
        <v/>
      </c>
      <c r="W5159" s="15">
        <f>V5159*N5159*O5159</f>
        <v/>
      </c>
      <c r="X5159" s="12">
        <f>IF(LEFT(I5159,2)="MV",2*N5159*IF(L5159="1/C",O5159,1),0)</f>
        <v/>
      </c>
      <c r="Y5159" s="12">
        <f>IF(OR(LEFT(K5159,4)="LVAX",LEFT(K5159,6)="MV15AX",LEFT(K5159,4)="CTAX",LEFT(K5159,2)="W|"),2*N5159*O5159,0)</f>
        <v/>
      </c>
      <c r="Z5159" s="12" t="inlineStr">
        <is>
          <t>device-to-JB field wiring, one cable per device</t>
        </is>
      </c>
      <c r="AA5159" s="12">
        <f>N5159*O5159</f>
        <v/>
      </c>
    </row>
    <row r="5160">
      <c r="A5160" s="12" t="inlineStr">
        <is>
          <t>I-I-0557</t>
        </is>
      </c>
      <c r="B5160" s="12" t="inlineStr">
        <is>
          <t>I</t>
        </is>
      </c>
      <c r="C5160" s="12" t="inlineStr">
        <is>
          <t>Modular / portable power</t>
        </is>
      </c>
      <c r="D5160" s="12" t="inlineStr">
        <is>
          <t>Home run JB-TM-1-DI02 to the control / marshalling room</t>
        </is>
      </c>
      <c r="E5160" s="12" t="inlineStr">
        <is>
          <t>PAD-EH</t>
        </is>
      </c>
      <c r="F5160" s="12" t="inlineStr">
        <is>
          <t>PAD-EH 13.8 kV switchgear e-house</t>
        </is>
      </c>
      <c r="G5160" s="12" t="inlineStr">
        <is>
          <t>JB-TM-1-DI02</t>
        </is>
      </c>
      <c r="H5160" s="12" t="inlineStr">
        <is>
          <t>TM-1: trailer-mounted aeroderivative GT (TM2500 class, ~35 MW)</t>
        </is>
      </c>
      <c r="I5160" s="12" t="inlineStr">
        <is>
          <t>Instrumentation</t>
        </is>
      </c>
      <c r="J5160" s="12" t="inlineStr">
        <is>
          <t>Instrumentation PLTC / TC-ER 300 V, #18 twisted shielded pairs, overall shield</t>
        </is>
      </c>
      <c r="K5160" s="12" t="inlineStr">
        <is>
          <t>PLTC|24 pr|18</t>
        </is>
      </c>
      <c r="L5160" s="12" t="inlineStr">
        <is>
          <t>24 pr</t>
        </is>
      </c>
      <c r="M5160" s="12" t="inlineStr">
        <is>
          <t>18</t>
        </is>
      </c>
      <c r="N5160" s="12" t="n">
        <v>1</v>
      </c>
      <c r="O5160" s="12" t="n">
        <v>1</v>
      </c>
      <c r="P5160" s="12" t="n"/>
      <c r="Q5160" s="12" t="n"/>
      <c r="R5160" s="12" t="n"/>
      <c r="S5160" s="12" t="inlineStr">
        <is>
          <t>Duct bank</t>
        </is>
      </c>
      <c r="T5160" s="15" t="n">
        <v>431</v>
      </c>
      <c r="U5160" s="15" t="n">
        <v>39</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I-I-0558</t>
        </is>
      </c>
      <c r="B5161" s="12" t="inlineStr">
        <is>
          <t>I</t>
        </is>
      </c>
      <c r="C5161" s="12" t="inlineStr">
        <is>
          <t>Modular / portable power</t>
        </is>
      </c>
      <c r="D5161" s="12" t="inlineStr">
        <is>
          <t>Discrete device to JB JB-TM-1-DI03: 20 x 1 pr (field cables)</t>
        </is>
      </c>
      <c r="E5161" s="12" t="inlineStr">
        <is>
          <t>TM-1</t>
        </is>
      </c>
      <c r="F5161" s="12" t="inlineStr">
        <is>
          <t>TM-1: trailer-mounted aeroderivative GT (TM2500 class, ~35 MW)</t>
        </is>
      </c>
      <c r="G5161" s="12" t="inlineStr">
        <is>
          <t>JB-TM-1-DI03</t>
        </is>
      </c>
      <c r="H5161" s="12" t="inlineStr">
        <is>
          <t>TM-1: trailer-mounted aeroderivative GT (TM2500 class, ~35 MW)</t>
        </is>
      </c>
      <c r="I5161" s="12" t="inlineStr">
        <is>
          <t>Instrumentation</t>
        </is>
      </c>
      <c r="J5161" s="12" t="inlineStr">
        <is>
          <t>Instrumentation PLTC / TC-ER 300 V, #18 twisted shielded pairs, overall shield</t>
        </is>
      </c>
      <c r="K5161" s="12" t="inlineStr">
        <is>
          <t>PLTC|1 pr|16</t>
        </is>
      </c>
      <c r="L5161" s="12" t="inlineStr">
        <is>
          <t>1 pr</t>
        </is>
      </c>
      <c r="M5161" s="12" t="inlineStr">
        <is>
          <t>16</t>
        </is>
      </c>
      <c r="N5161" s="12" t="n">
        <v>20</v>
      </c>
      <c r="O5161" s="12" t="n">
        <v>1</v>
      </c>
      <c r="P5161" s="12" t="n"/>
      <c r="Q5161" s="12" t="n"/>
      <c r="R5161" s="12" t="n"/>
      <c r="S5161" s="12" t="inlineStr">
        <is>
          <t>Tray / conduit</t>
        </is>
      </c>
      <c r="T5161" s="15" t="n">
        <v>108</v>
      </c>
      <c r="U5161" s="15" t="n">
        <v>10</v>
      </c>
      <c r="V5161" s="15">
        <f>ROUNDUP((T5161+U5161+2*'Read Me'!$B$13)*(1+'Read Me'!$B$12),-1)</f>
        <v/>
      </c>
      <c r="W5161" s="15">
        <f>V5161*N5161*O5161</f>
        <v/>
      </c>
      <c r="X5161" s="12">
        <f>IF(LEFT(I5161,2)="MV",2*N5161*IF(L5161="1/C",O5161,1),0)</f>
        <v/>
      </c>
      <c r="Y5161" s="12">
        <f>IF(OR(LEFT(K5161,4)="LVAX",LEFT(K5161,6)="MV15AX",LEFT(K5161,4)="CTAX",LEFT(K5161,2)="W|"),2*N5161*O5161,0)</f>
        <v/>
      </c>
      <c r="Z5161" s="12" t="inlineStr">
        <is>
          <t>device-to-JB field wiring, one cable per device</t>
        </is>
      </c>
      <c r="AA5161" s="12">
        <f>N5161*O5161</f>
        <v/>
      </c>
    </row>
    <row r="5162">
      <c r="A5162" s="12" t="inlineStr">
        <is>
          <t>I-I-0559</t>
        </is>
      </c>
      <c r="B5162" s="12" t="inlineStr">
        <is>
          <t>I</t>
        </is>
      </c>
      <c r="C5162" s="12" t="inlineStr">
        <is>
          <t>Modular / portable power</t>
        </is>
      </c>
      <c r="D5162" s="12" t="inlineStr">
        <is>
          <t>Home run JB-TM-1-DI03 to the control / marshalling room</t>
        </is>
      </c>
      <c r="E5162" s="12" t="inlineStr">
        <is>
          <t>PAD-EH</t>
        </is>
      </c>
      <c r="F5162" s="12" t="inlineStr">
        <is>
          <t>PAD-EH 13.8 kV switchgear e-house</t>
        </is>
      </c>
      <c r="G5162" s="12" t="inlineStr">
        <is>
          <t>JB-TM-1-DI03</t>
        </is>
      </c>
      <c r="H5162" s="12" t="inlineStr">
        <is>
          <t>TM-1: trailer-mounted aeroderivative GT (TM2500 class, ~35 MW)</t>
        </is>
      </c>
      <c r="I5162" s="12" t="inlineStr">
        <is>
          <t>Instrumentation</t>
        </is>
      </c>
      <c r="J5162" s="12" t="inlineStr">
        <is>
          <t>Instrumentation PLTC / TC-ER 300 V, #18 twisted shielded pairs, overall shield</t>
        </is>
      </c>
      <c r="K5162" s="12" t="inlineStr">
        <is>
          <t>PLTC|24 pr|18</t>
        </is>
      </c>
      <c r="L5162" s="12" t="inlineStr">
        <is>
          <t>24 pr</t>
        </is>
      </c>
      <c r="M5162" s="12" t="inlineStr">
        <is>
          <t>18</t>
        </is>
      </c>
      <c r="N5162" s="12" t="n">
        <v>1</v>
      </c>
      <c r="O5162" s="12" t="n">
        <v>1</v>
      </c>
      <c r="P5162" s="12" t="n"/>
      <c r="Q5162" s="12" t="n"/>
      <c r="R5162" s="12" t="n"/>
      <c r="S5162" s="12" t="inlineStr">
        <is>
          <t>Duct bank</t>
        </is>
      </c>
      <c r="T5162" s="15" t="n">
        <v>431</v>
      </c>
      <c r="U5162" s="15" t="n">
        <v>39</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I-I-0560</t>
        </is>
      </c>
      <c r="B5163" s="12" t="inlineStr">
        <is>
          <t>I</t>
        </is>
      </c>
      <c r="C5163" s="12" t="inlineStr">
        <is>
          <t>Modular / portable power</t>
        </is>
      </c>
      <c r="D5163" s="12" t="inlineStr">
        <is>
          <t>Thermocouple to TC JB JB-TM-1-TC01: 20 x 1 pr (field cables)</t>
        </is>
      </c>
      <c r="E5163" s="12" t="inlineStr">
        <is>
          <t>TM-1</t>
        </is>
      </c>
      <c r="F5163" s="12" t="inlineStr">
        <is>
          <t>TM-1: trailer-mounted aeroderivative GT (TM2500 class, ~35 MW)</t>
        </is>
      </c>
      <c r="G5163" s="12" t="inlineStr">
        <is>
          <t>JB-TM-1-TC01</t>
        </is>
      </c>
      <c r="H5163" s="12" t="inlineStr">
        <is>
          <t>TM-1: trailer-mounted aeroderivative GT (TM2500 class, ~35 MW)</t>
        </is>
      </c>
      <c r="I5163" s="12" t="inlineStr">
        <is>
          <t>Instrumentation</t>
        </is>
      </c>
      <c r="J5163" s="12" t="inlineStr">
        <is>
          <t>Thermocouple extension KX, #16 shielded pairs, PLTC</t>
        </is>
      </c>
      <c r="K5163" s="12" t="inlineStr">
        <is>
          <t>TCX|1 pr|16</t>
        </is>
      </c>
      <c r="L5163" s="12" t="inlineStr">
        <is>
          <t>1 pr</t>
        </is>
      </c>
      <c r="M5163" s="12" t="inlineStr">
        <is>
          <t>16</t>
        </is>
      </c>
      <c r="N5163" s="12" t="n">
        <v>20</v>
      </c>
      <c r="O5163" s="12" t="n">
        <v>1</v>
      </c>
      <c r="P5163" s="12" t="n"/>
      <c r="Q5163" s="12" t="n"/>
      <c r="R5163" s="12" t="n"/>
      <c r="S5163" s="12" t="inlineStr">
        <is>
          <t>Tray / conduit</t>
        </is>
      </c>
      <c r="T5163" s="15" t="n">
        <v>108</v>
      </c>
      <c r="U5163" s="15" t="n">
        <v>10</v>
      </c>
      <c r="V5163" s="15">
        <f>ROUNDUP((T5163+U5163+2*'Read Me'!$B$13)*(1+'Read Me'!$B$12),-1)</f>
        <v/>
      </c>
      <c r="W5163" s="15">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I-I-0561</t>
        </is>
      </c>
      <c r="B5164" s="12" t="inlineStr">
        <is>
          <t>I</t>
        </is>
      </c>
      <c r="C5164" s="12" t="inlineStr">
        <is>
          <t>Modular / portable power</t>
        </is>
      </c>
      <c r="D5164" s="12" t="inlineStr">
        <is>
          <t>Home run JB-TM-1-TC01 to the control / marshalling room</t>
        </is>
      </c>
      <c r="E5164" s="12" t="inlineStr">
        <is>
          <t>PAD-EH</t>
        </is>
      </c>
      <c r="F5164" s="12" t="inlineStr">
        <is>
          <t>PAD-EH 13.8 kV switchgear e-house</t>
        </is>
      </c>
      <c r="G5164" s="12" t="inlineStr">
        <is>
          <t>JB-TM-1-TC01</t>
        </is>
      </c>
      <c r="H5164" s="12" t="inlineStr">
        <is>
          <t>TM-1: trailer-mounted aeroderivative GT (TM2500 class, ~35 MW)</t>
        </is>
      </c>
      <c r="I5164" s="12" t="inlineStr">
        <is>
          <t>Instrumentation</t>
        </is>
      </c>
      <c r="J5164" s="12" t="inlineStr">
        <is>
          <t>Thermocouple extension KX, #16 shielded pairs, PLTC</t>
        </is>
      </c>
      <c r="K5164" s="12" t="inlineStr">
        <is>
          <t>TCX|24 pr|16</t>
        </is>
      </c>
      <c r="L5164" s="12" t="inlineStr">
        <is>
          <t>24 pr</t>
        </is>
      </c>
      <c r="M5164" s="12" t="inlineStr">
        <is>
          <t>16</t>
        </is>
      </c>
      <c r="N5164" s="12" t="n">
        <v>1</v>
      </c>
      <c r="O5164" s="12" t="n">
        <v>1</v>
      </c>
      <c r="P5164" s="12" t="n"/>
      <c r="Q5164" s="12" t="n"/>
      <c r="R5164" s="12" t="n"/>
      <c r="S5164" s="12" t="inlineStr">
        <is>
          <t>Duct bank</t>
        </is>
      </c>
      <c r="T5164" s="15" t="n">
        <v>431</v>
      </c>
      <c r="U5164" s="15" t="n">
        <v>39</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I-I-0562</t>
        </is>
      </c>
      <c r="B5165" s="12" t="inlineStr">
        <is>
          <t>I</t>
        </is>
      </c>
      <c r="C5165" s="12" t="inlineStr">
        <is>
          <t>Modular / portable power</t>
        </is>
      </c>
      <c r="D5165" s="12" t="inlineStr">
        <is>
          <t>Analog instrument to JB JB-Water-injection sk-AI01: 10 x 1 pr (field cables)</t>
        </is>
      </c>
      <c r="E5165" s="12" t="inlineStr"/>
      <c r="F5165" s="12" t="inlineStr">
        <is>
          <t>Water-injection skid</t>
        </is>
      </c>
      <c r="G5165" s="12" t="inlineStr">
        <is>
          <t>JB-Water-injection sk-AI01</t>
        </is>
      </c>
      <c r="H5165" s="12" t="inlineStr">
        <is>
          <t>Water-injection skid</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10</v>
      </c>
      <c r="O5165" s="12" t="n">
        <v>1</v>
      </c>
      <c r="P5165" s="12" t="n"/>
      <c r="Q5165" s="12" t="n"/>
      <c r="R5165" s="12" t="n"/>
      <c r="S5165" s="12" t="inlineStr">
        <is>
          <t>Tray / conduit</t>
        </is>
      </c>
      <c r="T5165" s="15" t="n">
        <v>43</v>
      </c>
      <c r="U5165" s="15" t="n">
        <v>10</v>
      </c>
      <c r="V5165" s="15">
        <f>ROUNDUP((T5165+U5165+2*'Read Me'!$B$13)*(1+'Read Me'!$B$12),-1)</f>
        <v/>
      </c>
      <c r="W5165" s="15">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I-I-0563</t>
        </is>
      </c>
      <c r="B5166" s="12" t="inlineStr">
        <is>
          <t>I</t>
        </is>
      </c>
      <c r="C5166" s="12" t="inlineStr">
        <is>
          <t>Modular / portable power</t>
        </is>
      </c>
      <c r="D5166" s="12" t="inlineStr">
        <is>
          <t>Home run JB-Water-injection sk-AI01 to the control / marshalling room</t>
        </is>
      </c>
      <c r="E5166" s="12" t="inlineStr"/>
      <c r="F5166" s="12" t="inlineStr">
        <is>
          <t>SC-2 PCM + 15 kV GCB</t>
        </is>
      </c>
      <c r="G5166" s="12" t="inlineStr">
        <is>
          <t>JB-Water-injection sk-AI01</t>
        </is>
      </c>
      <c r="H5166" s="12" t="inlineStr">
        <is>
          <t>Water-injection skid</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5" t="n">
        <v>0</v>
      </c>
      <c r="U5166" s="15" t="n">
        <v>60</v>
      </c>
      <c r="V5166" s="15">
        <f>ROUNDUP((T5166+U5166+2*'Read Me'!$B$13)*(1+'Read Me'!$B$12),-1)</f>
        <v/>
      </c>
      <c r="W5166" s="15">
        <f>V5166*N5166*O5166</f>
        <v/>
      </c>
      <c r="X5166" s="12">
        <f>IF(LEFT(I5166,2)="MV",2*N5166*IF(L5166="1/C",O5166,1),0)</f>
        <v/>
      </c>
      <c r="Y5166" s="12">
        <f>IF(OR(LEFT(K5166,4)="LVAX",LEFT(K5166,6)="MV15AX",LEFT(K5166,4)="CTAX",LEFT(K5166,2)="W|"),2*N5166*O5166,0)</f>
        <v/>
      </c>
      <c r="Z5166" s="12" t="inlineStr"/>
      <c r="AA5166" s="12">
        <f>N5166*O5166</f>
        <v/>
      </c>
    </row>
    <row r="5167">
      <c r="A5167" s="12" t="inlineStr">
        <is>
          <t>I-I-0564</t>
        </is>
      </c>
      <c r="B5167" s="12" t="inlineStr">
        <is>
          <t>I</t>
        </is>
      </c>
      <c r="C5167" s="12" t="inlineStr">
        <is>
          <t>Modular / portable power</t>
        </is>
      </c>
      <c r="D5167" s="12" t="inlineStr">
        <is>
          <t>Discrete device to JB JB-Water-injection sk-DI01: 10 x 1 pr (field cables)</t>
        </is>
      </c>
      <c r="E5167" s="12" t="inlineStr"/>
      <c r="F5167" s="12" t="inlineStr">
        <is>
          <t>Water-injection skid</t>
        </is>
      </c>
      <c r="G5167" s="12" t="inlineStr">
        <is>
          <t>JB-Water-injection sk-DI01</t>
        </is>
      </c>
      <c r="H5167" s="12" t="inlineStr">
        <is>
          <t>Water-injection skid</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10</v>
      </c>
      <c r="O5167" s="12" t="n">
        <v>1</v>
      </c>
      <c r="P5167" s="12" t="n"/>
      <c r="Q5167" s="12" t="n"/>
      <c r="R5167" s="12" t="n"/>
      <c r="S5167" s="12" t="inlineStr">
        <is>
          <t>Tray / conduit</t>
        </is>
      </c>
      <c r="T5167" s="15" t="n">
        <v>43</v>
      </c>
      <c r="U5167" s="15" t="n">
        <v>10</v>
      </c>
      <c r="V5167" s="15">
        <f>ROUNDUP((T5167+U5167+2*'Read Me'!$B$13)*(1+'Read Me'!$B$12),-1)</f>
        <v/>
      </c>
      <c r="W5167" s="15">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I-I-0565</t>
        </is>
      </c>
      <c r="B5168" s="12" t="inlineStr">
        <is>
          <t>I</t>
        </is>
      </c>
      <c r="C5168" s="12" t="inlineStr">
        <is>
          <t>Modular / portable power</t>
        </is>
      </c>
      <c r="D5168" s="12" t="inlineStr">
        <is>
          <t>Home run JB-Water-injection sk-DI01 to the control / marshalling room</t>
        </is>
      </c>
      <c r="E5168" s="12" t="inlineStr"/>
      <c r="F5168" s="12" t="inlineStr">
        <is>
          <t>SC-2 PCM + 15 kV GCB</t>
        </is>
      </c>
      <c r="G5168" s="12" t="inlineStr">
        <is>
          <t>JB-Water-injection sk-DI01</t>
        </is>
      </c>
      <c r="H5168" s="12" t="inlineStr">
        <is>
          <t>Water-injection skid</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5" t="n">
        <v>0</v>
      </c>
      <c r="U5168" s="15" t="n">
        <v>60</v>
      </c>
      <c r="V5168" s="15">
        <f>ROUNDUP((T5168+U5168+2*'Read Me'!$B$13)*(1+'Read Me'!$B$12),-1)</f>
        <v/>
      </c>
      <c r="W5168" s="15">
        <f>V5168*N5168*O5168</f>
        <v/>
      </c>
      <c r="X5168" s="12">
        <f>IF(LEFT(I5168,2)="MV",2*N5168*IF(L5168="1/C",O5168,1),0)</f>
        <v/>
      </c>
      <c r="Y5168" s="12">
        <f>IF(OR(LEFT(K5168,4)="LVAX",LEFT(K5168,6)="MV15AX",LEFT(K5168,4)="CTAX",LEFT(K5168,2)="W|"),2*N5168*O5168,0)</f>
        <v/>
      </c>
      <c r="Z5168" s="12" t="inlineStr"/>
      <c r="AA5168" s="12">
        <f>N5168*O5168</f>
        <v/>
      </c>
    </row>
    <row r="5169">
      <c r="A5169" s="12" t="inlineStr">
        <is>
          <t>I-P-0001</t>
        </is>
      </c>
      <c r="B5169" s="12" t="inlineStr">
        <is>
          <t>I</t>
        </is>
      </c>
      <c r="C5169" s="12" t="inlineStr">
        <is>
          <t>Modular / portable power</t>
        </is>
      </c>
      <c r="D5169" s="12" t="inlineStr">
        <is>
          <t>AX-1 package auxiliaries 480 V (from the unit auxiliary transformer in the control module)</t>
        </is>
      </c>
      <c r="E5169" s="12" t="inlineStr">
        <is>
          <t>AX-1</t>
        </is>
      </c>
      <c r="F5169" s="12" t="inlineStr">
        <is>
          <t xml:space="preserve">AX-1: compact modular aeroderivative installation, LM2500XPRESS class </t>
        </is>
      </c>
      <c r="G5169" s="12" t="inlineStr">
        <is>
          <t>AX-1</t>
        </is>
      </c>
      <c r="H5169" s="12" t="inlineStr">
        <is>
          <t xml:space="preserve">AX-1: compact modular aeroderivative installation, LM2500XPRESS class </t>
        </is>
      </c>
      <c r="I5169" s="12" t="inlineStr">
        <is>
          <t>LV 600 V</t>
        </is>
      </c>
      <c r="J5169" s="12" t="inlineStr">
        <is>
          <t>Type TC-ER 600 V 3/C Cu XHHW-2 + ground, PVC jacket</t>
        </is>
      </c>
      <c r="K5169" s="12" t="inlineStr">
        <is>
          <t>LV|3/C+G|500</t>
        </is>
      </c>
      <c r="L5169" s="12" t="inlineStr">
        <is>
          <t>3/C+G</t>
        </is>
      </c>
      <c r="M5169" s="12" t="inlineStr">
        <is>
          <t>500 kcmil</t>
        </is>
      </c>
      <c r="N5169" s="12" t="n">
        <v>2</v>
      </c>
      <c r="O5169" s="12" t="n">
        <v>1</v>
      </c>
      <c r="P5169" s="12" t="n">
        <v>480</v>
      </c>
      <c r="Q5169" s="12" t="n">
        <v>400</v>
      </c>
      <c r="R5169" s="12" t="n">
        <v>510</v>
      </c>
      <c r="S5169" s="12" t="inlineStr">
        <is>
          <t>Tray</t>
        </is>
      </c>
      <c r="T5169" s="15" t="n">
        <v>120</v>
      </c>
      <c r="U5169" s="15" t="n">
        <v>10</v>
      </c>
      <c r="V5169" s="15">
        <f>ROUNDUP((T5169+U5169+2*'Read Me'!$B$13)*(1+'Read Me'!$B$12),-1)</f>
        <v/>
      </c>
      <c r="W5169" s="15">
        <f>V5169*N5169*O5169</f>
        <v/>
      </c>
      <c r="X5169" s="12">
        <f>IF(LEFT(I5169,2)="MV",2*N5169*IF(L5169="1/C",O5169,1),0)</f>
        <v/>
      </c>
      <c r="Y5169" s="12">
        <f>IF(OR(LEFT(K5169,4)="LVAX",LEFT(K5169,6)="MV15AX",LEFT(K5169,4)="CTAX",LEFT(K5169,2)="W|"),2*N5169*O5169,0)</f>
        <v/>
      </c>
      <c r="Z5169" s="12" t="inlineStr">
        <is>
          <t>internal to the package</t>
        </is>
      </c>
      <c r="AA5169" s="12">
        <f>N5169*O5169</f>
        <v/>
      </c>
    </row>
    <row r="5170">
      <c r="A5170" s="12" t="inlineStr">
        <is>
          <t>I-P-0002</t>
        </is>
      </c>
      <c r="B5170" s="12" t="inlineStr">
        <is>
          <t>I</t>
        </is>
      </c>
      <c r="C5170" s="12" t="inlineStr">
        <is>
          <t>Modular / portable power</t>
        </is>
      </c>
      <c r="D5170" s="12" t="inlineStr">
        <is>
          <t>Motor 1 of 2, 3.7 kW</t>
        </is>
      </c>
      <c r="E5170" s="12" t="inlineStr"/>
      <c r="F5170" s="12" t="inlineStr">
        <is>
          <t>SC-2 PCM + 15 kV GCB</t>
        </is>
      </c>
      <c r="G5170" s="12" t="inlineStr"/>
      <c r="H5170" s="12" t="inlineStr">
        <is>
          <t>Aqueous ammonia (SC units)</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3.7</v>
      </c>
      <c r="R5170" s="12" t="n">
        <v>5.2</v>
      </c>
      <c r="S5170" s="12" t="inlineStr">
        <is>
          <t>Duct bank</t>
        </is>
      </c>
      <c r="T5170" s="15" t="n">
        <v>0</v>
      </c>
      <c r="U5170" s="15" t="n">
        <v>98</v>
      </c>
      <c r="V5170" s="15">
        <f>ROUNDUP((T5170+U5170+2*'Read Me'!$B$13)*(1+'Read Me'!$B$12),-1)</f>
        <v/>
      </c>
      <c r="W5170" s="15">
        <f>V5170*N5170*O5170</f>
        <v/>
      </c>
      <c r="X5170" s="12">
        <f>IF(LEFT(I5170,2)="MV",2*N5170*IF(L5170="1/C",O5170,1),0)</f>
        <v/>
      </c>
      <c r="Y5170" s="12">
        <f>IF(OR(LEFT(K5170,4)="LVAX",LEFT(K5170,6)="MV15AX",LEFT(K5170,4)="CTAX",LEFT(K5170,2)="W|"),2*N5170*O5170,0)</f>
        <v/>
      </c>
      <c r="Z5170" s="12" t="inlineStr">
        <is>
          <t>VD 0.2 %</t>
        </is>
      </c>
      <c r="AA5170" s="12">
        <f>N5170*O5170</f>
        <v/>
      </c>
    </row>
    <row r="5171">
      <c r="A5171" s="12" t="inlineStr">
        <is>
          <t>I-P-0003</t>
        </is>
      </c>
      <c r="B5171" s="12" t="inlineStr">
        <is>
          <t>I</t>
        </is>
      </c>
      <c r="C5171" s="12" t="inlineStr">
        <is>
          <t>Modular / portable power</t>
        </is>
      </c>
      <c r="D5171" s="12" t="inlineStr">
        <is>
          <t>Motor 2 of 2, 3.7 kW</t>
        </is>
      </c>
      <c r="E5171" s="12" t="inlineStr"/>
      <c r="F5171" s="12" t="inlineStr">
        <is>
          <t>SC-2 PCM + 15 kV GCB</t>
        </is>
      </c>
      <c r="G5171" s="12" t="inlineStr"/>
      <c r="H5171" s="12" t="inlineStr">
        <is>
          <t>Aqueous ammonia (SC units)</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3.7</v>
      </c>
      <c r="R5171" s="12" t="n">
        <v>5.2</v>
      </c>
      <c r="S5171" s="12" t="inlineStr">
        <is>
          <t>Duct bank</t>
        </is>
      </c>
      <c r="T5171" s="15" t="n">
        <v>0</v>
      </c>
      <c r="U5171" s="15" t="n">
        <v>98</v>
      </c>
      <c r="V5171" s="15">
        <f>ROUNDUP((T5171+U5171+2*'Read Me'!$B$13)*(1+'Read Me'!$B$12),-1)</f>
        <v/>
      </c>
      <c r="W5171" s="15">
        <f>V5171*N5171*O5171</f>
        <v/>
      </c>
      <c r="X5171" s="12">
        <f>IF(LEFT(I5171,2)="MV",2*N5171*IF(L5171="1/C",O5171,1),0)</f>
        <v/>
      </c>
      <c r="Y5171" s="12">
        <f>IF(OR(LEFT(K5171,4)="LVAX",LEFT(K5171,6)="MV15AX",LEFT(K5171,4)="CTAX",LEFT(K5171,2)="W|"),2*N5171*O5171,0)</f>
        <v/>
      </c>
      <c r="Z5171" s="12" t="inlineStr">
        <is>
          <t>VD 0.2 %</t>
        </is>
      </c>
      <c r="AA5171" s="12">
        <f>N5171*O5171</f>
        <v/>
      </c>
    </row>
    <row r="5172">
      <c r="A5172" s="12" t="inlineStr">
        <is>
          <t>I-P-0004</t>
        </is>
      </c>
      <c r="B5172" s="12" t="inlineStr">
        <is>
          <t>I</t>
        </is>
      </c>
      <c r="C5172" s="12" t="inlineStr">
        <is>
          <t>Modular / portable power</t>
        </is>
      </c>
      <c r="D5172" s="12" t="inlineStr">
        <is>
          <t>Black-start genset output</t>
        </is>
      </c>
      <c r="E5172" s="12" t="inlineStr"/>
      <c r="F5172" s="12" t="inlineStr">
        <is>
          <t>Black-start genset (proposed; requires study)</t>
        </is>
      </c>
      <c r="G5172" s="12" t="inlineStr"/>
      <c r="H5172" s="12" t="inlineStr">
        <is>
          <t>BS black-start switchgear</t>
        </is>
      </c>
      <c r="I5172" s="12" t="inlineStr">
        <is>
          <t>LV 600 V</t>
        </is>
      </c>
      <c r="J5172" s="12" t="inlineStr">
        <is>
          <t>Type TC-ER 600 V 3/C Cu XHHW-2 + ground, PVC jacket</t>
        </is>
      </c>
      <c r="K5172" s="12" t="inlineStr">
        <is>
          <t>LV|3/C+G|500</t>
        </is>
      </c>
      <c r="L5172" s="12" t="inlineStr">
        <is>
          <t>3/C+G</t>
        </is>
      </c>
      <c r="M5172" s="12" t="inlineStr">
        <is>
          <t>500 kcmil</t>
        </is>
      </c>
      <c r="N5172" s="12" t="n">
        <v>10</v>
      </c>
      <c r="O5172" s="12" t="n">
        <v>1</v>
      </c>
      <c r="P5172" s="12" t="n">
        <v>480</v>
      </c>
      <c r="Q5172" s="12" t="n">
        <v>2000</v>
      </c>
      <c r="R5172" s="12" t="n">
        <v>2532.3</v>
      </c>
      <c r="S5172" s="12" t="inlineStr">
        <is>
          <t>Tray</t>
        </is>
      </c>
      <c r="T5172" s="15" t="n">
        <v>0</v>
      </c>
      <c r="U5172" s="15" t="n">
        <v>41</v>
      </c>
      <c r="V5172" s="15">
        <f>ROUNDUP((T5172+U5172+2*'Read Me'!$B$13)*(1+'Read Me'!$B$12),-1)</f>
        <v/>
      </c>
      <c r="W5172" s="15">
        <f>V5172*N5172*O5172</f>
        <v/>
      </c>
      <c r="X5172" s="12">
        <f>IF(LEFT(I5172,2)="MV",2*N5172*IF(L5172="1/C",O5172,1),0)</f>
        <v/>
      </c>
      <c r="Y5172" s="12">
        <f>IF(OR(LEFT(K5172,4)="LVAX",LEFT(K5172,6)="MV15AX",LEFT(K5172,4)="CTAX",LEFT(K5172,2)="W|"),2*N5172*O5172,0)</f>
        <v/>
      </c>
      <c r="Z5172" s="12" t="inlineStr">
        <is>
          <t>VD 0.1 %</t>
        </is>
      </c>
      <c r="AA5172" s="12">
        <f>N5172*O5172</f>
        <v/>
      </c>
    </row>
    <row r="5173">
      <c r="A5173" s="12" t="inlineStr">
        <is>
          <t>I-P-0005</t>
        </is>
      </c>
      <c r="B5173" s="12" t="inlineStr">
        <is>
          <t>I</t>
        </is>
      </c>
      <c r="C5173" s="12" t="inlineStr">
        <is>
          <t>Modular / portable power</t>
        </is>
      </c>
      <c r="D5173" s="12" t="inlineStr">
        <is>
          <t>Black-start genset output</t>
        </is>
      </c>
      <c r="E5173" s="12" t="inlineStr"/>
      <c r="F5173" s="12" t="inlineStr">
        <is>
          <t>Black-start genset (proposed; requires study)</t>
        </is>
      </c>
      <c r="G5173" s="12" t="inlineStr"/>
      <c r="H5173" s="12" t="inlineStr">
        <is>
          <t>BS black-start switchgear</t>
        </is>
      </c>
      <c r="I5173" s="12" t="inlineStr">
        <is>
          <t>LV 600 V</t>
        </is>
      </c>
      <c r="J5173" s="12" t="inlineStr">
        <is>
          <t>Type TC-ER 600 V 3/C Cu XHHW-2 + ground, PVC jacket</t>
        </is>
      </c>
      <c r="K5173" s="12" t="inlineStr">
        <is>
          <t>LV|3/C+G|500</t>
        </is>
      </c>
      <c r="L5173" s="12" t="inlineStr">
        <is>
          <t>3/C+G</t>
        </is>
      </c>
      <c r="M5173" s="12" t="inlineStr">
        <is>
          <t>500 kcmil</t>
        </is>
      </c>
      <c r="N5173" s="12" t="n">
        <v>10</v>
      </c>
      <c r="O5173" s="12" t="n">
        <v>1</v>
      </c>
      <c r="P5173" s="12" t="n">
        <v>480</v>
      </c>
      <c r="Q5173" s="12" t="n">
        <v>2000</v>
      </c>
      <c r="R5173" s="12" t="n">
        <v>2532.3</v>
      </c>
      <c r="S5173" s="12" t="inlineStr">
        <is>
          <t>Tray</t>
        </is>
      </c>
      <c r="T5173" s="15" t="n">
        <v>0</v>
      </c>
      <c r="U5173" s="15" t="n">
        <v>49</v>
      </c>
      <c r="V5173" s="15">
        <f>ROUNDUP((T5173+U5173+2*'Read Me'!$B$13)*(1+'Read Me'!$B$12),-1)</f>
        <v/>
      </c>
      <c r="W5173" s="15">
        <f>V5173*N5173*O5173</f>
        <v/>
      </c>
      <c r="X5173" s="12">
        <f>IF(LEFT(I5173,2)="MV",2*N5173*IF(L5173="1/C",O5173,1),0)</f>
        <v/>
      </c>
      <c r="Y5173" s="12">
        <f>IF(OR(LEFT(K5173,4)="LVAX",LEFT(K5173,6)="MV15AX",LEFT(K5173,4)="CTAX",LEFT(K5173,2)="W|"),2*N5173*O5173,0)</f>
        <v/>
      </c>
      <c r="Z5173" s="12" t="inlineStr">
        <is>
          <t>VD 0.1 %</t>
        </is>
      </c>
      <c r="AA5173" s="12">
        <f>N5173*O5173</f>
        <v/>
      </c>
    </row>
    <row r="5174">
      <c r="A5174" s="12" t="inlineStr">
        <is>
          <t>I-P-0006</t>
        </is>
      </c>
      <c r="B5174" s="12" t="inlineStr">
        <is>
          <t>I</t>
        </is>
      </c>
      <c r="C5174" s="12" t="inlineStr">
        <is>
          <t>Modular / portable power</t>
        </is>
      </c>
      <c r="D5174" s="12" t="inlineStr">
        <is>
          <t>LV power feeder</t>
        </is>
      </c>
      <c r="E5174" s="12" t="inlineStr"/>
      <c r="F5174" s="12" t="inlineStr">
        <is>
          <t>PCM: power control module</t>
        </is>
      </c>
      <c r="G5174" s="12" t="inlineStr"/>
      <c r="H5174" s="12" t="inlineStr">
        <is>
          <t>BS black-start switchgear</t>
        </is>
      </c>
      <c r="I5174" s="12" t="inlineStr">
        <is>
          <t>LV 600 V</t>
        </is>
      </c>
      <c r="J5174" s="12" t="inlineStr">
        <is>
          <t>Type TC-ER 600 V 3/C Cu XHHW-2 + ground, PVC jacket</t>
        </is>
      </c>
      <c r="K5174" s="12" t="inlineStr">
        <is>
          <t>LV|3/C+G|6</t>
        </is>
      </c>
      <c r="L5174" s="12" t="inlineStr">
        <is>
          <t>3/C+G</t>
        </is>
      </c>
      <c r="M5174" s="12" t="inlineStr">
        <is>
          <t>6</t>
        </is>
      </c>
      <c r="N5174" s="12" t="n">
        <v>1</v>
      </c>
      <c r="O5174" s="12" t="n">
        <v>1</v>
      </c>
      <c r="P5174" s="12" t="n">
        <v>480</v>
      </c>
      <c r="Q5174" s="12" t="n">
        <v>15</v>
      </c>
      <c r="R5174" s="12" t="n">
        <v>21.2</v>
      </c>
      <c r="S5174" s="12" t="inlineStr">
        <is>
          <t>Duct bank</t>
        </is>
      </c>
      <c r="T5174" s="15" t="n">
        <v>528</v>
      </c>
      <c r="U5174" s="15" t="n">
        <v>64</v>
      </c>
      <c r="V5174" s="15">
        <f>ROUNDUP((T5174+U5174+2*'Read Me'!$B$13)*(1+'Read Me'!$B$12),-1)</f>
        <v/>
      </c>
      <c r="W5174" s="15">
        <f>V5174*N5174*O5174</f>
        <v/>
      </c>
      <c r="X5174" s="12">
        <f>IF(LEFT(I5174,2)="MV",2*N5174*IF(L5174="1/C",O5174,1),0)</f>
        <v/>
      </c>
      <c r="Y5174" s="12">
        <f>IF(OR(LEFT(K5174,4)="LVAX",LEFT(K5174,6)="MV15AX",LEFT(K5174,4)="CTAX",LEFT(K5174,2)="W|"),2*N5174*O5174,0)</f>
        <v/>
      </c>
      <c r="Z5174" s="12" t="inlineStr">
        <is>
          <t>VD 2.5 %</t>
        </is>
      </c>
      <c r="AA5174" s="12">
        <f>N5174*O5174</f>
        <v/>
      </c>
    </row>
    <row r="5175">
      <c r="A5175" s="12" t="inlineStr">
        <is>
          <t>I-P-0007</t>
        </is>
      </c>
      <c r="B5175" s="12" t="inlineStr">
        <is>
          <t>I</t>
        </is>
      </c>
      <c r="C5175" s="12" t="inlineStr">
        <is>
          <t>Modular / portable power</t>
        </is>
      </c>
      <c r="D5175" s="12" t="inlineStr">
        <is>
          <t>CGE-1 cooling container: radiator fans, jacket-water pumps (deck)</t>
        </is>
      </c>
      <c r="E5175" s="12" t="inlineStr">
        <is>
          <t>CGE-AUX</t>
        </is>
      </c>
      <c r="F5175" s="12" t="inlineStr">
        <is>
          <t>CGE-AUX: 13.8 / 0.48 kV auxiliary transformer (cooling containers, rad</t>
        </is>
      </c>
      <c r="G5175" s="12" t="inlineStr">
        <is>
          <t>CGE-DECK</t>
        </is>
      </c>
      <c r="H5175" s="12" t="inlineStr">
        <is>
          <t>CGE-1..4 upper deck: stacked cooling containers, radiators, silencers,</t>
        </is>
      </c>
      <c r="I5175" s="12" t="inlineStr">
        <is>
          <t>LV 600 V</t>
        </is>
      </c>
      <c r="J5175" s="12" t="inlineStr">
        <is>
          <t>Type TC-ER 600 V 3/C Cu XHHW-2 + ground, PVC jacket</t>
        </is>
      </c>
      <c r="K5175" s="12" t="inlineStr">
        <is>
          <t>LV|3/C+G|3/0</t>
        </is>
      </c>
      <c r="L5175" s="12" t="inlineStr">
        <is>
          <t>3/C+G</t>
        </is>
      </c>
      <c r="M5175" s="12" t="inlineStr">
        <is>
          <t>3/0</t>
        </is>
      </c>
      <c r="N5175" s="12" t="n">
        <v>1</v>
      </c>
      <c r="O5175" s="12" t="n">
        <v>1</v>
      </c>
      <c r="P5175" s="12" t="n">
        <v>480</v>
      </c>
      <c r="Q5175" s="12" t="n">
        <v>110</v>
      </c>
      <c r="R5175" s="12" t="n">
        <v>155.7</v>
      </c>
      <c r="S5175" s="12" t="inlineStr">
        <is>
          <t>Duct bank</t>
        </is>
      </c>
      <c r="T5175" s="15" t="n">
        <v>59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0.4 %</t>
        </is>
      </c>
      <c r="AA5175" s="12">
        <f>N5175*O5175</f>
        <v/>
      </c>
    </row>
    <row r="5176">
      <c r="A5176" s="12" t="inlineStr">
        <is>
          <t>I-P-0008</t>
        </is>
      </c>
      <c r="B5176" s="12" t="inlineStr">
        <is>
          <t>I</t>
        </is>
      </c>
      <c r="C5176" s="12" t="inlineStr">
        <is>
          <t>Modular / portable power</t>
        </is>
      </c>
      <c r="D5176" s="12" t="inlineStr">
        <is>
          <t>CGE-2 cooling container: radiator fans, jacket-water pumps (deck)</t>
        </is>
      </c>
      <c r="E5176" s="12" t="inlineStr">
        <is>
          <t>CGE-AUX</t>
        </is>
      </c>
      <c r="F5176" s="12" t="inlineStr">
        <is>
          <t>CGE-AUX: 13.8 / 0.48 kV auxiliary transformer (cooling containers, rad</t>
        </is>
      </c>
      <c r="G5176" s="12" t="inlineStr">
        <is>
          <t>CGE-DECK</t>
        </is>
      </c>
      <c r="H5176" s="12" t="inlineStr">
        <is>
          <t>CGE-1..4 upper deck: stacked cooling containers, radiators, silencers,</t>
        </is>
      </c>
      <c r="I5176" s="12" t="inlineStr">
        <is>
          <t>LV 600 V</t>
        </is>
      </c>
      <c r="J5176" s="12" t="inlineStr">
        <is>
          <t>Type TC-ER 600 V 3/C Cu XHHW-2 + ground, PVC jacket</t>
        </is>
      </c>
      <c r="K5176" s="12" t="inlineStr">
        <is>
          <t>LV|3/C+G|3/0</t>
        </is>
      </c>
      <c r="L5176" s="12" t="inlineStr">
        <is>
          <t>3/C+G</t>
        </is>
      </c>
      <c r="M5176" s="12" t="inlineStr">
        <is>
          <t>3/0</t>
        </is>
      </c>
      <c r="N5176" s="12" t="n">
        <v>1</v>
      </c>
      <c r="O5176" s="12" t="n">
        <v>1</v>
      </c>
      <c r="P5176" s="12" t="n">
        <v>480</v>
      </c>
      <c r="Q5176" s="12" t="n">
        <v>110</v>
      </c>
      <c r="R5176" s="12" t="n">
        <v>155.7</v>
      </c>
      <c r="S5176" s="12" t="inlineStr">
        <is>
          <t>Duct bank</t>
        </is>
      </c>
      <c r="T5176" s="15" t="n">
        <v>59</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0.4 %</t>
        </is>
      </c>
      <c r="AA5176" s="12">
        <f>N5176*O5176</f>
        <v/>
      </c>
    </row>
    <row r="5177">
      <c r="A5177" s="12" t="inlineStr">
        <is>
          <t>I-P-0009</t>
        </is>
      </c>
      <c r="B5177" s="12" t="inlineStr">
        <is>
          <t>I</t>
        </is>
      </c>
      <c r="C5177" s="12" t="inlineStr">
        <is>
          <t>Modular / portable power</t>
        </is>
      </c>
      <c r="D5177" s="12" t="inlineStr">
        <is>
          <t>CGE-3 cooling container: radiator fans, jacket-water pumps (deck)</t>
        </is>
      </c>
      <c r="E5177" s="12" t="inlineStr">
        <is>
          <t>CGE-AUX</t>
        </is>
      </c>
      <c r="F5177" s="12" t="inlineStr">
        <is>
          <t>CGE-AUX: 13.8 / 0.48 kV auxiliary transformer (cooling containers, rad</t>
        </is>
      </c>
      <c r="G5177" s="12" t="inlineStr">
        <is>
          <t>CGE-DECK</t>
        </is>
      </c>
      <c r="H5177" s="12" t="inlineStr">
        <is>
          <t>CGE-1..4 upper deck: stacked cooling containers, radiators, silencers,</t>
        </is>
      </c>
      <c r="I5177" s="12" t="inlineStr">
        <is>
          <t>LV 600 V</t>
        </is>
      </c>
      <c r="J5177" s="12" t="inlineStr">
        <is>
          <t>Type TC-ER 600 V 3/C Cu XHHW-2 + ground, PVC jacket</t>
        </is>
      </c>
      <c r="K5177" s="12" t="inlineStr">
        <is>
          <t>LV|3/C+G|3/0</t>
        </is>
      </c>
      <c r="L5177" s="12" t="inlineStr">
        <is>
          <t>3/C+G</t>
        </is>
      </c>
      <c r="M5177" s="12" t="inlineStr">
        <is>
          <t>3/0</t>
        </is>
      </c>
      <c r="N5177" s="12" t="n">
        <v>1</v>
      </c>
      <c r="O5177" s="12" t="n">
        <v>1</v>
      </c>
      <c r="P5177" s="12" t="n">
        <v>480</v>
      </c>
      <c r="Q5177" s="12" t="n">
        <v>110</v>
      </c>
      <c r="R5177" s="12" t="n">
        <v>155.7</v>
      </c>
      <c r="S5177" s="12" t="inlineStr">
        <is>
          <t>Duct bank</t>
        </is>
      </c>
      <c r="T5177" s="15" t="n">
        <v>59</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0.4 %</t>
        </is>
      </c>
      <c r="AA5177" s="12">
        <f>N5177*O5177</f>
        <v/>
      </c>
    </row>
    <row r="5178">
      <c r="A5178" s="12" t="inlineStr">
        <is>
          <t>I-P-0010</t>
        </is>
      </c>
      <c r="B5178" s="12" t="inlineStr">
        <is>
          <t>I</t>
        </is>
      </c>
      <c r="C5178" s="12" t="inlineStr">
        <is>
          <t>Modular / portable power</t>
        </is>
      </c>
      <c r="D5178" s="12" t="inlineStr">
        <is>
          <t>CGE-4 cooling container: radiator fans, jacket-water pumps (deck)</t>
        </is>
      </c>
      <c r="E5178" s="12" t="inlineStr">
        <is>
          <t>CGE-AUX</t>
        </is>
      </c>
      <c r="F5178" s="12" t="inlineStr">
        <is>
          <t>CGE-AUX: 13.8 / 0.48 kV auxiliary transformer (cooling containers, rad</t>
        </is>
      </c>
      <c r="G5178" s="12" t="inlineStr">
        <is>
          <t>CGE-DECK</t>
        </is>
      </c>
      <c r="H5178" s="12" t="inlineStr">
        <is>
          <t>CGE-1..4 upper deck: stacked cooling containers, radiators, silencers,</t>
        </is>
      </c>
      <c r="I5178" s="12" t="inlineStr">
        <is>
          <t>LV 600 V</t>
        </is>
      </c>
      <c r="J5178" s="12" t="inlineStr">
        <is>
          <t>Type TC-ER 600 V 3/C Cu XHHW-2 + ground, PVC jacket</t>
        </is>
      </c>
      <c r="K5178" s="12" t="inlineStr">
        <is>
          <t>LV|3/C+G|3/0</t>
        </is>
      </c>
      <c r="L5178" s="12" t="inlineStr">
        <is>
          <t>3/C+G</t>
        </is>
      </c>
      <c r="M5178" s="12" t="inlineStr">
        <is>
          <t>3/0</t>
        </is>
      </c>
      <c r="N5178" s="12" t="n">
        <v>1</v>
      </c>
      <c r="O5178" s="12" t="n">
        <v>1</v>
      </c>
      <c r="P5178" s="12" t="n">
        <v>480</v>
      </c>
      <c r="Q5178" s="12" t="n">
        <v>110</v>
      </c>
      <c r="R5178" s="12" t="n">
        <v>155.7</v>
      </c>
      <c r="S5178" s="12" t="inlineStr">
        <is>
          <t>Duct bank</t>
        </is>
      </c>
      <c r="T5178" s="15" t="n">
        <v>59</v>
      </c>
      <c r="U5178" s="15" t="n">
        <v>32</v>
      </c>
      <c r="V5178" s="15">
        <f>ROUNDUP((T5178+U5178+2*'Read Me'!$B$13)*(1+'Read Me'!$B$12),-1)</f>
        <v/>
      </c>
      <c r="W5178" s="15">
        <f>V5178*N5178*O5178</f>
        <v/>
      </c>
      <c r="X5178" s="12">
        <f>IF(LEFT(I5178,2)="MV",2*N5178*IF(L5178="1/C",O5178,1),0)</f>
        <v/>
      </c>
      <c r="Y5178" s="12">
        <f>IF(OR(LEFT(K5178,4)="LVAX",LEFT(K5178,6)="MV15AX",LEFT(K5178,4)="CTAX",LEFT(K5178,2)="W|"),2*N5178*O5178,0)</f>
        <v/>
      </c>
      <c r="Z5178" s="12" t="inlineStr">
        <is>
          <t>VD 0.4 %</t>
        </is>
      </c>
      <c r="AA5178" s="12">
        <f>N5178*O5178</f>
        <v/>
      </c>
    </row>
    <row r="5179">
      <c r="A5179" s="12" t="inlineStr">
        <is>
          <t>I-P-0011</t>
        </is>
      </c>
      <c r="B5179" s="12" t="inlineStr">
        <is>
          <t>I</t>
        </is>
      </c>
      <c r="C5179" s="12" t="inlineStr">
        <is>
          <t>Modular / portable power</t>
        </is>
      </c>
      <c r="D5179" s="12" t="inlineStr">
        <is>
          <t>CGE-SWG station service: DC charger, heaters, HVAC, lighting</t>
        </is>
      </c>
      <c r="E5179" s="12" t="inlineStr">
        <is>
          <t>CGE-AUX</t>
        </is>
      </c>
      <c r="F5179" s="12" t="inlineStr">
        <is>
          <t>CGE-AUX: 13.8 / 0.48 kV auxiliary transformer (cooling containers, rad</t>
        </is>
      </c>
      <c r="G5179" s="12" t="inlineStr">
        <is>
          <t>CGE-SWG</t>
        </is>
      </c>
      <c r="H5179" s="12" t="inlineStr">
        <is>
          <t>CGE-SWG: 13.8 kV switchgear container (engine breakers, site feeder)</t>
        </is>
      </c>
      <c r="I5179" s="12" t="inlineStr">
        <is>
          <t>LV 600 V</t>
        </is>
      </c>
      <c r="J5179" s="12" t="inlineStr">
        <is>
          <t>Type TC-ER 600 V 3/C Cu XHHW-2 + ground, PVC jacket</t>
        </is>
      </c>
      <c r="K5179" s="12" t="inlineStr">
        <is>
          <t>LV|3/C+G|4</t>
        </is>
      </c>
      <c r="L5179" s="12" t="inlineStr">
        <is>
          <t>3/C+G</t>
        </is>
      </c>
      <c r="M5179" s="12" t="inlineStr">
        <is>
          <t>4</t>
        </is>
      </c>
      <c r="N5179" s="12" t="n">
        <v>1</v>
      </c>
      <c r="O5179" s="12" t="n">
        <v>1</v>
      </c>
      <c r="P5179" s="12" t="n">
        <v>480</v>
      </c>
      <c r="Q5179" s="12" t="n">
        <v>45</v>
      </c>
      <c r="R5179" s="12" t="n">
        <v>57</v>
      </c>
      <c r="S5179" s="12" t="inlineStr">
        <is>
          <t>Duct bank</t>
        </is>
      </c>
      <c r="T5179" s="15" t="n">
        <v>12</v>
      </c>
      <c r="U5179" s="15" t="n">
        <v>32</v>
      </c>
      <c r="V5179" s="15">
        <f>ROUNDUP((T5179+U5179+2*'Read Me'!$B$13)*(1+'Read Me'!$B$12),-1)</f>
        <v/>
      </c>
      <c r="W5179" s="15">
        <f>V5179*N5179*O5179</f>
        <v/>
      </c>
      <c r="X5179" s="12">
        <f>IF(LEFT(I5179,2)="MV",2*N5179*IF(L5179="1/C",O5179,1),0)</f>
        <v/>
      </c>
      <c r="Y5179" s="12">
        <f>IF(OR(LEFT(K5179,4)="LVAX",LEFT(K5179,6)="MV15AX",LEFT(K5179,4)="CTAX",LEFT(K5179,2)="W|"),2*N5179*O5179,0)</f>
        <v/>
      </c>
      <c r="Z5179" s="12" t="inlineStr">
        <is>
          <t>VD 0.3 %</t>
        </is>
      </c>
      <c r="AA5179" s="12">
        <f>N5179*O5179</f>
        <v/>
      </c>
    </row>
    <row r="5180">
      <c r="A5180" s="12" t="inlineStr">
        <is>
          <t>I-P-0012</t>
        </is>
      </c>
      <c r="B5180" s="12" t="inlineStr">
        <is>
          <t>I</t>
        </is>
      </c>
      <c r="C5180" s="12" t="inlineStr">
        <is>
          <t>Modular / portable power</t>
        </is>
      </c>
      <c r="D5180" s="12" t="inlineStr">
        <is>
          <t>CHP-1 auxiliaries (jacket-water pump, enclosure ventilation)</t>
        </is>
      </c>
      <c r="E5180" s="12" t="inlineStr">
        <is>
          <t>CHP-AUX</t>
        </is>
      </c>
      <c r="F5180" s="12" t="inlineStr">
        <is>
          <t>CHP-AUX: 13.8 / 0.48 kV, 750 kVA auxiliary pad-mount (engine auxiliari</t>
        </is>
      </c>
      <c r="G5180" s="12" t="inlineStr">
        <is>
          <t>CHP-1</t>
        </is>
      </c>
      <c r="H5180" s="12" t="inlineStr">
        <is>
          <t>CHP-1: gas-engine generator ~2.5 MW with exhaust heat recovery, 13.8 k</t>
        </is>
      </c>
      <c r="I5180" s="12" t="inlineStr">
        <is>
          <t>LV 600 V</t>
        </is>
      </c>
      <c r="J5180" s="12" t="inlineStr">
        <is>
          <t>Type TC-ER 600 V 3/C Cu XHHW-2 + ground, PVC jacket</t>
        </is>
      </c>
      <c r="K5180" s="12" t="inlineStr">
        <is>
          <t>LV|3/C+G|2</t>
        </is>
      </c>
      <c r="L5180" s="12" t="inlineStr">
        <is>
          <t>3/C+G</t>
        </is>
      </c>
      <c r="M5180" s="12" t="inlineStr">
        <is>
          <t>2</t>
        </is>
      </c>
      <c r="N5180" s="12" t="n">
        <v>1</v>
      </c>
      <c r="O5180" s="12" t="n">
        <v>1</v>
      </c>
      <c r="P5180" s="12" t="n">
        <v>480</v>
      </c>
      <c r="Q5180" s="12" t="n">
        <v>60</v>
      </c>
      <c r="R5180" s="12" t="n">
        <v>84.90000000000001</v>
      </c>
      <c r="S5180" s="12" t="inlineStr">
        <is>
          <t>Duct bank</t>
        </is>
      </c>
      <c r="T5180" s="15" t="n">
        <v>106</v>
      </c>
      <c r="U5180" s="15" t="n">
        <v>32</v>
      </c>
      <c r="V5180" s="15">
        <f>ROUNDUP((T5180+U5180+2*'Read Me'!$B$13)*(1+'Read Me'!$B$12),-1)</f>
        <v/>
      </c>
      <c r="W5180" s="15">
        <f>V5180*N5180*O5180</f>
        <v/>
      </c>
      <c r="X5180" s="12">
        <f>IF(LEFT(I5180,2)="MV",2*N5180*IF(L5180="1/C",O5180,1),0)</f>
        <v/>
      </c>
      <c r="Y5180" s="12">
        <f>IF(OR(LEFT(K5180,4)="LVAX",LEFT(K5180,6)="MV15AX",LEFT(K5180,4)="CTAX",LEFT(K5180,2)="W|"),2*N5180*O5180,0)</f>
        <v/>
      </c>
      <c r="Z5180" s="12" t="inlineStr">
        <is>
          <t>VD 0.9 %</t>
        </is>
      </c>
      <c r="AA5180" s="12">
        <f>N5180*O5180</f>
        <v/>
      </c>
    </row>
    <row r="5181">
      <c r="A5181" s="12" t="inlineStr">
        <is>
          <t>I-P-0013</t>
        </is>
      </c>
      <c r="B5181" s="12" t="inlineStr">
        <is>
          <t>I</t>
        </is>
      </c>
      <c r="C5181" s="12" t="inlineStr">
        <is>
          <t>Modular / portable power</t>
        </is>
      </c>
      <c r="D5181" s="12" t="inlineStr">
        <is>
          <t>CHP-2 auxiliaries (jacket-water pump, enclosure ventilation)</t>
        </is>
      </c>
      <c r="E5181" s="12" t="inlineStr">
        <is>
          <t>CHP-AUX</t>
        </is>
      </c>
      <c r="F5181" s="12" t="inlineStr">
        <is>
          <t>CHP-AUX: 13.8 / 0.48 kV, 750 kVA auxiliary pad-mount (engine auxiliari</t>
        </is>
      </c>
      <c r="G5181" s="12" t="inlineStr">
        <is>
          <t>CHP-2</t>
        </is>
      </c>
      <c r="H5181" s="12" t="inlineStr">
        <is>
          <t>CHP-2: gas-engine generator ~2.5 MW with exhaust heat recovery, 13.8 k</t>
        </is>
      </c>
      <c r="I5181" s="12" t="inlineStr">
        <is>
          <t>LV 600 V</t>
        </is>
      </c>
      <c r="J5181" s="12" t="inlineStr">
        <is>
          <t>Type TC-ER 600 V 3/C Cu XHHW-2 + ground, PVC jacket</t>
        </is>
      </c>
      <c r="K5181" s="12" t="inlineStr">
        <is>
          <t>LV|3/C+G|2</t>
        </is>
      </c>
      <c r="L5181" s="12" t="inlineStr">
        <is>
          <t>3/C+G</t>
        </is>
      </c>
      <c r="M5181" s="12" t="inlineStr">
        <is>
          <t>2</t>
        </is>
      </c>
      <c r="N5181" s="12" t="n">
        <v>1</v>
      </c>
      <c r="O5181" s="12" t="n">
        <v>1</v>
      </c>
      <c r="P5181" s="12" t="n">
        <v>480</v>
      </c>
      <c r="Q5181" s="12" t="n">
        <v>60</v>
      </c>
      <c r="R5181" s="12" t="n">
        <v>84.90000000000001</v>
      </c>
      <c r="S5181" s="12" t="inlineStr">
        <is>
          <t>Duct bank</t>
        </is>
      </c>
      <c r="T5181" s="15" t="n">
        <v>87</v>
      </c>
      <c r="U5181" s="15" t="n">
        <v>32</v>
      </c>
      <c r="V5181" s="15">
        <f>ROUNDUP((T5181+U5181+2*'Read Me'!$B$13)*(1+'Read Me'!$B$12),-1)</f>
        <v/>
      </c>
      <c r="W5181" s="15">
        <f>V5181*N5181*O5181</f>
        <v/>
      </c>
      <c r="X5181" s="12">
        <f>IF(LEFT(I5181,2)="MV",2*N5181*IF(L5181="1/C",O5181,1),0)</f>
        <v/>
      </c>
      <c r="Y5181" s="12">
        <f>IF(OR(LEFT(K5181,4)="LVAX",LEFT(K5181,6)="MV15AX",LEFT(K5181,4)="CTAX",LEFT(K5181,2)="W|"),2*N5181*O5181,0)</f>
        <v/>
      </c>
      <c r="Z5181" s="12" t="inlineStr">
        <is>
          <t>VD 0.8 %</t>
        </is>
      </c>
      <c r="AA5181" s="12">
        <f>N5181*O5181</f>
        <v/>
      </c>
    </row>
    <row r="5182">
      <c r="A5182" s="12" t="inlineStr">
        <is>
          <t>I-P-0014</t>
        </is>
      </c>
      <c r="B5182" s="12" t="inlineStr">
        <is>
          <t>I</t>
        </is>
      </c>
      <c r="C5182" s="12" t="inlineStr">
        <is>
          <t>Modular / portable power</t>
        </is>
      </c>
      <c r="D5182" s="12" t="inlineStr">
        <is>
          <t>CHP-3 auxiliaries (jacket-water pump, enclosure ventilation)</t>
        </is>
      </c>
      <c r="E5182" s="12" t="inlineStr">
        <is>
          <t>CHP-AUX</t>
        </is>
      </c>
      <c r="F5182" s="12" t="inlineStr">
        <is>
          <t>CHP-AUX: 13.8 / 0.48 kV, 750 kVA auxiliary pad-mount (engine auxiliari</t>
        </is>
      </c>
      <c r="G5182" s="12" t="inlineStr">
        <is>
          <t>CHP-3</t>
        </is>
      </c>
      <c r="H5182" s="12" t="inlineStr">
        <is>
          <t>CHP-3: gas-engine generator ~2.5 MW with exhaust heat recovery, 13.8 k</t>
        </is>
      </c>
      <c r="I5182" s="12" t="inlineStr">
        <is>
          <t>LV 600 V</t>
        </is>
      </c>
      <c r="J5182" s="12" t="inlineStr">
        <is>
          <t>Type TC-ER 600 V 3/C Cu XHHW-2 + ground, PVC jacket</t>
        </is>
      </c>
      <c r="K5182" s="12" t="inlineStr">
        <is>
          <t>LV|3/C+G|2</t>
        </is>
      </c>
      <c r="L5182" s="12" t="inlineStr">
        <is>
          <t>3/C+G</t>
        </is>
      </c>
      <c r="M5182" s="12" t="inlineStr">
        <is>
          <t>2</t>
        </is>
      </c>
      <c r="N5182" s="12" t="n">
        <v>1</v>
      </c>
      <c r="O5182" s="12" t="n">
        <v>1</v>
      </c>
      <c r="P5182" s="12" t="n">
        <v>480</v>
      </c>
      <c r="Q5182" s="12" t="n">
        <v>60</v>
      </c>
      <c r="R5182" s="12" t="n">
        <v>84.90000000000001</v>
      </c>
      <c r="S5182" s="12" t="inlineStr">
        <is>
          <t>Duct bank</t>
        </is>
      </c>
      <c r="T5182" s="15" t="n">
        <v>62</v>
      </c>
      <c r="U5182" s="15" t="n">
        <v>33</v>
      </c>
      <c r="V5182" s="15">
        <f>ROUNDUP((T5182+U5182+2*'Read Me'!$B$13)*(1+'Read Me'!$B$12),-1)</f>
        <v/>
      </c>
      <c r="W5182" s="15">
        <f>V5182*N5182*O5182</f>
        <v/>
      </c>
      <c r="X5182" s="12">
        <f>IF(LEFT(I5182,2)="MV",2*N5182*IF(L5182="1/C",O5182,1),0)</f>
        <v/>
      </c>
      <c r="Y5182" s="12">
        <f>IF(OR(LEFT(K5182,4)="LVAX",LEFT(K5182,6)="MV15AX",LEFT(K5182,4)="CTAX",LEFT(K5182,2)="W|"),2*N5182*O5182,0)</f>
        <v/>
      </c>
      <c r="Z5182" s="12" t="inlineStr">
        <is>
          <t>VD 0.6 %</t>
        </is>
      </c>
      <c r="AA5182" s="12">
        <f>N5182*O5182</f>
        <v/>
      </c>
    </row>
    <row r="5183">
      <c r="A5183" s="12" t="inlineStr">
        <is>
          <t>I-P-0015</t>
        </is>
      </c>
      <c r="B5183" s="12" t="inlineStr">
        <is>
          <t>I</t>
        </is>
      </c>
      <c r="C5183" s="12" t="inlineStr">
        <is>
          <t>Modular / portable power</t>
        </is>
      </c>
      <c r="D5183" s="12" t="inlineStr">
        <is>
          <t>CHP-4 auxiliaries (jacket-water pump, enclosure ventilation)</t>
        </is>
      </c>
      <c r="E5183" s="12" t="inlineStr">
        <is>
          <t>CHP-AUX</t>
        </is>
      </c>
      <c r="F5183" s="12" t="inlineStr">
        <is>
          <t>CHP-AUX: 13.8 / 0.48 kV, 750 kVA auxiliary pad-mount (engine auxiliari</t>
        </is>
      </c>
      <c r="G5183" s="12" t="inlineStr">
        <is>
          <t>CHP-4</t>
        </is>
      </c>
      <c r="H5183" s="12" t="inlineStr">
        <is>
          <t>CHP-4: gas-engine generator ~2.5 MW with exhaust heat recovery, 13.8 k</t>
        </is>
      </c>
      <c r="I5183" s="12" t="inlineStr">
        <is>
          <t>LV 600 V</t>
        </is>
      </c>
      <c r="J5183" s="12" t="inlineStr">
        <is>
          <t>Type TC-ER 600 V 3/C Cu XHHW-2 + ground, PVC jacket</t>
        </is>
      </c>
      <c r="K5183" s="12" t="inlineStr">
        <is>
          <t>LV|3/C+G|2</t>
        </is>
      </c>
      <c r="L5183" s="12" t="inlineStr">
        <is>
          <t>3/C+G</t>
        </is>
      </c>
      <c r="M5183" s="12" t="inlineStr">
        <is>
          <t>2</t>
        </is>
      </c>
      <c r="N5183" s="12" t="n">
        <v>1</v>
      </c>
      <c r="O5183" s="12" t="n">
        <v>1</v>
      </c>
      <c r="P5183" s="12" t="n">
        <v>480</v>
      </c>
      <c r="Q5183" s="12" t="n">
        <v>60</v>
      </c>
      <c r="R5183" s="12" t="n">
        <v>84.90000000000001</v>
      </c>
      <c r="S5183" s="12" t="inlineStr">
        <is>
          <t>Duct bank</t>
        </is>
      </c>
      <c r="T5183" s="15" t="n">
        <v>49</v>
      </c>
      <c r="U5183" s="15" t="n">
        <v>32</v>
      </c>
      <c r="V5183" s="15">
        <f>ROUNDUP((T5183+U5183+2*'Read Me'!$B$13)*(1+'Read Me'!$B$12),-1)</f>
        <v/>
      </c>
      <c r="W5183" s="15">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I-P-0016</t>
        </is>
      </c>
      <c r="B5184" s="12" t="inlineStr">
        <is>
          <t>I</t>
        </is>
      </c>
      <c r="C5184" s="12" t="inlineStr">
        <is>
          <t>Modular / portable power</t>
        </is>
      </c>
      <c r="D5184" s="12" t="inlineStr">
        <is>
          <t>CHP-HR dump-cooler fans and hot-water circulation pumps</t>
        </is>
      </c>
      <c r="E5184" s="12" t="inlineStr">
        <is>
          <t>CHP-AUX</t>
        </is>
      </c>
      <c r="F5184" s="12" t="inlineStr">
        <is>
          <t>CHP-AUX: 13.8 / 0.48 kV, 750 kVA auxiliary pad-mount (engine auxiliari</t>
        </is>
      </c>
      <c r="G5184" s="12" t="inlineStr">
        <is>
          <t>CHP-HR</t>
        </is>
      </c>
      <c r="H5184" s="12" t="inlineStr">
        <is>
          <t>CHP-HR: exhaust heat-recovery rack (4 exhaust heat exchangers and stac</t>
        </is>
      </c>
      <c r="I5184" s="12" t="inlineStr">
        <is>
          <t>LV 600 V</t>
        </is>
      </c>
      <c r="J5184" s="12" t="inlineStr">
        <is>
          <t>Type TC-ER 600 V 3/C Cu XHHW-2 + ground, PVC jacket</t>
        </is>
      </c>
      <c r="K5184" s="12" t="inlineStr">
        <is>
          <t>LV|3/C+G|350</t>
        </is>
      </c>
      <c r="L5184" s="12" t="inlineStr">
        <is>
          <t>3/C+G</t>
        </is>
      </c>
      <c r="M5184" s="12" t="inlineStr">
        <is>
          <t>350 kcmil</t>
        </is>
      </c>
      <c r="N5184" s="12" t="n">
        <v>1</v>
      </c>
      <c r="O5184" s="12" t="n">
        <v>1</v>
      </c>
      <c r="P5184" s="12" t="n">
        <v>480</v>
      </c>
      <c r="Q5184" s="12" t="n">
        <v>160</v>
      </c>
      <c r="R5184" s="12" t="n">
        <v>226.4</v>
      </c>
      <c r="S5184" s="12" t="inlineStr">
        <is>
          <t>Duct bank</t>
        </is>
      </c>
      <c r="T5184" s="15" t="n">
        <v>69</v>
      </c>
      <c r="U5184" s="15" t="n">
        <v>32</v>
      </c>
      <c r="V5184" s="15">
        <f>ROUNDUP((T5184+U5184+2*'Read Me'!$B$13)*(1+'Read Me'!$B$12),-1)</f>
        <v/>
      </c>
      <c r="W5184" s="15">
        <f>V5184*N5184*O5184</f>
        <v/>
      </c>
      <c r="X5184" s="12">
        <f>IF(LEFT(I5184,2)="MV",2*N5184*IF(L5184="1/C",O5184,1),0)</f>
        <v/>
      </c>
      <c r="Y5184" s="12">
        <f>IF(OR(LEFT(K5184,4)="LVAX",LEFT(K5184,6)="MV15AX",LEFT(K5184,4)="CTAX",LEFT(K5184,2)="W|"),2*N5184*O5184,0)</f>
        <v/>
      </c>
      <c r="Z5184" s="12" t="inlineStr">
        <is>
          <t>VD 0.3 %</t>
        </is>
      </c>
      <c r="AA5184" s="12">
        <f>N5184*O5184</f>
        <v/>
      </c>
    </row>
    <row r="5185">
      <c r="A5185" s="12" t="inlineStr">
        <is>
          <t>I-P-0017</t>
        </is>
      </c>
      <c r="B5185" s="12" t="inlineStr">
        <is>
          <t>I</t>
        </is>
      </c>
      <c r="C5185" s="12" t="inlineStr">
        <is>
          <t>Modular / portable power</t>
        </is>
      </c>
      <c r="D5185" s="12" t="inlineStr">
        <is>
          <t>CHP-SWG station service: DC charger, heaters, HVAC, lighting</t>
        </is>
      </c>
      <c r="E5185" s="12" t="inlineStr">
        <is>
          <t>CHP-AUX</t>
        </is>
      </c>
      <c r="F5185" s="12" t="inlineStr">
        <is>
          <t>CHP-AUX: 13.8 / 0.48 kV, 750 kVA auxiliary pad-mount (engine auxiliari</t>
        </is>
      </c>
      <c r="G5185" s="12" t="inlineStr">
        <is>
          <t>CHP-SWG</t>
        </is>
      </c>
      <c r="H5185" s="12" t="inlineStr">
        <is>
          <t>CHP-SWG: 13.8 kV switchgear container (4 engine breakers, site feeder)</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45</v>
      </c>
      <c r="R5185" s="12" t="n">
        <v>57</v>
      </c>
      <c r="S5185" s="12" t="inlineStr">
        <is>
          <t>Riser</t>
        </is>
      </c>
      <c r="T5185" s="15" t="n">
        <v>4</v>
      </c>
      <c r="U5185" s="15" t="n">
        <v>32</v>
      </c>
      <c r="V5185" s="15">
        <f>ROUNDUP((T5185+U5185+2*'Read Me'!$B$13)*(1+'Read Me'!$B$12),-1)</f>
        <v/>
      </c>
      <c r="W5185" s="15">
        <f>V5185*N5185*O5185</f>
        <v/>
      </c>
      <c r="X5185" s="12">
        <f>IF(LEFT(I5185,2)="MV",2*N5185*IF(L5185="1/C",O5185,1),0)</f>
        <v/>
      </c>
      <c r="Y5185" s="12">
        <f>IF(OR(LEFT(K5185,4)="LVAX",LEFT(K5185,6)="MV15AX",LEFT(K5185,4)="CTAX",LEFT(K5185,2)="W|"),2*N5185*O5185,0)</f>
        <v/>
      </c>
      <c r="Z5185" s="12" t="inlineStr">
        <is>
          <t>VD 0.3 %</t>
        </is>
      </c>
      <c r="AA5185" s="12">
        <f>N5185*O5185</f>
        <v/>
      </c>
    </row>
    <row r="5186">
      <c r="A5186" s="12" t="inlineStr">
        <is>
          <t>I-P-0018</t>
        </is>
      </c>
      <c r="B5186" s="12" t="inlineStr">
        <is>
          <t>I</t>
        </is>
      </c>
      <c r="C5186" s="12" t="inlineStr">
        <is>
          <t>Modular / portable power</t>
        </is>
      </c>
      <c r="D5186" s="12" t="inlineStr">
        <is>
          <t>LV power feeder</t>
        </is>
      </c>
      <c r="E5186" s="12" t="inlineStr"/>
      <c r="F5186" s="12" t="inlineStr">
        <is>
          <t>PCM: power control module</t>
        </is>
      </c>
      <c r="G5186" s="12" t="inlineStr"/>
      <c r="H5186" s="12" t="inlineStr">
        <is>
          <t>CONDITIONAL: BESS black-start alternative</t>
        </is>
      </c>
      <c r="I5186" s="12" t="inlineStr">
        <is>
          <t>LV 600 V</t>
        </is>
      </c>
      <c r="J5186" s="12" t="inlineStr">
        <is>
          <t>Type TC-ER 600 V 3/C Cu XHHW-2 + ground, PVC jacket</t>
        </is>
      </c>
      <c r="K5186" s="12" t="inlineStr">
        <is>
          <t>LV|3/C+G|6</t>
        </is>
      </c>
      <c r="L5186" s="12" t="inlineStr">
        <is>
          <t>3/C+G</t>
        </is>
      </c>
      <c r="M5186" s="12" t="inlineStr">
        <is>
          <t>6</t>
        </is>
      </c>
      <c r="N5186" s="12" t="n">
        <v>1</v>
      </c>
      <c r="O5186" s="12" t="n">
        <v>1</v>
      </c>
      <c r="P5186" s="12" t="n">
        <v>480</v>
      </c>
      <c r="Q5186" s="12" t="n">
        <v>15</v>
      </c>
      <c r="R5186" s="12" t="n">
        <v>21.2</v>
      </c>
      <c r="S5186" s="12" t="inlineStr">
        <is>
          <t>Duct bank</t>
        </is>
      </c>
      <c r="T5186" s="15" t="n">
        <v>516</v>
      </c>
      <c r="U5186" s="15" t="n">
        <v>32</v>
      </c>
      <c r="V5186" s="15">
        <f>ROUNDUP((T5186+U5186+2*'Read Me'!$B$13)*(1+'Read Me'!$B$12),-1)</f>
        <v/>
      </c>
      <c r="W5186" s="15">
        <f>V5186*N5186*O5186</f>
        <v/>
      </c>
      <c r="X5186" s="12">
        <f>IF(LEFT(I5186,2)="MV",2*N5186*IF(L5186="1/C",O5186,1),0)</f>
        <v/>
      </c>
      <c r="Y5186" s="12">
        <f>IF(OR(LEFT(K5186,4)="LVAX",LEFT(K5186,6)="MV15AX",LEFT(K5186,4)="CTAX",LEFT(K5186,2)="W|"),2*N5186*O5186,0)</f>
        <v/>
      </c>
      <c r="Z5186" s="12" t="inlineStr">
        <is>
          <t>VD 2.3 %</t>
        </is>
      </c>
      <c r="AA5186" s="12">
        <f>N5186*O5186</f>
        <v/>
      </c>
    </row>
    <row r="5187">
      <c r="A5187" s="12" t="inlineStr">
        <is>
          <t>I-P-0019</t>
        </is>
      </c>
      <c r="B5187" s="12" t="inlineStr">
        <is>
          <t>I</t>
        </is>
      </c>
      <c r="C5187" s="12" t="inlineStr">
        <is>
          <t>Modular / portable power</t>
        </is>
      </c>
      <c r="D5187" s="12" t="inlineStr">
        <is>
          <t>LV power feeder</t>
        </is>
      </c>
      <c r="E5187" s="12" t="inlineStr"/>
      <c r="F5187" s="12" t="inlineStr">
        <is>
          <t>SC-1 PCM + 15 kV GCB</t>
        </is>
      </c>
      <c r="G5187" s="12" t="inlineStr"/>
      <c r="H5187" s="12" t="inlineStr">
        <is>
          <t>CONDITIONAL: SC-1 inlet chiller / evaporative cooler</t>
        </is>
      </c>
      <c r="I5187" s="12" t="inlineStr">
        <is>
          <t>LV 600 V</t>
        </is>
      </c>
      <c r="J5187" s="12" t="inlineStr">
        <is>
          <t>Type TC-ER 600 V 3/C Cu XHHW-2 + ground, PVC jacket</t>
        </is>
      </c>
      <c r="K5187" s="12" t="inlineStr">
        <is>
          <t>LV|3/C+G|350</t>
        </is>
      </c>
      <c r="L5187" s="12" t="inlineStr">
        <is>
          <t>3/C+G</t>
        </is>
      </c>
      <c r="M5187" s="12" t="inlineStr">
        <is>
          <t>350 kcmil</t>
        </is>
      </c>
      <c r="N5187" s="12" t="n">
        <v>3</v>
      </c>
      <c r="O5187" s="12" t="n">
        <v>1</v>
      </c>
      <c r="P5187" s="12" t="n">
        <v>480</v>
      </c>
      <c r="Q5187" s="12" t="n">
        <v>500</v>
      </c>
      <c r="R5187" s="12" t="n">
        <v>707.6</v>
      </c>
      <c r="S5187" s="12" t="inlineStr">
        <is>
          <t>Duct bank</t>
        </is>
      </c>
      <c r="T5187" s="15" t="n">
        <v>246</v>
      </c>
      <c r="U5187" s="15" t="n">
        <v>61</v>
      </c>
      <c r="V5187" s="15">
        <f>ROUNDUP((T5187+U5187+2*'Read Me'!$B$13)*(1+'Read Me'!$B$12),-1)</f>
        <v/>
      </c>
      <c r="W5187" s="15">
        <f>V5187*N5187*O5187</f>
        <v/>
      </c>
      <c r="X5187" s="12">
        <f>IF(LEFT(I5187,2)="MV",2*N5187*IF(L5187="1/C",O5187,1),0)</f>
        <v/>
      </c>
      <c r="Y5187" s="12">
        <f>IF(OR(LEFT(K5187,4)="LVAX",LEFT(K5187,6)="MV15AX",LEFT(K5187,4)="CTAX",LEFT(K5187,2)="W|"),2*N5187*O5187,0)</f>
        <v/>
      </c>
      <c r="Z5187" s="12" t="inlineStr">
        <is>
          <t>VD 1.1 %</t>
        </is>
      </c>
      <c r="AA5187" s="12">
        <f>N5187*O5187</f>
        <v/>
      </c>
    </row>
    <row r="5188">
      <c r="A5188" s="12" t="inlineStr">
        <is>
          <t>I-P-0020</t>
        </is>
      </c>
      <c r="B5188" s="12" t="inlineStr">
        <is>
          <t>I</t>
        </is>
      </c>
      <c r="C5188" s="12" t="inlineStr">
        <is>
          <t>Modular / portable power</t>
        </is>
      </c>
      <c r="D5188" s="12" t="inlineStr">
        <is>
          <t>LV power feeder</t>
        </is>
      </c>
      <c r="E5188" s="12" t="inlineStr"/>
      <c r="F5188" s="12" t="inlineStr">
        <is>
          <t>SC-2 PCM + 15 kV GCB</t>
        </is>
      </c>
      <c r="G5188" s="12" t="inlineStr"/>
      <c r="H5188" s="12" t="inlineStr">
        <is>
          <t>CONDITIONAL: SC-2 inlet chiller / evaporative cooler</t>
        </is>
      </c>
      <c r="I5188" s="12" t="inlineStr">
        <is>
          <t>LV 600 V</t>
        </is>
      </c>
      <c r="J5188" s="12" t="inlineStr">
        <is>
          <t>Type TC-ER 600 V 3/C Cu XHHW-2 + ground, PVC jacket</t>
        </is>
      </c>
      <c r="K5188" s="12" t="inlineStr">
        <is>
          <t>LV|3/C+G|350</t>
        </is>
      </c>
      <c r="L5188" s="12" t="inlineStr">
        <is>
          <t>3/C+G</t>
        </is>
      </c>
      <c r="M5188" s="12" t="inlineStr">
        <is>
          <t>350 kcmil</t>
        </is>
      </c>
      <c r="N5188" s="12" t="n">
        <v>3</v>
      </c>
      <c r="O5188" s="12" t="n">
        <v>1</v>
      </c>
      <c r="P5188" s="12" t="n">
        <v>480</v>
      </c>
      <c r="Q5188" s="12" t="n">
        <v>500</v>
      </c>
      <c r="R5188" s="12" t="n">
        <v>707.6</v>
      </c>
      <c r="S5188" s="12" t="inlineStr">
        <is>
          <t>Duct bank</t>
        </is>
      </c>
      <c r="T5188" s="15" t="n">
        <v>10</v>
      </c>
      <c r="U5188" s="15" t="n">
        <v>106</v>
      </c>
      <c r="V5188" s="15">
        <f>ROUNDUP((T5188+U5188+2*'Read Me'!$B$13)*(1+'Read Me'!$B$12),-1)</f>
        <v/>
      </c>
      <c r="W5188" s="15">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I-P-0021</t>
        </is>
      </c>
      <c r="B5189" s="12" t="inlineStr">
        <is>
          <t>I</t>
        </is>
      </c>
      <c r="C5189" s="12" t="inlineStr">
        <is>
          <t>Modular / portable power</t>
        </is>
      </c>
      <c r="D5189" s="12" t="inlineStr">
        <is>
          <t>FC-5 SOFC output to inverter / AC cabinet</t>
        </is>
      </c>
      <c r="E5189" s="12" t="inlineStr">
        <is>
          <t>FC-5</t>
        </is>
      </c>
      <c r="F5189" s="12" t="inlineStr">
        <is>
          <t>FC-5: SOFC module (200-300 kW class)</t>
        </is>
      </c>
      <c r="G5189" s="12" t="inlineStr"/>
      <c r="H5189" s="12" t="inlineStr">
        <is>
          <t>FC-5..8 inverter / AC cabinet / desulfurizer</t>
        </is>
      </c>
      <c r="I5189" s="12" t="inlineStr">
        <is>
          <t>LV 600 V</t>
        </is>
      </c>
      <c r="J5189" s="12" t="inlineStr">
        <is>
          <t>Type TC-ER 600 V 3/C Cu XHHW-2 + ground, PVC jacket</t>
        </is>
      </c>
      <c r="K5189" s="12" t="inlineStr">
        <is>
          <t>LV|3/C+G|3/0</t>
        </is>
      </c>
      <c r="L5189" s="12" t="inlineStr">
        <is>
          <t>3/C+G</t>
        </is>
      </c>
      <c r="M5189" s="12" t="inlineStr">
        <is>
          <t>3/0</t>
        </is>
      </c>
      <c r="N5189" s="12" t="n">
        <v>2</v>
      </c>
      <c r="O5189" s="12" t="n">
        <v>1</v>
      </c>
      <c r="P5189" s="12" t="n">
        <v>480</v>
      </c>
      <c r="Q5189" s="12" t="n">
        <v>250</v>
      </c>
      <c r="R5189" s="12" t="n">
        <v>316.5</v>
      </c>
      <c r="S5189" s="12" t="inlineStr">
        <is>
          <t>Surface</t>
        </is>
      </c>
      <c r="T5189" s="15" t="n">
        <v>48</v>
      </c>
      <c r="U5189" s="15" t="n">
        <v>27</v>
      </c>
      <c r="V5189" s="15">
        <f>ROUNDUP((T5189+U5189+2*'Read Me'!$B$13)*(1+'Read Me'!$B$12),-1)</f>
        <v/>
      </c>
      <c r="W5189" s="15">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I-P-0022</t>
        </is>
      </c>
      <c r="B5190" s="12" t="inlineStr">
        <is>
          <t>I</t>
        </is>
      </c>
      <c r="C5190" s="12" t="inlineStr">
        <is>
          <t>Modular / portable power</t>
        </is>
      </c>
      <c r="D5190" s="12" t="inlineStr">
        <is>
          <t>FC-6 SOFC output to inverter / AC cabinet</t>
        </is>
      </c>
      <c r="E5190" s="12" t="inlineStr">
        <is>
          <t>FC-6</t>
        </is>
      </c>
      <c r="F5190" s="12" t="inlineStr">
        <is>
          <t>FC-6: SOFC module (200-300 kW class)</t>
        </is>
      </c>
      <c r="G5190" s="12" t="inlineStr"/>
      <c r="H5190" s="12" t="inlineStr">
        <is>
          <t>FC-5..8 inverter / AC cabinet / desulfurizer</t>
        </is>
      </c>
      <c r="I5190" s="12" t="inlineStr">
        <is>
          <t>LV 600 V</t>
        </is>
      </c>
      <c r="J5190" s="12" t="inlineStr">
        <is>
          <t>Type TC-ER 600 V 3/C Cu XHHW-2 + ground, PVC jacket</t>
        </is>
      </c>
      <c r="K5190" s="12" t="inlineStr">
        <is>
          <t>LV|3/C+G|3/0</t>
        </is>
      </c>
      <c r="L5190" s="12" t="inlineStr">
        <is>
          <t>3/C+G</t>
        </is>
      </c>
      <c r="M5190" s="12" t="inlineStr">
        <is>
          <t>3/0</t>
        </is>
      </c>
      <c r="N5190" s="12" t="n">
        <v>2</v>
      </c>
      <c r="O5190" s="12" t="n">
        <v>1</v>
      </c>
      <c r="P5190" s="12" t="n">
        <v>480</v>
      </c>
      <c r="Q5190" s="12" t="n">
        <v>250</v>
      </c>
      <c r="R5190" s="12" t="n">
        <v>316.5</v>
      </c>
      <c r="S5190" s="12" t="inlineStr">
        <is>
          <t>Surface</t>
        </is>
      </c>
      <c r="T5190" s="15" t="n">
        <v>40</v>
      </c>
      <c r="U5190" s="15" t="n">
        <v>27</v>
      </c>
      <c r="V5190" s="15">
        <f>ROUNDUP((T5190+U5190+2*'Read Me'!$B$13)*(1+'Read Me'!$B$12),-1)</f>
        <v/>
      </c>
      <c r="W5190" s="15">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I-P-0023</t>
        </is>
      </c>
      <c r="B5191" s="12" t="inlineStr">
        <is>
          <t>I</t>
        </is>
      </c>
      <c r="C5191" s="12" t="inlineStr">
        <is>
          <t>Modular / portable power</t>
        </is>
      </c>
      <c r="D5191" s="12" t="inlineStr">
        <is>
          <t>FC-7 SOFC output to inverter / AC cabinet</t>
        </is>
      </c>
      <c r="E5191" s="12" t="inlineStr">
        <is>
          <t>FC-7</t>
        </is>
      </c>
      <c r="F5191" s="12" t="inlineStr">
        <is>
          <t>FC-7: SOFC module (200-300 kW class)</t>
        </is>
      </c>
      <c r="G5191" s="12" t="inlineStr"/>
      <c r="H5191" s="12" t="inlineStr">
        <is>
          <t>FC-5..8 inverter / AC cabinet / desulfurizer</t>
        </is>
      </c>
      <c r="I5191" s="12" t="inlineStr">
        <is>
          <t>LV 600 V</t>
        </is>
      </c>
      <c r="J5191" s="12" t="inlineStr">
        <is>
          <t>Type TC-ER 600 V 3/C Cu XHHW-2 + ground, PVC jacket</t>
        </is>
      </c>
      <c r="K5191" s="12" t="inlineStr">
        <is>
          <t>LV|3/C+G|3/0</t>
        </is>
      </c>
      <c r="L5191" s="12" t="inlineStr">
        <is>
          <t>3/C+G</t>
        </is>
      </c>
      <c r="M5191" s="12" t="inlineStr">
        <is>
          <t>3/0</t>
        </is>
      </c>
      <c r="N5191" s="12" t="n">
        <v>2</v>
      </c>
      <c r="O5191" s="12" t="n">
        <v>1</v>
      </c>
      <c r="P5191" s="12" t="n">
        <v>480</v>
      </c>
      <c r="Q5191" s="12" t="n">
        <v>250</v>
      </c>
      <c r="R5191" s="12" t="n">
        <v>316.5</v>
      </c>
      <c r="S5191" s="12" t="inlineStr">
        <is>
          <t>Surface</t>
        </is>
      </c>
      <c r="T5191" s="15" t="n">
        <v>29</v>
      </c>
      <c r="U5191" s="15" t="n">
        <v>27</v>
      </c>
      <c r="V5191" s="15">
        <f>ROUNDUP((T5191+U5191+2*'Read Me'!$B$13)*(1+'Read Me'!$B$12),-1)</f>
        <v/>
      </c>
      <c r="W5191" s="15">
        <f>V5191*N5191*O5191</f>
        <v/>
      </c>
      <c r="X5191" s="12">
        <f>IF(LEFT(I5191,2)="MV",2*N5191*IF(L5191="1/C",O5191,1),0)</f>
        <v/>
      </c>
      <c r="Y5191" s="12">
        <f>IF(OR(LEFT(K5191,4)="LVAX",LEFT(K5191,6)="MV15AX",LEFT(K5191,4)="CTAX",LEFT(K5191,2)="W|"),2*N5191*O5191,0)</f>
        <v/>
      </c>
      <c r="Z5191" s="12" t="inlineStr">
        <is>
          <t>VD 0.3 %</t>
        </is>
      </c>
      <c r="AA5191" s="12">
        <f>N5191*O5191</f>
        <v/>
      </c>
    </row>
    <row r="5192">
      <c r="A5192" s="12" t="inlineStr">
        <is>
          <t>I-P-0024</t>
        </is>
      </c>
      <c r="B5192" s="12" t="inlineStr">
        <is>
          <t>I</t>
        </is>
      </c>
      <c r="C5192" s="12" t="inlineStr">
        <is>
          <t>Modular / portable power</t>
        </is>
      </c>
      <c r="D5192" s="12" t="inlineStr">
        <is>
          <t>FC-8 SOFC output to inverter / AC cabinet</t>
        </is>
      </c>
      <c r="E5192" s="12" t="inlineStr">
        <is>
          <t>FC-8</t>
        </is>
      </c>
      <c r="F5192" s="12" t="inlineStr">
        <is>
          <t>FC-8: SOFC module (200-300 kW class)</t>
        </is>
      </c>
      <c r="G5192" s="12" t="inlineStr"/>
      <c r="H5192" s="12" t="inlineStr">
        <is>
          <t>FC-5..8 inverter / AC cabinet / desulfurizer</t>
        </is>
      </c>
      <c r="I5192" s="12" t="inlineStr">
        <is>
          <t>LV 600 V</t>
        </is>
      </c>
      <c r="J5192" s="12" t="inlineStr">
        <is>
          <t>Type TC-ER 600 V 3/C Cu XHHW-2 + ground, PVC jacket</t>
        </is>
      </c>
      <c r="K5192" s="12" t="inlineStr">
        <is>
          <t>LV|3/C+G|3/0</t>
        </is>
      </c>
      <c r="L5192" s="12" t="inlineStr">
        <is>
          <t>3/C+G</t>
        </is>
      </c>
      <c r="M5192" s="12" t="inlineStr">
        <is>
          <t>3/0</t>
        </is>
      </c>
      <c r="N5192" s="12" t="n">
        <v>2</v>
      </c>
      <c r="O5192" s="12" t="n">
        <v>1</v>
      </c>
      <c r="P5192" s="12" t="n">
        <v>480</v>
      </c>
      <c r="Q5192" s="12" t="n">
        <v>250</v>
      </c>
      <c r="R5192" s="12" t="n">
        <v>316.5</v>
      </c>
      <c r="S5192" s="12" t="inlineStr">
        <is>
          <t>Tray</t>
        </is>
      </c>
      <c r="T5192" s="15" t="n">
        <v>2</v>
      </c>
      <c r="U5192" s="15" t="n">
        <v>27</v>
      </c>
      <c r="V5192" s="15">
        <f>ROUNDUP((T5192+U5192+2*'Read Me'!$B$13)*(1+'Read Me'!$B$12),-1)</f>
        <v/>
      </c>
      <c r="W5192" s="15">
        <f>V5192*N5192*O5192</f>
        <v/>
      </c>
      <c r="X5192" s="12">
        <f>IF(LEFT(I5192,2)="MV",2*N5192*IF(L5192="1/C",O5192,1),0)</f>
        <v/>
      </c>
      <c r="Y5192" s="12">
        <f>IF(OR(LEFT(K5192,4)="LVAX",LEFT(K5192,6)="MV15AX",LEFT(K5192,4)="CTAX",LEFT(K5192,2)="W|"),2*N5192*O5192,0)</f>
        <v/>
      </c>
      <c r="Z5192" s="12" t="inlineStr">
        <is>
          <t>VD 0.1 %</t>
        </is>
      </c>
      <c r="AA5192" s="12">
        <f>N5192*O5192</f>
        <v/>
      </c>
    </row>
    <row r="5193">
      <c r="A5193" s="12" t="inlineStr">
        <is>
          <t>I-P-0025</t>
        </is>
      </c>
      <c r="B5193" s="12" t="inlineStr">
        <is>
          <t>I</t>
        </is>
      </c>
      <c r="C5193" s="12" t="inlineStr">
        <is>
          <t>Modular / portable power</t>
        </is>
      </c>
      <c r="D5193" s="12" t="inlineStr">
        <is>
          <t>Motor 1 of 6, 15 kW</t>
        </is>
      </c>
      <c r="E5193" s="12" t="inlineStr"/>
      <c r="F5193" s="12" t="inlineStr">
        <is>
          <t>SC-2 PCM + 15 kV GCB</t>
        </is>
      </c>
      <c r="G5193" s="12" t="inlineStr"/>
      <c r="H5193" s="12" t="inlineStr">
        <is>
          <t>Fuel-gas compressors 3 x 100% electric</t>
        </is>
      </c>
      <c r="I5193" s="12" t="inlineStr">
        <is>
          <t>LV 600 V</t>
        </is>
      </c>
      <c r="J5193" s="12" t="inlineStr">
        <is>
          <t>ARMOR-X MC-HL 600 V 3/C Cu XHHW-2 + ground, CWA, black PVC (Class I Div 2)</t>
        </is>
      </c>
      <c r="K5193" s="12" t="inlineStr">
        <is>
          <t>LVAX|3/C+G|10</t>
        </is>
      </c>
      <c r="L5193" s="12" t="inlineStr">
        <is>
          <t>3/C+G</t>
        </is>
      </c>
      <c r="M5193" s="12" t="inlineStr">
        <is>
          <t>10</t>
        </is>
      </c>
      <c r="N5193" s="12" t="n">
        <v>1</v>
      </c>
      <c r="O5193" s="12" t="n">
        <v>1</v>
      </c>
      <c r="P5193" s="12" t="n">
        <v>480</v>
      </c>
      <c r="Q5193" s="12" t="n">
        <v>15</v>
      </c>
      <c r="R5193" s="12" t="n">
        <v>21.2</v>
      </c>
      <c r="S5193" s="12" t="inlineStr">
        <is>
          <t>Duct bank</t>
        </is>
      </c>
      <c r="T5193" s="15" t="n">
        <v>8</v>
      </c>
      <c r="U5193" s="15" t="n">
        <v>108</v>
      </c>
      <c r="V5193" s="15">
        <f>ROUNDUP((T5193+U5193+2*'Read Me'!$B$13)*(1+'Read Me'!$B$12),-1)</f>
        <v/>
      </c>
      <c r="W5193" s="15">
        <f>V5193*N5193*O5193</f>
        <v/>
      </c>
      <c r="X5193" s="12">
        <f>IF(LEFT(I5193,2)="MV",2*N5193*IF(L5193="1/C",O5193,1),0)</f>
        <v/>
      </c>
      <c r="Y5193" s="12">
        <f>IF(OR(LEFT(K5193,4)="LVAX",LEFT(K5193,6)="MV15AX",LEFT(K5193,4)="CTAX",LEFT(K5193,2)="W|"),2*N5193*O5193,0)</f>
        <v/>
      </c>
      <c r="Z5193" s="12" t="inlineStr">
        <is>
          <t>VD 1.2 %</t>
        </is>
      </c>
      <c r="AA5193" s="12">
        <f>N5193*O5193</f>
        <v/>
      </c>
    </row>
    <row r="5194">
      <c r="A5194" s="12" t="inlineStr">
        <is>
          <t>I-P-0026</t>
        </is>
      </c>
      <c r="B5194" s="12" t="inlineStr">
        <is>
          <t>I</t>
        </is>
      </c>
      <c r="C5194" s="12" t="inlineStr">
        <is>
          <t>Modular / portable power</t>
        </is>
      </c>
      <c r="D5194" s="12" t="inlineStr">
        <is>
          <t>Motor 2 of 6, 15 kW</t>
        </is>
      </c>
      <c r="E5194" s="12" t="inlineStr"/>
      <c r="F5194" s="12" t="inlineStr">
        <is>
          <t>SC-2 PCM + 15 kV GCB</t>
        </is>
      </c>
      <c r="G5194" s="12" t="inlineStr"/>
      <c r="H5194" s="12" t="inlineStr">
        <is>
          <t>Fuel-gas compressors 3 x 100% electric</t>
        </is>
      </c>
      <c r="I5194" s="12" t="inlineStr">
        <is>
          <t>LV 600 V</t>
        </is>
      </c>
      <c r="J5194" s="12" t="inlineStr">
        <is>
          <t>ARMOR-X MC-HL 600 V 3/C Cu XHHW-2 + ground, CWA, black PVC (Class I Div 2)</t>
        </is>
      </c>
      <c r="K5194" s="12" t="inlineStr">
        <is>
          <t>LVAX|3/C+G|10</t>
        </is>
      </c>
      <c r="L5194" s="12" t="inlineStr">
        <is>
          <t>3/C+G</t>
        </is>
      </c>
      <c r="M5194" s="12" t="inlineStr">
        <is>
          <t>10</t>
        </is>
      </c>
      <c r="N5194" s="12" t="n">
        <v>1</v>
      </c>
      <c r="O5194" s="12" t="n">
        <v>1</v>
      </c>
      <c r="P5194" s="12" t="n">
        <v>480</v>
      </c>
      <c r="Q5194" s="12" t="n">
        <v>15</v>
      </c>
      <c r="R5194" s="12" t="n">
        <v>21.2</v>
      </c>
      <c r="S5194" s="12" t="inlineStr">
        <is>
          <t>Duct bank</t>
        </is>
      </c>
      <c r="T5194" s="15" t="n">
        <v>8</v>
      </c>
      <c r="U5194" s="15" t="n">
        <v>108</v>
      </c>
      <c r="V5194" s="15">
        <f>ROUNDUP((T5194+U5194+2*'Read Me'!$B$13)*(1+'Read Me'!$B$12),-1)</f>
        <v/>
      </c>
      <c r="W5194" s="15">
        <f>V5194*N5194*O5194</f>
        <v/>
      </c>
      <c r="X5194" s="12">
        <f>IF(LEFT(I5194,2)="MV",2*N5194*IF(L5194="1/C",O5194,1),0)</f>
        <v/>
      </c>
      <c r="Y5194" s="12">
        <f>IF(OR(LEFT(K5194,4)="LVAX",LEFT(K5194,6)="MV15AX",LEFT(K5194,4)="CTAX",LEFT(K5194,2)="W|"),2*N5194*O5194,0)</f>
        <v/>
      </c>
      <c r="Z5194" s="12" t="inlineStr">
        <is>
          <t>VD 1.2 %</t>
        </is>
      </c>
      <c r="AA5194" s="12">
        <f>N5194*O5194</f>
        <v/>
      </c>
    </row>
    <row r="5195">
      <c r="A5195" s="12" t="inlineStr">
        <is>
          <t>I-P-0027</t>
        </is>
      </c>
      <c r="B5195" s="12" t="inlineStr">
        <is>
          <t>I</t>
        </is>
      </c>
      <c r="C5195" s="12" t="inlineStr">
        <is>
          <t>Modular / portable power</t>
        </is>
      </c>
      <c r="D5195" s="12" t="inlineStr">
        <is>
          <t>Motor 3 of 6, 15 kW</t>
        </is>
      </c>
      <c r="E5195" s="12" t="inlineStr"/>
      <c r="F5195" s="12" t="inlineStr">
        <is>
          <t>SC-2 PCM + 15 kV GCB</t>
        </is>
      </c>
      <c r="G5195" s="12" t="inlineStr"/>
      <c r="H5195" s="12" t="inlineStr">
        <is>
          <t>Fuel-gas compressors 3 x 100% electric</t>
        </is>
      </c>
      <c r="I5195" s="12" t="inlineStr">
        <is>
          <t>LV 600 V</t>
        </is>
      </c>
      <c r="J5195" s="12" t="inlineStr">
        <is>
          <t>ARMOR-X MC-HL 600 V 3/C Cu XHHW-2 + ground, CWA, black PVC (Class I Div 2)</t>
        </is>
      </c>
      <c r="K5195" s="12" t="inlineStr">
        <is>
          <t>LVAX|3/C+G|10</t>
        </is>
      </c>
      <c r="L5195" s="12" t="inlineStr">
        <is>
          <t>3/C+G</t>
        </is>
      </c>
      <c r="M5195" s="12" t="inlineStr">
        <is>
          <t>10</t>
        </is>
      </c>
      <c r="N5195" s="12" t="n">
        <v>1</v>
      </c>
      <c r="O5195" s="12" t="n">
        <v>1</v>
      </c>
      <c r="P5195" s="12" t="n">
        <v>480</v>
      </c>
      <c r="Q5195" s="12" t="n">
        <v>15</v>
      </c>
      <c r="R5195" s="12" t="n">
        <v>21.2</v>
      </c>
      <c r="S5195" s="12" t="inlineStr">
        <is>
          <t>Duct bank</t>
        </is>
      </c>
      <c r="T5195" s="15" t="n">
        <v>8</v>
      </c>
      <c r="U5195" s="15" t="n">
        <v>108</v>
      </c>
      <c r="V5195" s="15">
        <f>ROUNDUP((T5195+U5195+2*'Read Me'!$B$13)*(1+'Read Me'!$B$12),-1)</f>
        <v/>
      </c>
      <c r="W5195" s="15">
        <f>V5195*N5195*O5195</f>
        <v/>
      </c>
      <c r="X5195" s="12">
        <f>IF(LEFT(I5195,2)="MV",2*N5195*IF(L5195="1/C",O5195,1),0)</f>
        <v/>
      </c>
      <c r="Y5195" s="12">
        <f>IF(OR(LEFT(K5195,4)="LVAX",LEFT(K5195,6)="MV15AX",LEFT(K5195,4)="CTAX",LEFT(K5195,2)="W|"),2*N5195*O5195,0)</f>
        <v/>
      </c>
      <c r="Z5195" s="12" t="inlineStr">
        <is>
          <t>VD 1.2 %</t>
        </is>
      </c>
      <c r="AA5195" s="12">
        <f>N5195*O5195</f>
        <v/>
      </c>
    </row>
    <row r="5196">
      <c r="A5196" s="12" t="inlineStr">
        <is>
          <t>I-P-0028</t>
        </is>
      </c>
      <c r="B5196" s="12" t="inlineStr">
        <is>
          <t>I</t>
        </is>
      </c>
      <c r="C5196" s="12" t="inlineStr">
        <is>
          <t>Modular / portable power</t>
        </is>
      </c>
      <c r="D5196" s="12" t="inlineStr">
        <is>
          <t>Motor 4 of 6, 15 kW</t>
        </is>
      </c>
      <c r="E5196" s="12" t="inlineStr"/>
      <c r="F5196" s="12" t="inlineStr">
        <is>
          <t>SC-2 PCM + 15 kV GCB</t>
        </is>
      </c>
      <c r="G5196" s="12" t="inlineStr"/>
      <c r="H5196" s="12" t="inlineStr">
        <is>
          <t>Fuel-gas compressors 3 x 100% electric</t>
        </is>
      </c>
      <c r="I5196" s="12" t="inlineStr">
        <is>
          <t>LV 600 V</t>
        </is>
      </c>
      <c r="J5196" s="12" t="inlineStr">
        <is>
          <t>ARMOR-X MC-HL 600 V 3/C Cu XHHW-2 + ground, CWA, black PVC (Class I Div 2)</t>
        </is>
      </c>
      <c r="K5196" s="12" t="inlineStr">
        <is>
          <t>LVAX|3/C+G|10</t>
        </is>
      </c>
      <c r="L5196" s="12" t="inlineStr">
        <is>
          <t>3/C+G</t>
        </is>
      </c>
      <c r="M5196" s="12" t="inlineStr">
        <is>
          <t>10</t>
        </is>
      </c>
      <c r="N5196" s="12" t="n">
        <v>1</v>
      </c>
      <c r="O5196" s="12" t="n">
        <v>1</v>
      </c>
      <c r="P5196" s="12" t="n">
        <v>480</v>
      </c>
      <c r="Q5196" s="12" t="n">
        <v>15</v>
      </c>
      <c r="R5196" s="12" t="n">
        <v>21.2</v>
      </c>
      <c r="S5196" s="12" t="inlineStr">
        <is>
          <t>Duct bank</t>
        </is>
      </c>
      <c r="T5196" s="15" t="n">
        <v>8</v>
      </c>
      <c r="U5196" s="15" t="n">
        <v>108</v>
      </c>
      <c r="V5196" s="15">
        <f>ROUNDUP((T5196+U5196+2*'Read Me'!$B$13)*(1+'Read Me'!$B$12),-1)</f>
        <v/>
      </c>
      <c r="W5196" s="15">
        <f>V5196*N5196*O5196</f>
        <v/>
      </c>
      <c r="X5196" s="12">
        <f>IF(LEFT(I5196,2)="MV",2*N5196*IF(L5196="1/C",O5196,1),0)</f>
        <v/>
      </c>
      <c r="Y5196" s="12">
        <f>IF(OR(LEFT(K5196,4)="LVAX",LEFT(K5196,6)="MV15AX",LEFT(K5196,4)="CTAX",LEFT(K5196,2)="W|"),2*N5196*O5196,0)</f>
        <v/>
      </c>
      <c r="Z5196" s="12" t="inlineStr">
        <is>
          <t>VD 1.2 %</t>
        </is>
      </c>
      <c r="AA5196" s="12">
        <f>N5196*O5196</f>
        <v/>
      </c>
    </row>
    <row r="5197">
      <c r="A5197" s="12" t="inlineStr">
        <is>
          <t>I-P-0029</t>
        </is>
      </c>
      <c r="B5197" s="12" t="inlineStr">
        <is>
          <t>I</t>
        </is>
      </c>
      <c r="C5197" s="12" t="inlineStr">
        <is>
          <t>Modular / portable power</t>
        </is>
      </c>
      <c r="D5197" s="12" t="inlineStr">
        <is>
          <t>Motor 5 of 6, 15 kW</t>
        </is>
      </c>
      <c r="E5197" s="12" t="inlineStr"/>
      <c r="F5197" s="12" t="inlineStr">
        <is>
          <t>SC-2 PCM + 15 kV GCB</t>
        </is>
      </c>
      <c r="G5197" s="12" t="inlineStr"/>
      <c r="H5197" s="12" t="inlineStr">
        <is>
          <t>Fuel-gas compressors 3 x 100% electric</t>
        </is>
      </c>
      <c r="I5197" s="12" t="inlineStr">
        <is>
          <t>LV 600 V</t>
        </is>
      </c>
      <c r="J5197" s="12" t="inlineStr">
        <is>
          <t>ARMOR-X MC-HL 600 V 3/C Cu XHHW-2 + ground, CWA, black PVC (Class I Div 2)</t>
        </is>
      </c>
      <c r="K5197" s="12" t="inlineStr">
        <is>
          <t>LVAX|3/C+G|10</t>
        </is>
      </c>
      <c r="L5197" s="12" t="inlineStr">
        <is>
          <t>3/C+G</t>
        </is>
      </c>
      <c r="M5197" s="12" t="inlineStr">
        <is>
          <t>10</t>
        </is>
      </c>
      <c r="N5197" s="12" t="n">
        <v>1</v>
      </c>
      <c r="O5197" s="12" t="n">
        <v>1</v>
      </c>
      <c r="P5197" s="12" t="n">
        <v>480</v>
      </c>
      <c r="Q5197" s="12" t="n">
        <v>15</v>
      </c>
      <c r="R5197" s="12" t="n">
        <v>21.2</v>
      </c>
      <c r="S5197" s="12" t="inlineStr">
        <is>
          <t>Duct bank</t>
        </is>
      </c>
      <c r="T5197" s="15" t="n">
        <v>8</v>
      </c>
      <c r="U5197" s="15" t="n">
        <v>108</v>
      </c>
      <c r="V5197" s="15">
        <f>ROUNDUP((T5197+U5197+2*'Read Me'!$B$13)*(1+'Read Me'!$B$12),-1)</f>
        <v/>
      </c>
      <c r="W5197" s="15">
        <f>V5197*N5197*O5197</f>
        <v/>
      </c>
      <c r="X5197" s="12">
        <f>IF(LEFT(I5197,2)="MV",2*N5197*IF(L5197="1/C",O5197,1),0)</f>
        <v/>
      </c>
      <c r="Y5197" s="12">
        <f>IF(OR(LEFT(K5197,4)="LVAX",LEFT(K5197,6)="MV15AX",LEFT(K5197,4)="CTAX",LEFT(K5197,2)="W|"),2*N5197*O5197,0)</f>
        <v/>
      </c>
      <c r="Z5197" s="12" t="inlineStr">
        <is>
          <t>VD 1.2 %</t>
        </is>
      </c>
      <c r="AA5197" s="12">
        <f>N5197*O5197</f>
        <v/>
      </c>
    </row>
    <row r="5198">
      <c r="A5198" s="12" t="inlineStr">
        <is>
          <t>I-P-0030</t>
        </is>
      </c>
      <c r="B5198" s="12" t="inlineStr">
        <is>
          <t>I</t>
        </is>
      </c>
      <c r="C5198" s="12" t="inlineStr">
        <is>
          <t>Modular / portable power</t>
        </is>
      </c>
      <c r="D5198" s="12" t="inlineStr">
        <is>
          <t>Motor 6 of 6, 15 kW</t>
        </is>
      </c>
      <c r="E5198" s="12" t="inlineStr"/>
      <c r="F5198" s="12" t="inlineStr">
        <is>
          <t>SC-2 PCM + 15 kV GCB</t>
        </is>
      </c>
      <c r="G5198" s="12" t="inlineStr"/>
      <c r="H5198" s="12" t="inlineStr">
        <is>
          <t>Fuel-gas compressors 3 x 100% electric</t>
        </is>
      </c>
      <c r="I5198" s="12" t="inlineStr">
        <is>
          <t>LV 600 V</t>
        </is>
      </c>
      <c r="J5198" s="12" t="inlineStr">
        <is>
          <t>ARMOR-X MC-HL 600 V 3/C Cu XHHW-2 + ground, CWA, black PVC (Class I Div 2)</t>
        </is>
      </c>
      <c r="K5198" s="12" t="inlineStr">
        <is>
          <t>LVAX|3/C+G|10</t>
        </is>
      </c>
      <c r="L5198" s="12" t="inlineStr">
        <is>
          <t>3/C+G</t>
        </is>
      </c>
      <c r="M5198" s="12" t="inlineStr">
        <is>
          <t>10</t>
        </is>
      </c>
      <c r="N5198" s="12" t="n">
        <v>1</v>
      </c>
      <c r="O5198" s="12" t="n">
        <v>1</v>
      </c>
      <c r="P5198" s="12" t="n">
        <v>480</v>
      </c>
      <c r="Q5198" s="12" t="n">
        <v>15</v>
      </c>
      <c r="R5198" s="12" t="n">
        <v>21.2</v>
      </c>
      <c r="S5198" s="12" t="inlineStr">
        <is>
          <t>Duct bank</t>
        </is>
      </c>
      <c r="T5198" s="15" t="n">
        <v>8</v>
      </c>
      <c r="U5198" s="15" t="n">
        <v>108</v>
      </c>
      <c r="V5198" s="15">
        <f>ROUNDUP((T5198+U5198+2*'Read Me'!$B$13)*(1+'Read Me'!$B$12),-1)</f>
        <v/>
      </c>
      <c r="W5198" s="15">
        <f>V5198*N5198*O5198</f>
        <v/>
      </c>
      <c r="X5198" s="12">
        <f>IF(LEFT(I5198,2)="MV",2*N5198*IF(L5198="1/C",O5198,1),0)</f>
        <v/>
      </c>
      <c r="Y5198" s="12">
        <f>IF(OR(LEFT(K5198,4)="LVAX",LEFT(K5198,6)="MV15AX",LEFT(K5198,4)="CTAX",LEFT(K5198,2)="W|"),2*N5198*O5198,0)</f>
        <v/>
      </c>
      <c r="Z5198" s="12" t="inlineStr">
        <is>
          <t>VD 1.2 %</t>
        </is>
      </c>
      <c r="AA5198" s="12">
        <f>N5198*O5198</f>
        <v/>
      </c>
    </row>
    <row r="5199">
      <c r="A5199" s="12" t="inlineStr">
        <is>
          <t>I-P-0031</t>
        </is>
      </c>
      <c r="B5199" s="12" t="inlineStr">
        <is>
          <t>I</t>
        </is>
      </c>
      <c r="C5199" s="12" t="inlineStr">
        <is>
          <t>Modular / portable power</t>
        </is>
      </c>
      <c r="D5199" s="12" t="inlineStr">
        <is>
          <t>GB-1.1 aux power: jacket-water heater, battery charger, enclosure</t>
        </is>
      </c>
      <c r="E5199" s="12" t="inlineStr">
        <is>
          <t>GBC-1</t>
        </is>
      </c>
      <c r="F5199" s="12" t="inlineStr">
        <is>
          <t xml:space="preserve">GBC-1: block GB-1 generator collector box, 480 V outdoor switchboard, </t>
        </is>
      </c>
      <c r="G5199" s="12" t="inlineStr">
        <is>
          <t>GB-1.1</t>
        </is>
      </c>
      <c r="H5199" s="12" t="inlineStr">
        <is>
          <t>GB-1.1: modular gas genset 500 kW, 480 V (block GB-1, unit 1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Surface</t>
        </is>
      </c>
      <c r="T5199" s="15" t="n">
        <v>44</v>
      </c>
      <c r="U5199" s="15" t="n">
        <v>28</v>
      </c>
      <c r="V5199" s="15">
        <f>ROUNDUP((T5199+U5199+2*'Read Me'!$B$13)*(1+'Read Me'!$B$12),-1)</f>
        <v/>
      </c>
      <c r="W5199" s="15">
        <f>V5199*N5199*O5199</f>
        <v/>
      </c>
      <c r="X5199" s="12">
        <f>IF(LEFT(I5199,2)="MV",2*N5199*IF(L5199="1/C",O5199,1),0)</f>
        <v/>
      </c>
      <c r="Y5199" s="12">
        <f>IF(OR(LEFT(K5199,4)="LVAX",LEFT(K5199,6)="MV15AX",LEFT(K5199,4)="CTAX",LEFT(K5199,2)="W|"),2*N5199*O5199,0)</f>
        <v/>
      </c>
      <c r="Z5199" s="12" t="inlineStr">
        <is>
          <t>VD 0.7 %</t>
        </is>
      </c>
      <c r="AA5199" s="12">
        <f>N5199*O5199</f>
        <v/>
      </c>
    </row>
    <row r="5200">
      <c r="A5200" s="12" t="inlineStr">
        <is>
          <t>I-P-0032</t>
        </is>
      </c>
      <c r="B5200" s="12" t="inlineStr">
        <is>
          <t>I</t>
        </is>
      </c>
      <c r="C5200" s="12" t="inlineStr">
        <is>
          <t>Modular / portable power</t>
        </is>
      </c>
      <c r="D5200" s="12" t="inlineStr">
        <is>
          <t>GB-1.2 aux power: jacket-water heater, battery charger, enclosure</t>
        </is>
      </c>
      <c r="E5200" s="12" t="inlineStr">
        <is>
          <t>GBC-1</t>
        </is>
      </c>
      <c r="F5200" s="12" t="inlineStr">
        <is>
          <t xml:space="preserve">GBC-1: block GB-1 generator collector box, 480 V outdoor switchboard, </t>
        </is>
      </c>
      <c r="G5200" s="12" t="inlineStr">
        <is>
          <t>GB-1.2</t>
        </is>
      </c>
      <c r="H5200" s="12" t="inlineStr">
        <is>
          <t>GB-1.2: modular gas genset 500 kW, 480 V (block GB-1, unit 2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34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0.6 %</t>
        </is>
      </c>
      <c r="AA5200" s="12">
        <f>N5200*O5200</f>
        <v/>
      </c>
    </row>
    <row r="5201">
      <c r="A5201" s="12" t="inlineStr">
        <is>
          <t>I-P-0033</t>
        </is>
      </c>
      <c r="B5201" s="12" t="inlineStr">
        <is>
          <t>I</t>
        </is>
      </c>
      <c r="C5201" s="12" t="inlineStr">
        <is>
          <t>Modular / portable power</t>
        </is>
      </c>
      <c r="D5201" s="12" t="inlineStr">
        <is>
          <t>GB-1.3 aux power: jacket-water heater, battery charger, enclosure</t>
        </is>
      </c>
      <c r="E5201" s="12" t="inlineStr">
        <is>
          <t>GBC-1</t>
        </is>
      </c>
      <c r="F5201" s="12" t="inlineStr">
        <is>
          <t xml:space="preserve">GBC-1: block GB-1 generator collector box, 480 V outdoor switchboard, </t>
        </is>
      </c>
      <c r="G5201" s="12" t="inlineStr">
        <is>
          <t>GB-1.3</t>
        </is>
      </c>
      <c r="H5201" s="12" t="inlineStr">
        <is>
          <t>GB-1.3: modular gas genset 500 kW, 480 V (block GB-1, unit 3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24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0.5 %</t>
        </is>
      </c>
      <c r="AA5201" s="12">
        <f>N5201*O5201</f>
        <v/>
      </c>
    </row>
    <row r="5202">
      <c r="A5202" s="12" t="inlineStr">
        <is>
          <t>I-P-0034</t>
        </is>
      </c>
      <c r="B5202" s="12" t="inlineStr">
        <is>
          <t>I</t>
        </is>
      </c>
      <c r="C5202" s="12" t="inlineStr">
        <is>
          <t>Modular / portable power</t>
        </is>
      </c>
      <c r="D5202" s="12" t="inlineStr">
        <is>
          <t>GB-1.4 aux power: jacket-water heater, battery charger, enclosure</t>
        </is>
      </c>
      <c r="E5202" s="12" t="inlineStr">
        <is>
          <t>GBC-1</t>
        </is>
      </c>
      <c r="F5202" s="12" t="inlineStr">
        <is>
          <t xml:space="preserve">GBC-1: block GB-1 generator collector box, 480 V outdoor switchboard, </t>
        </is>
      </c>
      <c r="G5202" s="12" t="inlineStr">
        <is>
          <t>GB-1.4</t>
        </is>
      </c>
      <c r="H5202" s="12" t="inlineStr">
        <is>
          <t>GB-1.4: modular gas genset 500 kW, 480 V (block GB-1, unit 4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14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0.4 %</t>
        </is>
      </c>
      <c r="AA5202" s="12">
        <f>N5202*O5202</f>
        <v/>
      </c>
    </row>
    <row r="5203">
      <c r="A5203" s="12" t="inlineStr">
        <is>
          <t>I-P-0035</t>
        </is>
      </c>
      <c r="B5203" s="12" t="inlineStr">
        <is>
          <t>I</t>
        </is>
      </c>
      <c r="C5203" s="12" t="inlineStr">
        <is>
          <t>Modular / portable power</t>
        </is>
      </c>
      <c r="D5203" s="12" t="inlineStr">
        <is>
          <t>GB-1.5 aux power: jacket-water heater, battery charger, enclosure</t>
        </is>
      </c>
      <c r="E5203" s="12" t="inlineStr">
        <is>
          <t>GBC-1</t>
        </is>
      </c>
      <c r="F5203" s="12" t="inlineStr">
        <is>
          <t xml:space="preserve">GBC-1: block GB-1 generator collector box, 480 V outdoor switchboard, </t>
        </is>
      </c>
      <c r="G5203" s="12" t="inlineStr">
        <is>
          <t>GB-1.5</t>
        </is>
      </c>
      <c r="H5203" s="12" t="inlineStr">
        <is>
          <t>GB-1.5: modular gas genset 500 kW, 480 V (block GB-1, unit 5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Tray</t>
        </is>
      </c>
      <c r="T5203" s="15" t="n">
        <v>0</v>
      </c>
      <c r="U5203" s="15" t="n">
        <v>30</v>
      </c>
      <c r="V5203" s="15">
        <f>ROUNDUP((T5203+U5203+2*'Read Me'!$B$13)*(1+'Read Me'!$B$12),-1)</f>
        <v/>
      </c>
      <c r="W5203" s="15">
        <f>V5203*N5203*O5203</f>
        <v/>
      </c>
      <c r="X5203" s="12">
        <f>IF(LEFT(I5203,2)="MV",2*N5203*IF(L5203="1/C",O5203,1),0)</f>
        <v/>
      </c>
      <c r="Y5203" s="12">
        <f>IF(OR(LEFT(K5203,4)="LVAX",LEFT(K5203,6)="MV15AX",LEFT(K5203,4)="CTAX",LEFT(K5203,2)="W|"),2*N5203*O5203,0)</f>
        <v/>
      </c>
      <c r="Z5203" s="12" t="inlineStr">
        <is>
          <t>VD 0.3 %</t>
        </is>
      </c>
      <c r="AA5203" s="12">
        <f>N5203*O5203</f>
        <v/>
      </c>
    </row>
    <row r="5204">
      <c r="A5204" s="12" t="inlineStr">
        <is>
          <t>I-P-0036</t>
        </is>
      </c>
      <c r="B5204" s="12" t="inlineStr">
        <is>
          <t>I</t>
        </is>
      </c>
      <c r="C5204" s="12" t="inlineStr">
        <is>
          <t>Modular / portable power</t>
        </is>
      </c>
      <c r="D5204" s="12" t="inlineStr">
        <is>
          <t>GB-2.1 aux power: jacket-water heater, battery charger, enclosure</t>
        </is>
      </c>
      <c r="E5204" s="12" t="inlineStr">
        <is>
          <t>GBC-2</t>
        </is>
      </c>
      <c r="F5204" s="12" t="inlineStr">
        <is>
          <t xml:space="preserve">GBC-2: block GB-2 generator collector box, 480 V outdoor switchboard, </t>
        </is>
      </c>
      <c r="G5204" s="12" t="inlineStr">
        <is>
          <t>GB-2.1</t>
        </is>
      </c>
      <c r="H5204" s="12" t="inlineStr">
        <is>
          <t>GB-2.1: modular gas genset 500 kW, 480 V (block GB-2, unit 1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Surface</t>
        </is>
      </c>
      <c r="T5204" s="15" t="n">
        <v>44</v>
      </c>
      <c r="U5204" s="15" t="n">
        <v>28</v>
      </c>
      <c r="V5204" s="15">
        <f>ROUNDUP((T5204+U5204+2*'Read Me'!$B$13)*(1+'Read Me'!$B$12),-1)</f>
        <v/>
      </c>
      <c r="W5204" s="15">
        <f>V5204*N5204*O5204</f>
        <v/>
      </c>
      <c r="X5204" s="12">
        <f>IF(LEFT(I5204,2)="MV",2*N5204*IF(L5204="1/C",O5204,1),0)</f>
        <v/>
      </c>
      <c r="Y5204" s="12">
        <f>IF(OR(LEFT(K5204,4)="LVAX",LEFT(K5204,6)="MV15AX",LEFT(K5204,4)="CTAX",LEFT(K5204,2)="W|"),2*N5204*O5204,0)</f>
        <v/>
      </c>
      <c r="Z5204" s="12" t="inlineStr">
        <is>
          <t>VD 0.7 %</t>
        </is>
      </c>
      <c r="AA5204" s="12">
        <f>N5204*O5204</f>
        <v/>
      </c>
    </row>
    <row r="5205">
      <c r="A5205" s="12" t="inlineStr">
        <is>
          <t>I-P-0037</t>
        </is>
      </c>
      <c r="B5205" s="12" t="inlineStr">
        <is>
          <t>I</t>
        </is>
      </c>
      <c r="C5205" s="12" t="inlineStr">
        <is>
          <t>Modular / portable power</t>
        </is>
      </c>
      <c r="D5205" s="12" t="inlineStr">
        <is>
          <t>GB-2.2 aux power: jacket-water heater, battery charger, enclosure</t>
        </is>
      </c>
      <c r="E5205" s="12" t="inlineStr">
        <is>
          <t>GBC-2</t>
        </is>
      </c>
      <c r="F5205" s="12" t="inlineStr">
        <is>
          <t xml:space="preserve">GBC-2: block GB-2 generator collector box, 480 V outdoor switchboard, </t>
        </is>
      </c>
      <c r="G5205" s="12" t="inlineStr">
        <is>
          <t>GB-2.2</t>
        </is>
      </c>
      <c r="H5205" s="12" t="inlineStr">
        <is>
          <t>GB-2.2: modular gas genset 500 kW, 480 V (block GB-2, unit 2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28</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I-P-0038</t>
        </is>
      </c>
      <c r="B5206" s="12" t="inlineStr">
        <is>
          <t>I</t>
        </is>
      </c>
      <c r="C5206" s="12" t="inlineStr">
        <is>
          <t>Modular / portable power</t>
        </is>
      </c>
      <c r="D5206" s="12" t="inlineStr">
        <is>
          <t>GB-2.3 aux power: jacket-water heater, battery charger, enclosure</t>
        </is>
      </c>
      <c r="E5206" s="12" t="inlineStr">
        <is>
          <t>GBC-2</t>
        </is>
      </c>
      <c r="F5206" s="12" t="inlineStr">
        <is>
          <t xml:space="preserve">GBC-2: block GB-2 generator collector box, 480 V outdoor switchboard, </t>
        </is>
      </c>
      <c r="G5206" s="12" t="inlineStr">
        <is>
          <t>GB-2.3</t>
        </is>
      </c>
      <c r="H5206" s="12" t="inlineStr">
        <is>
          <t>GB-2.3: modular gas genset 500 kW, 480 V (block GB-2, unit 3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24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0.5 %</t>
        </is>
      </c>
      <c r="AA5206" s="12">
        <f>N5206*O5206</f>
        <v/>
      </c>
    </row>
    <row r="5207">
      <c r="A5207" s="12" t="inlineStr">
        <is>
          <t>I-P-0039</t>
        </is>
      </c>
      <c r="B5207" s="12" t="inlineStr">
        <is>
          <t>I</t>
        </is>
      </c>
      <c r="C5207" s="12" t="inlineStr">
        <is>
          <t>Modular / portable power</t>
        </is>
      </c>
      <c r="D5207" s="12" t="inlineStr">
        <is>
          <t>GB-2.4 aux power: jacket-water heater, battery charger, enclosure</t>
        </is>
      </c>
      <c r="E5207" s="12" t="inlineStr">
        <is>
          <t>GBC-2</t>
        </is>
      </c>
      <c r="F5207" s="12" t="inlineStr">
        <is>
          <t xml:space="preserve">GBC-2: block GB-2 generator collector box, 480 V outdoor switchboard, </t>
        </is>
      </c>
      <c r="G5207" s="12" t="inlineStr">
        <is>
          <t>GB-2.4</t>
        </is>
      </c>
      <c r="H5207" s="12" t="inlineStr">
        <is>
          <t>GB-2.4: modular gas genset 500 kW, 480 V (block GB-2, unit 4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14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0.4 %</t>
        </is>
      </c>
      <c r="AA5207" s="12">
        <f>N5207*O5207</f>
        <v/>
      </c>
    </row>
    <row r="5208">
      <c r="A5208" s="12" t="inlineStr">
        <is>
          <t>I-P-0040</t>
        </is>
      </c>
      <c r="B5208" s="12" t="inlineStr">
        <is>
          <t>I</t>
        </is>
      </c>
      <c r="C5208" s="12" t="inlineStr">
        <is>
          <t>Modular / portable power</t>
        </is>
      </c>
      <c r="D5208" s="12" t="inlineStr">
        <is>
          <t>GB-2.5 aux power: jacket-water heater, battery charger, enclosure</t>
        </is>
      </c>
      <c r="E5208" s="12" t="inlineStr">
        <is>
          <t>GBC-2</t>
        </is>
      </c>
      <c r="F5208" s="12" t="inlineStr">
        <is>
          <t xml:space="preserve">GBC-2: block GB-2 generator collector box, 480 V outdoor switchboard, </t>
        </is>
      </c>
      <c r="G5208" s="12" t="inlineStr">
        <is>
          <t>GB-2.5</t>
        </is>
      </c>
      <c r="H5208" s="12" t="inlineStr">
        <is>
          <t>GB-2.5: modular gas genset 500 kW, 480 V (block GB-2, unit 5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Tray</t>
        </is>
      </c>
      <c r="T5208" s="15" t="n">
        <v>0</v>
      </c>
      <c r="U5208" s="15" t="n">
        <v>30</v>
      </c>
      <c r="V5208" s="15">
        <f>ROUNDUP((T5208+U5208+2*'Read Me'!$B$13)*(1+'Read Me'!$B$12),-1)</f>
        <v/>
      </c>
      <c r="W5208" s="15">
        <f>V5208*N5208*O5208</f>
        <v/>
      </c>
      <c r="X5208" s="12">
        <f>IF(LEFT(I5208,2)="MV",2*N5208*IF(L5208="1/C",O5208,1),0)</f>
        <v/>
      </c>
      <c r="Y5208" s="12">
        <f>IF(OR(LEFT(K5208,4)="LVAX",LEFT(K5208,6)="MV15AX",LEFT(K5208,4)="CTAX",LEFT(K5208,2)="W|"),2*N5208*O5208,0)</f>
        <v/>
      </c>
      <c r="Z5208" s="12" t="inlineStr">
        <is>
          <t>VD 0.3 %</t>
        </is>
      </c>
      <c r="AA5208" s="12">
        <f>N5208*O5208</f>
        <v/>
      </c>
    </row>
    <row r="5209">
      <c r="A5209" s="12" t="inlineStr">
        <is>
          <t>I-P-0041</t>
        </is>
      </c>
      <c r="B5209" s="12" t="inlineStr">
        <is>
          <t>I</t>
        </is>
      </c>
      <c r="C5209" s="12" t="inlineStr">
        <is>
          <t>Modular / portable power</t>
        </is>
      </c>
      <c r="D5209" s="12" t="inlineStr">
        <is>
          <t>GB-3.1 aux power: jacket-water heater, battery charger, enclosure</t>
        </is>
      </c>
      <c r="E5209" s="12" t="inlineStr">
        <is>
          <t>GBC-3</t>
        </is>
      </c>
      <c r="F5209" s="12" t="inlineStr">
        <is>
          <t xml:space="preserve">GBC-3: block GB-3 generator collector box, 480 V outdoor switchboard, </t>
        </is>
      </c>
      <c r="G5209" s="12" t="inlineStr">
        <is>
          <t>GB-3.1</t>
        </is>
      </c>
      <c r="H5209" s="12" t="inlineStr">
        <is>
          <t>GB-3.1: modular gas genset 500 kW, 480 V (block GB-3, unit 1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Surface</t>
        </is>
      </c>
      <c r="T5209" s="15" t="n">
        <v>44</v>
      </c>
      <c r="U5209" s="15" t="n">
        <v>28</v>
      </c>
      <c r="V5209" s="15">
        <f>ROUNDUP((T5209+U5209+2*'Read Me'!$B$13)*(1+'Read Me'!$B$12),-1)</f>
        <v/>
      </c>
      <c r="W5209" s="15">
        <f>V5209*N5209*O5209</f>
        <v/>
      </c>
      <c r="X5209" s="12">
        <f>IF(LEFT(I5209,2)="MV",2*N5209*IF(L5209="1/C",O5209,1),0)</f>
        <v/>
      </c>
      <c r="Y5209" s="12">
        <f>IF(OR(LEFT(K5209,4)="LVAX",LEFT(K5209,6)="MV15AX",LEFT(K5209,4)="CTAX",LEFT(K5209,2)="W|"),2*N5209*O5209,0)</f>
        <v/>
      </c>
      <c r="Z5209" s="12" t="inlineStr">
        <is>
          <t>VD 0.7 %</t>
        </is>
      </c>
      <c r="AA5209" s="12">
        <f>N5209*O5209</f>
        <v/>
      </c>
    </row>
    <row r="5210">
      <c r="A5210" s="12" t="inlineStr">
        <is>
          <t>I-P-0042</t>
        </is>
      </c>
      <c r="B5210" s="12" t="inlineStr">
        <is>
          <t>I</t>
        </is>
      </c>
      <c r="C5210" s="12" t="inlineStr">
        <is>
          <t>Modular / portable power</t>
        </is>
      </c>
      <c r="D5210" s="12" t="inlineStr">
        <is>
          <t>GB-3.2 aux power: jacket-water heater, battery charger, enclosure</t>
        </is>
      </c>
      <c r="E5210" s="12" t="inlineStr">
        <is>
          <t>GBC-3</t>
        </is>
      </c>
      <c r="F5210" s="12" t="inlineStr">
        <is>
          <t xml:space="preserve">GBC-3: block GB-3 generator collector box, 480 V outdoor switchboard, </t>
        </is>
      </c>
      <c r="G5210" s="12" t="inlineStr">
        <is>
          <t>GB-3.2</t>
        </is>
      </c>
      <c r="H5210" s="12" t="inlineStr">
        <is>
          <t>GB-3.2: modular gas genset 500 kW, 480 V (block GB-3, unit 2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34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VD 0.6 %</t>
        </is>
      </c>
      <c r="AA5210" s="12">
        <f>N5210*O5210</f>
        <v/>
      </c>
    </row>
    <row r="5211">
      <c r="A5211" s="12" t="inlineStr">
        <is>
          <t>I-P-0043</t>
        </is>
      </c>
      <c r="B5211" s="12" t="inlineStr">
        <is>
          <t>I</t>
        </is>
      </c>
      <c r="C5211" s="12" t="inlineStr">
        <is>
          <t>Modular / portable power</t>
        </is>
      </c>
      <c r="D5211" s="12" t="inlineStr">
        <is>
          <t>GB-3.3 aux power: jacket-water heater, battery charger, enclosure</t>
        </is>
      </c>
      <c r="E5211" s="12" t="inlineStr">
        <is>
          <t>GBC-3</t>
        </is>
      </c>
      <c r="F5211" s="12" t="inlineStr">
        <is>
          <t xml:space="preserve">GBC-3: block GB-3 generator collector box, 480 V outdoor switchboard, </t>
        </is>
      </c>
      <c r="G5211" s="12" t="inlineStr">
        <is>
          <t>GB-3.3</t>
        </is>
      </c>
      <c r="H5211" s="12" t="inlineStr">
        <is>
          <t>GB-3.3: modular gas genset 500 kW, 480 V (block GB-3, unit 3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24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0.5 %</t>
        </is>
      </c>
      <c r="AA5211" s="12">
        <f>N5211*O5211</f>
        <v/>
      </c>
    </row>
    <row r="5212">
      <c r="A5212" s="12" t="inlineStr">
        <is>
          <t>I-P-0044</t>
        </is>
      </c>
      <c r="B5212" s="12" t="inlineStr">
        <is>
          <t>I</t>
        </is>
      </c>
      <c r="C5212" s="12" t="inlineStr">
        <is>
          <t>Modular / portable power</t>
        </is>
      </c>
      <c r="D5212" s="12" t="inlineStr">
        <is>
          <t>GB-3.4 aux power: jacket-water heater, battery charger, enclosure</t>
        </is>
      </c>
      <c r="E5212" s="12" t="inlineStr">
        <is>
          <t>GBC-3</t>
        </is>
      </c>
      <c r="F5212" s="12" t="inlineStr">
        <is>
          <t xml:space="preserve">GBC-3: block GB-3 generator collector box, 480 V outdoor switchboard, </t>
        </is>
      </c>
      <c r="G5212" s="12" t="inlineStr">
        <is>
          <t>GB-3.4</t>
        </is>
      </c>
      <c r="H5212" s="12" t="inlineStr">
        <is>
          <t>GB-3.4: modular gas genset 500 kW, 480 V (block GB-3, unit 4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14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0.4 %</t>
        </is>
      </c>
      <c r="AA5212" s="12">
        <f>N5212*O5212</f>
        <v/>
      </c>
    </row>
    <row r="5213">
      <c r="A5213" s="12" t="inlineStr">
        <is>
          <t>I-P-0045</t>
        </is>
      </c>
      <c r="B5213" s="12" t="inlineStr">
        <is>
          <t>I</t>
        </is>
      </c>
      <c r="C5213" s="12" t="inlineStr">
        <is>
          <t>Modular / portable power</t>
        </is>
      </c>
      <c r="D5213" s="12" t="inlineStr">
        <is>
          <t>GB-3.5 aux power: jacket-water heater, battery charger, enclosure</t>
        </is>
      </c>
      <c r="E5213" s="12" t="inlineStr">
        <is>
          <t>GBC-3</t>
        </is>
      </c>
      <c r="F5213" s="12" t="inlineStr">
        <is>
          <t xml:space="preserve">GBC-3: block GB-3 generator collector box, 480 V outdoor switchboard, </t>
        </is>
      </c>
      <c r="G5213" s="12" t="inlineStr">
        <is>
          <t>GB-3.5</t>
        </is>
      </c>
      <c r="H5213" s="12" t="inlineStr">
        <is>
          <t>GB-3.5: modular gas genset 500 kW, 480 V (block GB-3, unit 5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5" t="n">
        <v>0</v>
      </c>
      <c r="U5213" s="15" t="n">
        <v>30</v>
      </c>
      <c r="V5213" s="15">
        <f>ROUNDUP((T5213+U5213+2*'Read Me'!$B$13)*(1+'Read Me'!$B$12),-1)</f>
        <v/>
      </c>
      <c r="W5213" s="15">
        <f>V5213*N5213*O5213</f>
        <v/>
      </c>
      <c r="X5213" s="12">
        <f>IF(LEFT(I5213,2)="MV",2*N5213*IF(L5213="1/C",O5213,1),0)</f>
        <v/>
      </c>
      <c r="Y5213" s="12">
        <f>IF(OR(LEFT(K5213,4)="LVAX",LEFT(K5213,6)="MV15AX",LEFT(K5213,4)="CTAX",LEFT(K5213,2)="W|"),2*N5213*O5213,0)</f>
        <v/>
      </c>
      <c r="Z5213" s="12" t="inlineStr">
        <is>
          <t>VD 0.3 %</t>
        </is>
      </c>
      <c r="AA5213" s="12">
        <f>N5213*O5213</f>
        <v/>
      </c>
    </row>
    <row r="5214">
      <c r="A5214" s="12" t="inlineStr">
        <is>
          <t>I-P-0046</t>
        </is>
      </c>
      <c r="B5214" s="12" t="inlineStr">
        <is>
          <t>I</t>
        </is>
      </c>
      <c r="C5214" s="12" t="inlineStr">
        <is>
          <t>Modular / portable power</t>
        </is>
      </c>
      <c r="D5214" s="12" t="inlineStr">
        <is>
          <t>GB-4.1 aux power: jacket-water heater, battery charger, enclosure</t>
        </is>
      </c>
      <c r="E5214" s="12" t="inlineStr">
        <is>
          <t>GBC-4</t>
        </is>
      </c>
      <c r="F5214" s="12" t="inlineStr">
        <is>
          <t xml:space="preserve">GBC-4: block GB-4 generator collector box, 480 V outdoor switchboard, </t>
        </is>
      </c>
      <c r="G5214" s="12" t="inlineStr">
        <is>
          <t>GB-4.1</t>
        </is>
      </c>
      <c r="H5214" s="12" t="inlineStr">
        <is>
          <t>GB-4.1: modular gas genset 500 kW, 480 V (block GB-4, unit 1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Surface</t>
        </is>
      </c>
      <c r="T5214" s="15" t="n">
        <v>34</v>
      </c>
      <c r="U5214" s="15" t="n">
        <v>36</v>
      </c>
      <c r="V5214" s="15">
        <f>ROUNDUP((T5214+U5214+2*'Read Me'!$B$13)*(1+'Read Me'!$B$12),-1)</f>
        <v/>
      </c>
      <c r="W5214" s="15">
        <f>V5214*N5214*O5214</f>
        <v/>
      </c>
      <c r="X5214" s="12">
        <f>IF(LEFT(I5214,2)="MV",2*N5214*IF(L5214="1/C",O5214,1),0)</f>
        <v/>
      </c>
      <c r="Y5214" s="12">
        <f>IF(OR(LEFT(K5214,4)="LVAX",LEFT(K5214,6)="MV15AX",LEFT(K5214,4)="CTAX",LEFT(K5214,2)="W|"),2*N5214*O5214,0)</f>
        <v/>
      </c>
      <c r="Z5214" s="12" t="inlineStr">
        <is>
          <t>VD 0.6 %</t>
        </is>
      </c>
      <c r="AA5214" s="12">
        <f>N5214*O5214</f>
        <v/>
      </c>
    </row>
    <row r="5215">
      <c r="A5215" s="12" t="inlineStr">
        <is>
          <t>I-P-0047</t>
        </is>
      </c>
      <c r="B5215" s="12" t="inlineStr">
        <is>
          <t>I</t>
        </is>
      </c>
      <c r="C5215" s="12" t="inlineStr">
        <is>
          <t>Modular / portable power</t>
        </is>
      </c>
      <c r="D5215" s="12" t="inlineStr">
        <is>
          <t>GB-4.2 aux power: jacket-water heater, battery charger, enclosure</t>
        </is>
      </c>
      <c r="E5215" s="12" t="inlineStr">
        <is>
          <t>GBC-4</t>
        </is>
      </c>
      <c r="F5215" s="12" t="inlineStr">
        <is>
          <t xml:space="preserve">GBC-4: block GB-4 generator collector box, 480 V outdoor switchboard, </t>
        </is>
      </c>
      <c r="G5215" s="12" t="inlineStr">
        <is>
          <t>GB-4.2</t>
        </is>
      </c>
      <c r="H5215" s="12" t="inlineStr">
        <is>
          <t>GB-4.2: modular gas genset 500 kW, 480 V (block GB-4, unit 2 of 5)</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19</v>
      </c>
      <c r="S5215" s="12" t="inlineStr">
        <is>
          <t>Surface</t>
        </is>
      </c>
      <c r="T5215" s="15" t="n">
        <v>34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VD 0.6 %</t>
        </is>
      </c>
      <c r="AA5215" s="12">
        <f>N5215*O5215</f>
        <v/>
      </c>
    </row>
    <row r="5216">
      <c r="A5216" s="12" t="inlineStr">
        <is>
          <t>I-P-0048</t>
        </is>
      </c>
      <c r="B5216" s="12" t="inlineStr">
        <is>
          <t>I</t>
        </is>
      </c>
      <c r="C5216" s="12" t="inlineStr">
        <is>
          <t>Modular / portable power</t>
        </is>
      </c>
      <c r="D5216" s="12" t="inlineStr">
        <is>
          <t>GB-4.3 aux power: jacket-water heater, battery charger, enclosure</t>
        </is>
      </c>
      <c r="E5216" s="12" t="inlineStr">
        <is>
          <t>GBC-4</t>
        </is>
      </c>
      <c r="F5216" s="12" t="inlineStr">
        <is>
          <t xml:space="preserve">GBC-4: block GB-4 generator collector box, 480 V outdoor switchboard, </t>
        </is>
      </c>
      <c r="G5216" s="12" t="inlineStr">
        <is>
          <t>GB-4.3</t>
        </is>
      </c>
      <c r="H5216" s="12" t="inlineStr">
        <is>
          <t>GB-4.3: modular gas genset 500 kW, 480 V (block GB-4, unit 3 of 5)</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15</v>
      </c>
      <c r="R5216" s="12" t="n">
        <v>19</v>
      </c>
      <c r="S5216" s="12" t="inlineStr">
        <is>
          <t>Surface</t>
        </is>
      </c>
      <c r="T5216" s="15" t="n">
        <v>24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VD 0.5 %</t>
        </is>
      </c>
      <c r="AA5216" s="12">
        <f>N5216*O5216</f>
        <v/>
      </c>
    </row>
    <row r="5217">
      <c r="A5217" s="12" t="inlineStr">
        <is>
          <t>I-P-0049</t>
        </is>
      </c>
      <c r="B5217" s="12" t="inlineStr">
        <is>
          <t>I</t>
        </is>
      </c>
      <c r="C5217" s="12" t="inlineStr">
        <is>
          <t>Modular / portable power</t>
        </is>
      </c>
      <c r="D5217" s="12" t="inlineStr">
        <is>
          <t>GB-4.4 aux power: jacket-water heater, battery charger, enclosure</t>
        </is>
      </c>
      <c r="E5217" s="12" t="inlineStr">
        <is>
          <t>GBC-4</t>
        </is>
      </c>
      <c r="F5217" s="12" t="inlineStr">
        <is>
          <t xml:space="preserve">GBC-4: block GB-4 generator collector box, 480 V outdoor switchboard, </t>
        </is>
      </c>
      <c r="G5217" s="12" t="inlineStr">
        <is>
          <t>GB-4.4</t>
        </is>
      </c>
      <c r="H5217" s="12" t="inlineStr">
        <is>
          <t>GB-4.4: modular gas genset 500 kW, 480 V (block GB-4, unit 4 of 5)</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19</v>
      </c>
      <c r="S5217" s="12" t="inlineStr">
        <is>
          <t>Surface</t>
        </is>
      </c>
      <c r="T5217" s="15" t="n">
        <v>14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VD 0.4 %</t>
        </is>
      </c>
      <c r="AA5217" s="12">
        <f>N5217*O5217</f>
        <v/>
      </c>
    </row>
    <row r="5218">
      <c r="A5218" s="12" t="inlineStr">
        <is>
          <t>I-P-0050</t>
        </is>
      </c>
      <c r="B5218" s="12" t="inlineStr">
        <is>
          <t>I</t>
        </is>
      </c>
      <c r="C5218" s="12" t="inlineStr">
        <is>
          <t>Modular / portable power</t>
        </is>
      </c>
      <c r="D5218" s="12" t="inlineStr">
        <is>
          <t>GB-4.5 aux power: jacket-water heater, battery charger, enclosure</t>
        </is>
      </c>
      <c r="E5218" s="12" t="inlineStr">
        <is>
          <t>GBC-4</t>
        </is>
      </c>
      <c r="F5218" s="12" t="inlineStr">
        <is>
          <t xml:space="preserve">GBC-4: block GB-4 generator collector box, 480 V outdoor switchboard, </t>
        </is>
      </c>
      <c r="G5218" s="12" t="inlineStr">
        <is>
          <t>GB-4.5</t>
        </is>
      </c>
      <c r="H5218" s="12" t="inlineStr">
        <is>
          <t>GB-4.5: modular gas genset 500 kW, 480 V (block GB-4, unit 5 of 5)</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19</v>
      </c>
      <c r="S5218" s="12" t="inlineStr">
        <is>
          <t>Tray</t>
        </is>
      </c>
      <c r="T5218" s="15" t="n">
        <v>0</v>
      </c>
      <c r="U5218" s="15" t="n">
        <v>30</v>
      </c>
      <c r="V5218" s="15">
        <f>ROUNDUP((T5218+U5218+2*'Read Me'!$B$13)*(1+'Read Me'!$B$12),-1)</f>
        <v/>
      </c>
      <c r="W5218" s="15">
        <f>V5218*N5218*O5218</f>
        <v/>
      </c>
      <c r="X5218" s="12">
        <f>IF(LEFT(I5218,2)="MV",2*N5218*IF(L5218="1/C",O5218,1),0)</f>
        <v/>
      </c>
      <c r="Y5218" s="12">
        <f>IF(OR(LEFT(K5218,4)="LVAX",LEFT(K5218,6)="MV15AX",LEFT(K5218,4)="CTAX",LEFT(K5218,2)="W|"),2*N5218*O5218,0)</f>
        <v/>
      </c>
      <c r="Z5218" s="12" t="inlineStr">
        <is>
          <t>VD 0.3 %</t>
        </is>
      </c>
      <c r="AA5218" s="12">
        <f>N5218*O5218</f>
        <v/>
      </c>
    </row>
    <row r="5219">
      <c r="A5219" s="12" t="inlineStr">
        <is>
          <t>I-P-0051</t>
        </is>
      </c>
      <c r="B5219" s="12" t="inlineStr">
        <is>
          <t>I</t>
        </is>
      </c>
      <c r="C5219" s="12" t="inlineStr">
        <is>
          <t>Modular / portable power</t>
        </is>
      </c>
      <c r="D5219" s="12" t="inlineStr">
        <is>
          <t>L1 GB-1.1 480 V generator leads to GBC-1</t>
        </is>
      </c>
      <c r="E5219" s="12" t="inlineStr">
        <is>
          <t>GB-1.1</t>
        </is>
      </c>
      <c r="F5219" s="12" t="inlineStr">
        <is>
          <t>GB-1.1: modular gas genset 500 kW, 480 V (block GB-1, unit 1 of 5)</t>
        </is>
      </c>
      <c r="G5219" s="12" t="inlineStr">
        <is>
          <t>GBC-1</t>
        </is>
      </c>
      <c r="H5219" s="12" t="inlineStr">
        <is>
          <t xml:space="preserve">GBC-1: block GB-1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Surface</t>
        </is>
      </c>
      <c r="T5219" s="15" t="n">
        <v>44</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I-P-0052</t>
        </is>
      </c>
      <c r="B5220" s="12" t="inlineStr">
        <is>
          <t>I</t>
        </is>
      </c>
      <c r="C5220" s="12" t="inlineStr">
        <is>
          <t>Modular / portable power</t>
        </is>
      </c>
      <c r="D5220" s="12" t="inlineStr">
        <is>
          <t>L1 GB-1.2 480 V generator leads to GBC-1</t>
        </is>
      </c>
      <c r="E5220" s="12" t="inlineStr">
        <is>
          <t>GB-1.2</t>
        </is>
      </c>
      <c r="F5220" s="12" t="inlineStr">
        <is>
          <t>GB-1.2: modular gas genset 500 kW, 480 V (block GB-1, unit 2 of 5)</t>
        </is>
      </c>
      <c r="G5220" s="12" t="inlineStr">
        <is>
          <t>GBC-1</t>
        </is>
      </c>
      <c r="H5220" s="12" t="inlineStr">
        <is>
          <t xml:space="preserve">GBC-1: block GB-1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34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I-P-0053</t>
        </is>
      </c>
      <c r="B5221" s="12" t="inlineStr">
        <is>
          <t>I</t>
        </is>
      </c>
      <c r="C5221" s="12" t="inlineStr">
        <is>
          <t>Modular / portable power</t>
        </is>
      </c>
      <c r="D5221" s="12" t="inlineStr">
        <is>
          <t>L1 GB-1.3 480 V generator leads to GBC-1</t>
        </is>
      </c>
      <c r="E5221" s="12" t="inlineStr">
        <is>
          <t>GB-1.3</t>
        </is>
      </c>
      <c r="F5221" s="12" t="inlineStr">
        <is>
          <t>GB-1.3: modular gas genset 500 kW, 480 V (block GB-1, unit 3 of 5)</t>
        </is>
      </c>
      <c r="G5221" s="12" t="inlineStr">
        <is>
          <t>GBC-1</t>
        </is>
      </c>
      <c r="H5221" s="12" t="inlineStr">
        <is>
          <t xml:space="preserve">GBC-1: block GB-1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24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I-P-0054</t>
        </is>
      </c>
      <c r="B5222" s="12" t="inlineStr">
        <is>
          <t>I</t>
        </is>
      </c>
      <c r="C5222" s="12" t="inlineStr">
        <is>
          <t>Modular / portable power</t>
        </is>
      </c>
      <c r="D5222" s="12" t="inlineStr">
        <is>
          <t>L1 GB-1.4 480 V generator leads to GBC-1</t>
        </is>
      </c>
      <c r="E5222" s="12" t="inlineStr">
        <is>
          <t>GB-1.4</t>
        </is>
      </c>
      <c r="F5222" s="12" t="inlineStr">
        <is>
          <t>GB-1.4: modular gas genset 500 kW, 480 V (block GB-1, unit 4 of 5)</t>
        </is>
      </c>
      <c r="G5222" s="12" t="inlineStr">
        <is>
          <t>GBC-1</t>
        </is>
      </c>
      <c r="H5222" s="12" t="inlineStr">
        <is>
          <t xml:space="preserve">GBC-1: block GB-1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14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I-P-0055</t>
        </is>
      </c>
      <c r="B5223" s="12" t="inlineStr">
        <is>
          <t>I</t>
        </is>
      </c>
      <c r="C5223" s="12" t="inlineStr">
        <is>
          <t>Modular / portable power</t>
        </is>
      </c>
      <c r="D5223" s="12" t="inlineStr">
        <is>
          <t>L1 GB-1.5 480 V generator leads to GBC-1</t>
        </is>
      </c>
      <c r="E5223" s="12" t="inlineStr">
        <is>
          <t>GB-1.5</t>
        </is>
      </c>
      <c r="F5223" s="12" t="inlineStr">
        <is>
          <t>GB-1.5: modular gas genset 500 kW, 480 V (block GB-1, unit 5 of 5)</t>
        </is>
      </c>
      <c r="G5223" s="12" t="inlineStr">
        <is>
          <t>GBC-1</t>
        </is>
      </c>
      <c r="H5223" s="12" t="inlineStr">
        <is>
          <t xml:space="preserve">GBC-1: block GB-1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Riser</t>
        </is>
      </c>
      <c r="T5223" s="15" t="n">
        <v>2</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I-P-0056</t>
        </is>
      </c>
      <c r="B5224" s="12" t="inlineStr">
        <is>
          <t>I</t>
        </is>
      </c>
      <c r="C5224" s="12" t="inlineStr">
        <is>
          <t>Modular / portable power</t>
        </is>
      </c>
      <c r="D5224" s="12" t="inlineStr">
        <is>
          <t>L1 GB-2.1 480 V generator leads to GBC-2</t>
        </is>
      </c>
      <c r="E5224" s="12" t="inlineStr">
        <is>
          <t>GB-2.1</t>
        </is>
      </c>
      <c r="F5224" s="12" t="inlineStr">
        <is>
          <t>GB-2.1: modular gas genset 500 kW, 480 V (block GB-2, unit 1 of 5)</t>
        </is>
      </c>
      <c r="G5224" s="12" t="inlineStr">
        <is>
          <t>GBC-2</t>
        </is>
      </c>
      <c r="H5224" s="12" t="inlineStr">
        <is>
          <t xml:space="preserve">GBC-2: block GB-2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Surface</t>
        </is>
      </c>
      <c r="T5224" s="15" t="n">
        <v>44</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I-P-0057</t>
        </is>
      </c>
      <c r="B5225" s="12" t="inlineStr">
        <is>
          <t>I</t>
        </is>
      </c>
      <c r="C5225" s="12" t="inlineStr">
        <is>
          <t>Modular / portable power</t>
        </is>
      </c>
      <c r="D5225" s="12" t="inlineStr">
        <is>
          <t>L1 GB-2.2 480 V generator leads to GBC-2</t>
        </is>
      </c>
      <c r="E5225" s="12" t="inlineStr">
        <is>
          <t>GB-2.2</t>
        </is>
      </c>
      <c r="F5225" s="12" t="inlineStr">
        <is>
          <t>GB-2.2: modular gas genset 500 kW, 480 V (block GB-2, unit 2 of 5)</t>
        </is>
      </c>
      <c r="G5225" s="12" t="inlineStr">
        <is>
          <t>GBC-2</t>
        </is>
      </c>
      <c r="H5225" s="12" t="inlineStr">
        <is>
          <t xml:space="preserve">GBC-2: block GB-2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34</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I-P-0058</t>
        </is>
      </c>
      <c r="B5226" s="12" t="inlineStr">
        <is>
          <t>I</t>
        </is>
      </c>
      <c r="C5226" s="12" t="inlineStr">
        <is>
          <t>Modular / portable power</t>
        </is>
      </c>
      <c r="D5226" s="12" t="inlineStr">
        <is>
          <t>L1 GB-2.3 480 V generator leads to GBC-2</t>
        </is>
      </c>
      <c r="E5226" s="12" t="inlineStr">
        <is>
          <t>GB-2.3</t>
        </is>
      </c>
      <c r="F5226" s="12" t="inlineStr">
        <is>
          <t>GB-2.3: modular gas genset 500 kW, 480 V (block GB-2, unit 3 of 5)</t>
        </is>
      </c>
      <c r="G5226" s="12" t="inlineStr">
        <is>
          <t>GBC-2</t>
        </is>
      </c>
      <c r="H5226" s="12" t="inlineStr">
        <is>
          <t xml:space="preserve">GBC-2: block GB-2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24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I-P-0059</t>
        </is>
      </c>
      <c r="B5227" s="12" t="inlineStr">
        <is>
          <t>I</t>
        </is>
      </c>
      <c r="C5227" s="12" t="inlineStr">
        <is>
          <t>Modular / portable power</t>
        </is>
      </c>
      <c r="D5227" s="12" t="inlineStr">
        <is>
          <t>L1 GB-2.4 480 V generator leads to GBC-2</t>
        </is>
      </c>
      <c r="E5227" s="12" t="inlineStr">
        <is>
          <t>GB-2.4</t>
        </is>
      </c>
      <c r="F5227" s="12" t="inlineStr">
        <is>
          <t>GB-2.4: modular gas genset 500 kW, 480 V (block GB-2, unit 4 of 5)</t>
        </is>
      </c>
      <c r="G5227" s="12" t="inlineStr">
        <is>
          <t>GBC-2</t>
        </is>
      </c>
      <c r="H5227" s="12" t="inlineStr">
        <is>
          <t xml:space="preserve">GBC-2: block GB-2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14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I-P-0060</t>
        </is>
      </c>
      <c r="B5228" s="12" t="inlineStr">
        <is>
          <t>I</t>
        </is>
      </c>
      <c r="C5228" s="12" t="inlineStr">
        <is>
          <t>Modular / portable power</t>
        </is>
      </c>
      <c r="D5228" s="12" t="inlineStr">
        <is>
          <t>L1 GB-2.5 480 V generator leads to GBC-2</t>
        </is>
      </c>
      <c r="E5228" s="12" t="inlineStr">
        <is>
          <t>GB-2.5</t>
        </is>
      </c>
      <c r="F5228" s="12" t="inlineStr">
        <is>
          <t>GB-2.5: modular gas genset 500 kW, 480 V (block GB-2, unit 5 of 5)</t>
        </is>
      </c>
      <c r="G5228" s="12" t="inlineStr">
        <is>
          <t>GBC-2</t>
        </is>
      </c>
      <c r="H5228" s="12" t="inlineStr">
        <is>
          <t xml:space="preserve">GBC-2: block GB-2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Riser</t>
        </is>
      </c>
      <c r="T5228" s="15" t="n">
        <v>2</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I-P-0061</t>
        </is>
      </c>
      <c r="B5229" s="12" t="inlineStr">
        <is>
          <t>I</t>
        </is>
      </c>
      <c r="C5229" s="12" t="inlineStr">
        <is>
          <t>Modular / portable power</t>
        </is>
      </c>
      <c r="D5229" s="12" t="inlineStr">
        <is>
          <t>L1 GB-3.1 480 V generator leads to GBC-3</t>
        </is>
      </c>
      <c r="E5229" s="12" t="inlineStr">
        <is>
          <t>GB-3.1</t>
        </is>
      </c>
      <c r="F5229" s="12" t="inlineStr">
        <is>
          <t>GB-3.1: modular gas genset 500 kW, 480 V (block GB-3, unit 1 of 5)</t>
        </is>
      </c>
      <c r="G5229" s="12" t="inlineStr">
        <is>
          <t>GBC-3</t>
        </is>
      </c>
      <c r="H5229" s="12" t="inlineStr">
        <is>
          <t xml:space="preserve">GBC-3: block GB-3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Surface</t>
        </is>
      </c>
      <c r="T5229" s="15" t="n">
        <v>44</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I-P-0062</t>
        </is>
      </c>
      <c r="B5230" s="12" t="inlineStr">
        <is>
          <t>I</t>
        </is>
      </c>
      <c r="C5230" s="12" t="inlineStr">
        <is>
          <t>Modular / portable power</t>
        </is>
      </c>
      <c r="D5230" s="12" t="inlineStr">
        <is>
          <t>L1 GB-3.2 480 V generator leads to GBC-3</t>
        </is>
      </c>
      <c r="E5230" s="12" t="inlineStr">
        <is>
          <t>GB-3.2</t>
        </is>
      </c>
      <c r="F5230" s="12" t="inlineStr">
        <is>
          <t>GB-3.2: modular gas genset 500 kW, 480 V (block GB-3, unit 2 of 5)</t>
        </is>
      </c>
      <c r="G5230" s="12" t="inlineStr">
        <is>
          <t>GBC-3</t>
        </is>
      </c>
      <c r="H5230" s="12" t="inlineStr">
        <is>
          <t xml:space="preserve">GBC-3: block GB-3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34</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I-P-0063</t>
        </is>
      </c>
      <c r="B5231" s="12" t="inlineStr">
        <is>
          <t>I</t>
        </is>
      </c>
      <c r="C5231" s="12" t="inlineStr">
        <is>
          <t>Modular / portable power</t>
        </is>
      </c>
      <c r="D5231" s="12" t="inlineStr">
        <is>
          <t>L1 GB-3.3 480 V generator leads to GBC-3</t>
        </is>
      </c>
      <c r="E5231" s="12" t="inlineStr">
        <is>
          <t>GB-3.3</t>
        </is>
      </c>
      <c r="F5231" s="12" t="inlineStr">
        <is>
          <t>GB-3.3: modular gas genset 500 kW, 480 V (block GB-3, unit 3 of 5)</t>
        </is>
      </c>
      <c r="G5231" s="12" t="inlineStr">
        <is>
          <t>GBC-3</t>
        </is>
      </c>
      <c r="H5231" s="12" t="inlineStr">
        <is>
          <t xml:space="preserve">GBC-3: block GB-3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24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I-P-0064</t>
        </is>
      </c>
      <c r="B5232" s="12" t="inlineStr">
        <is>
          <t>I</t>
        </is>
      </c>
      <c r="C5232" s="12" t="inlineStr">
        <is>
          <t>Modular / portable power</t>
        </is>
      </c>
      <c r="D5232" s="12" t="inlineStr">
        <is>
          <t>L1 GB-3.4 480 V generator leads to GBC-3</t>
        </is>
      </c>
      <c r="E5232" s="12" t="inlineStr">
        <is>
          <t>GB-3.4</t>
        </is>
      </c>
      <c r="F5232" s="12" t="inlineStr">
        <is>
          <t>GB-3.4: modular gas genset 500 kW, 480 V (block GB-3, unit 4 of 5)</t>
        </is>
      </c>
      <c r="G5232" s="12" t="inlineStr">
        <is>
          <t>GBC-3</t>
        </is>
      </c>
      <c r="H5232" s="12" t="inlineStr">
        <is>
          <t xml:space="preserve">GBC-3: block GB-3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14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I-P-0065</t>
        </is>
      </c>
      <c r="B5233" s="12" t="inlineStr">
        <is>
          <t>I</t>
        </is>
      </c>
      <c r="C5233" s="12" t="inlineStr">
        <is>
          <t>Modular / portable power</t>
        </is>
      </c>
      <c r="D5233" s="12" t="inlineStr">
        <is>
          <t>L1 GB-3.5 480 V generator leads to GBC-3</t>
        </is>
      </c>
      <c r="E5233" s="12" t="inlineStr">
        <is>
          <t>GB-3.5</t>
        </is>
      </c>
      <c r="F5233" s="12" t="inlineStr">
        <is>
          <t>GB-3.5: modular gas genset 500 kW, 480 V (block GB-3, unit 5 of 5)</t>
        </is>
      </c>
      <c r="G5233" s="12" t="inlineStr">
        <is>
          <t>GBC-3</t>
        </is>
      </c>
      <c r="H5233" s="12" t="inlineStr">
        <is>
          <t xml:space="preserve">GBC-3: block GB-3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Riser</t>
        </is>
      </c>
      <c r="T5233" s="15" t="n">
        <v>2</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I-P-0066</t>
        </is>
      </c>
      <c r="B5234" s="12" t="inlineStr">
        <is>
          <t>I</t>
        </is>
      </c>
      <c r="C5234" s="12" t="inlineStr">
        <is>
          <t>Modular / portable power</t>
        </is>
      </c>
      <c r="D5234" s="12" t="inlineStr">
        <is>
          <t>L1 GB-4.1 480 V generator leads to GBC-4</t>
        </is>
      </c>
      <c r="E5234" s="12" t="inlineStr">
        <is>
          <t>GB-4.1</t>
        </is>
      </c>
      <c r="F5234" s="12" t="inlineStr">
        <is>
          <t>GB-4.1: modular gas genset 500 kW, 480 V (block GB-4, unit 1 of 5)</t>
        </is>
      </c>
      <c r="G5234" s="12" t="inlineStr">
        <is>
          <t>GBC-4</t>
        </is>
      </c>
      <c r="H5234" s="12" t="inlineStr">
        <is>
          <t xml:space="preserve">GBC-4: block GB-4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Surface</t>
        </is>
      </c>
      <c r="T5234" s="15" t="n">
        <v>42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I-P-0067</t>
        </is>
      </c>
      <c r="B5235" s="12" t="inlineStr">
        <is>
          <t>I</t>
        </is>
      </c>
      <c r="C5235" s="12" t="inlineStr">
        <is>
          <t>Modular / portable power</t>
        </is>
      </c>
      <c r="D5235" s="12" t="inlineStr">
        <is>
          <t>L1 GB-4.2 480 V generator leads to GBC-4</t>
        </is>
      </c>
      <c r="E5235" s="12" t="inlineStr">
        <is>
          <t>GB-4.2</t>
        </is>
      </c>
      <c r="F5235" s="12" t="inlineStr">
        <is>
          <t>GB-4.2: modular gas genset 500 kW, 480 V (block GB-4, unit 2 of 5)</t>
        </is>
      </c>
      <c r="G5235" s="12" t="inlineStr">
        <is>
          <t>GBC-4</t>
        </is>
      </c>
      <c r="H5235" s="12" t="inlineStr">
        <is>
          <t xml:space="preserve">GBC-4: block GB-4 generator collector box, 480 V outdoor switchboard, </t>
        </is>
      </c>
      <c r="I5235" s="12" t="inlineStr">
        <is>
          <t>LV 600 V</t>
        </is>
      </c>
      <c r="J5235" s="12" t="inlineStr">
        <is>
          <t>XHHW-2 600 V 1/C Cu (feeder sets in tray / duct)</t>
        </is>
      </c>
      <c r="K5235" s="12" t="inlineStr">
        <is>
          <t>LV1C|1/C|500</t>
        </is>
      </c>
      <c r="L5235" s="12" t="inlineStr">
        <is>
          <t>1/C</t>
        </is>
      </c>
      <c r="M5235" s="12" t="inlineStr">
        <is>
          <t>500 kcmil</t>
        </is>
      </c>
      <c r="N5235" s="12" t="n">
        <v>2</v>
      </c>
      <c r="O5235" s="12" t="n">
        <v>4</v>
      </c>
      <c r="P5235" s="12" t="n">
        <v>480</v>
      </c>
      <c r="Q5235" s="12" t="n">
        <v>500</v>
      </c>
      <c r="R5235" s="12" t="n">
        <v>601</v>
      </c>
      <c r="S5235" s="12" t="inlineStr">
        <is>
          <t>Surface</t>
        </is>
      </c>
      <c r="T5235" s="15" t="n">
        <v>34</v>
      </c>
      <c r="U5235" s="15" t="n">
        <v>28</v>
      </c>
      <c r="V5235" s="15">
        <f>ROUNDUP((T5235+U5235+2*'Read Me'!$B$13)*(1+'Read Me'!$B$12),-1)</f>
        <v/>
      </c>
      <c r="W5235" s="15">
        <f>V5235*N5235*O5235</f>
        <v/>
      </c>
      <c r="X5235" s="12">
        <f>IF(LEFT(I5235,2)="MV",2*N5235*IF(L5235="1/C",O5235,1),0)</f>
        <v/>
      </c>
      <c r="Y5235" s="12">
        <f>IF(OR(LEFT(K5235,4)="LVAX",LEFT(K5235,6)="MV15AX",LEFT(K5235,4)="CTAX",LEFT(K5235,2)="W|"),2*N5235*O5235,0)</f>
        <v/>
      </c>
      <c r="Z5235" s="12" t="inlineStr">
        <is>
          <t>2 sets of 3 x 500 kcmil + ground (count TO VERIFY)</t>
        </is>
      </c>
      <c r="AA5235" s="12">
        <f>N5235*O5235</f>
        <v/>
      </c>
    </row>
    <row r="5236">
      <c r="A5236" s="12" t="inlineStr">
        <is>
          <t>I-P-0068</t>
        </is>
      </c>
      <c r="B5236" s="12" t="inlineStr">
        <is>
          <t>I</t>
        </is>
      </c>
      <c r="C5236" s="12" t="inlineStr">
        <is>
          <t>Modular / portable power</t>
        </is>
      </c>
      <c r="D5236" s="12" t="inlineStr">
        <is>
          <t>L1 GB-4.3 480 V generator leads to GBC-4</t>
        </is>
      </c>
      <c r="E5236" s="12" t="inlineStr">
        <is>
          <t>GB-4.3</t>
        </is>
      </c>
      <c r="F5236" s="12" t="inlineStr">
        <is>
          <t>GB-4.3: modular gas genset 500 kW, 480 V (block GB-4, unit 3 of 5)</t>
        </is>
      </c>
      <c r="G5236" s="12" t="inlineStr">
        <is>
          <t>GBC-4</t>
        </is>
      </c>
      <c r="H5236" s="12" t="inlineStr">
        <is>
          <t xml:space="preserve">GBC-4: block GB-4 generator collector box, 480 V outdoor switchboard, </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4</v>
      </c>
      <c r="P5236" s="12" t="n">
        <v>480</v>
      </c>
      <c r="Q5236" s="12" t="n">
        <v>500</v>
      </c>
      <c r="R5236" s="12" t="n">
        <v>601</v>
      </c>
      <c r="S5236" s="12" t="inlineStr">
        <is>
          <t>Surface</t>
        </is>
      </c>
      <c r="T5236" s="15" t="n">
        <v>24</v>
      </c>
      <c r="U5236" s="15" t="n">
        <v>28</v>
      </c>
      <c r="V5236" s="15">
        <f>ROUNDUP((T5236+U5236+2*'Read Me'!$B$13)*(1+'Read Me'!$B$12),-1)</f>
        <v/>
      </c>
      <c r="W5236" s="15">
        <f>V5236*N5236*O5236</f>
        <v/>
      </c>
      <c r="X5236" s="12">
        <f>IF(LEFT(I5236,2)="MV",2*N5236*IF(L5236="1/C",O5236,1),0)</f>
        <v/>
      </c>
      <c r="Y5236" s="12">
        <f>IF(OR(LEFT(K5236,4)="LVAX",LEFT(K5236,6)="MV15AX",LEFT(K5236,4)="CTAX",LEFT(K5236,2)="W|"),2*N5236*O5236,0)</f>
        <v/>
      </c>
      <c r="Z5236" s="12" t="inlineStr">
        <is>
          <t>2 sets of 3 x 500 kcmil + ground (count TO VERIFY)</t>
        </is>
      </c>
      <c r="AA5236" s="12">
        <f>N5236*O5236</f>
        <v/>
      </c>
    </row>
    <row r="5237">
      <c r="A5237" s="12" t="inlineStr">
        <is>
          <t>I-P-0069</t>
        </is>
      </c>
      <c r="B5237" s="12" t="inlineStr">
        <is>
          <t>I</t>
        </is>
      </c>
      <c r="C5237" s="12" t="inlineStr">
        <is>
          <t>Modular / portable power</t>
        </is>
      </c>
      <c r="D5237" s="12" t="inlineStr">
        <is>
          <t>L1 GB-4.4 480 V generator leads to GBC-4</t>
        </is>
      </c>
      <c r="E5237" s="12" t="inlineStr">
        <is>
          <t>GB-4.4</t>
        </is>
      </c>
      <c r="F5237" s="12" t="inlineStr">
        <is>
          <t>GB-4.4: modular gas genset 500 kW, 480 V (block GB-4, unit 4 of 5)</t>
        </is>
      </c>
      <c r="G5237" s="12" t="inlineStr">
        <is>
          <t>GBC-4</t>
        </is>
      </c>
      <c r="H5237" s="12" t="inlineStr">
        <is>
          <t xml:space="preserve">GBC-4: block GB-4 generator collector box, 480 V outdoor switchboard, </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4</v>
      </c>
      <c r="P5237" s="12" t="n">
        <v>480</v>
      </c>
      <c r="Q5237" s="12" t="n">
        <v>500</v>
      </c>
      <c r="R5237" s="12" t="n">
        <v>601</v>
      </c>
      <c r="S5237" s="12" t="inlineStr">
        <is>
          <t>Surface</t>
        </is>
      </c>
      <c r="T5237" s="15" t="n">
        <v>14</v>
      </c>
      <c r="U5237" s="15" t="n">
        <v>28</v>
      </c>
      <c r="V5237" s="15">
        <f>ROUNDUP((T5237+U5237+2*'Read Me'!$B$13)*(1+'Read Me'!$B$12),-1)</f>
        <v/>
      </c>
      <c r="W5237" s="15">
        <f>V5237*N5237*O5237</f>
        <v/>
      </c>
      <c r="X5237" s="12">
        <f>IF(LEFT(I5237,2)="MV",2*N5237*IF(L5237="1/C",O5237,1),0)</f>
        <v/>
      </c>
      <c r="Y5237" s="12">
        <f>IF(OR(LEFT(K5237,4)="LVAX",LEFT(K5237,6)="MV15AX",LEFT(K5237,4)="CTAX",LEFT(K5237,2)="W|"),2*N5237*O5237,0)</f>
        <v/>
      </c>
      <c r="Z5237" s="12" t="inlineStr">
        <is>
          <t>2 sets of 3 x 500 kcmil + ground (count TO VERIFY)</t>
        </is>
      </c>
      <c r="AA5237" s="12">
        <f>N5237*O5237</f>
        <v/>
      </c>
    </row>
    <row r="5238">
      <c r="A5238" s="12" t="inlineStr">
        <is>
          <t>I-P-0070</t>
        </is>
      </c>
      <c r="B5238" s="12" t="inlineStr">
        <is>
          <t>I</t>
        </is>
      </c>
      <c r="C5238" s="12" t="inlineStr">
        <is>
          <t>Modular / portable power</t>
        </is>
      </c>
      <c r="D5238" s="12" t="inlineStr">
        <is>
          <t>L1 GB-4.5 480 V generator leads to GBC-4</t>
        </is>
      </c>
      <c r="E5238" s="12" t="inlineStr">
        <is>
          <t>GB-4.5</t>
        </is>
      </c>
      <c r="F5238" s="12" t="inlineStr">
        <is>
          <t>GB-4.5: modular gas genset 500 kW, 480 V (block GB-4, unit 5 of 5)</t>
        </is>
      </c>
      <c r="G5238" s="12" t="inlineStr">
        <is>
          <t>GBC-4</t>
        </is>
      </c>
      <c r="H5238" s="12" t="inlineStr">
        <is>
          <t xml:space="preserve">GBC-4: block GB-4 generator collector box, 480 V outdoor switchboard, </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4</v>
      </c>
      <c r="P5238" s="12" t="n">
        <v>480</v>
      </c>
      <c r="Q5238" s="12" t="n">
        <v>500</v>
      </c>
      <c r="R5238" s="12" t="n">
        <v>601</v>
      </c>
      <c r="S5238" s="12" t="inlineStr">
        <is>
          <t>Riser</t>
        </is>
      </c>
      <c r="T5238" s="15" t="n">
        <v>2</v>
      </c>
      <c r="U5238" s="15" t="n">
        <v>28</v>
      </c>
      <c r="V5238" s="15">
        <f>ROUNDUP((T5238+U5238+2*'Read Me'!$B$13)*(1+'Read Me'!$B$12),-1)</f>
        <v/>
      </c>
      <c r="W5238" s="15">
        <f>V5238*N5238*O5238</f>
        <v/>
      </c>
      <c r="X5238" s="12">
        <f>IF(LEFT(I5238,2)="MV",2*N5238*IF(L5238="1/C",O5238,1),0)</f>
        <v/>
      </c>
      <c r="Y5238" s="12">
        <f>IF(OR(LEFT(K5238,4)="LVAX",LEFT(K5238,6)="MV15AX",LEFT(K5238,4)="CTAX",LEFT(K5238,2)="W|"),2*N5238*O5238,0)</f>
        <v/>
      </c>
      <c r="Z5238" s="12" t="inlineStr">
        <is>
          <t>2 sets of 3 x 500 kcmil + ground (count TO VERIFY)</t>
        </is>
      </c>
      <c r="AA5238" s="12">
        <f>N5238*O5238</f>
        <v/>
      </c>
    </row>
    <row r="5239">
      <c r="A5239" s="12" t="inlineStr">
        <is>
          <t>I-P-0071</t>
        </is>
      </c>
      <c r="B5239" s="12" t="inlineStr">
        <is>
          <t>I</t>
        </is>
      </c>
      <c r="C5239" s="12" t="inlineStr">
        <is>
          <t>Modular / portable power</t>
        </is>
      </c>
      <c r="D5239" s="12" t="inlineStr">
        <is>
          <t>L2 GBC-1 to GBT-1 480 V block feed</t>
        </is>
      </c>
      <c r="E5239" s="12" t="inlineStr">
        <is>
          <t>GBC-1</t>
        </is>
      </c>
      <c r="F5239" s="12" t="inlineStr">
        <is>
          <t xml:space="preserve">GBC-1: block GB-1 generator collector box, 480 V outdoor switchboard, </t>
        </is>
      </c>
      <c r="G5239" s="12" t="inlineStr">
        <is>
          <t>GBT-1</t>
        </is>
      </c>
      <c r="H5239" s="12" t="inlineStr">
        <is>
          <t>GBT-1: block GB-1 step-up 480 V : 34.5 kV, ~3 MVA pad-mount (on the 35</t>
        </is>
      </c>
      <c r="I5239" s="12" t="inlineStr">
        <is>
          <t>LV 600 V</t>
        </is>
      </c>
      <c r="J5239" s="12" t="inlineStr">
        <is>
          <t>XHHW-2 600 V 1/C Cu (feeder sets in tray / duct)</t>
        </is>
      </c>
      <c r="K5239" s="12" t="inlineStr">
        <is>
          <t>LV1C|1/C|600</t>
        </is>
      </c>
      <c r="L5239" s="12" t="inlineStr">
        <is>
          <t>1/C</t>
        </is>
      </c>
      <c r="M5239" s="12" t="inlineStr">
        <is>
          <t>600 kcmil</t>
        </is>
      </c>
      <c r="N5239" s="12" t="n">
        <v>8</v>
      </c>
      <c r="O5239" s="12" t="n">
        <v>4</v>
      </c>
      <c r="P5239" s="12" t="n">
        <v>480</v>
      </c>
      <c r="Q5239" s="12" t="n">
        <v>2500</v>
      </c>
      <c r="R5239" s="12" t="n">
        <v>3007</v>
      </c>
      <c r="S5239" s="12" t="inlineStr">
        <is>
          <t>Riser</t>
        </is>
      </c>
      <c r="T5239" s="15" t="n">
        <v>2</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8 sets of 4 x 1/C (or bus duct, TO VERIFY)</t>
        </is>
      </c>
      <c r="AA5239" s="12">
        <f>N5239*O5239</f>
        <v/>
      </c>
    </row>
    <row r="5240">
      <c r="A5240" s="12" t="inlineStr">
        <is>
          <t>I-P-0072</t>
        </is>
      </c>
      <c r="B5240" s="12" t="inlineStr">
        <is>
          <t>I</t>
        </is>
      </c>
      <c r="C5240" s="12" t="inlineStr">
        <is>
          <t>Modular / portable power</t>
        </is>
      </c>
      <c r="D5240" s="12" t="inlineStr">
        <is>
          <t>L2 GBC-2 to GBT-2 480 V block feed</t>
        </is>
      </c>
      <c r="E5240" s="12" t="inlineStr">
        <is>
          <t>GBC-2</t>
        </is>
      </c>
      <c r="F5240" s="12" t="inlineStr">
        <is>
          <t xml:space="preserve">GBC-2: block GB-2 generator collector box, 480 V outdoor switchboard, </t>
        </is>
      </c>
      <c r="G5240" s="12" t="inlineStr">
        <is>
          <t>GBT-2</t>
        </is>
      </c>
      <c r="H5240" s="12" t="inlineStr">
        <is>
          <t>GBT-2: block GB-2 step-up 480 V : 34.5 kV, ~3 MVA pad-mount (on the 35</t>
        </is>
      </c>
      <c r="I5240" s="12" t="inlineStr">
        <is>
          <t>LV 600 V</t>
        </is>
      </c>
      <c r="J5240" s="12" t="inlineStr">
        <is>
          <t>XHHW-2 600 V 1/C Cu (feeder sets in tray / duct)</t>
        </is>
      </c>
      <c r="K5240" s="12" t="inlineStr">
        <is>
          <t>LV1C|1/C|600</t>
        </is>
      </c>
      <c r="L5240" s="12" t="inlineStr">
        <is>
          <t>1/C</t>
        </is>
      </c>
      <c r="M5240" s="12" t="inlineStr">
        <is>
          <t>600 kcmil</t>
        </is>
      </c>
      <c r="N5240" s="12" t="n">
        <v>8</v>
      </c>
      <c r="O5240" s="12" t="n">
        <v>4</v>
      </c>
      <c r="P5240" s="12" t="n">
        <v>480</v>
      </c>
      <c r="Q5240" s="12" t="n">
        <v>2500</v>
      </c>
      <c r="R5240" s="12" t="n">
        <v>3007</v>
      </c>
      <c r="S5240" s="12" t="inlineStr">
        <is>
          <t>Riser</t>
        </is>
      </c>
      <c r="T5240" s="15" t="n">
        <v>2</v>
      </c>
      <c r="U5240" s="15" t="n">
        <v>27</v>
      </c>
      <c r="V5240" s="15">
        <f>ROUNDUP((T5240+U5240+2*'Read Me'!$B$13)*(1+'Read Me'!$B$12),-1)</f>
        <v/>
      </c>
      <c r="W5240" s="15">
        <f>V5240*N5240*O5240</f>
        <v/>
      </c>
      <c r="X5240" s="12">
        <f>IF(LEFT(I5240,2)="MV",2*N5240*IF(L5240="1/C",O5240,1),0)</f>
        <v/>
      </c>
      <c r="Y5240" s="12">
        <f>IF(OR(LEFT(K5240,4)="LVAX",LEFT(K5240,6)="MV15AX",LEFT(K5240,4)="CTAX",LEFT(K5240,2)="W|"),2*N5240*O5240,0)</f>
        <v/>
      </c>
      <c r="Z5240" s="12" t="inlineStr">
        <is>
          <t>8 sets of 4 x 1/C (or bus duct, TO VERIFY)</t>
        </is>
      </c>
      <c r="AA5240" s="12">
        <f>N5240*O5240</f>
        <v/>
      </c>
    </row>
    <row r="5241">
      <c r="A5241" s="12" t="inlineStr">
        <is>
          <t>I-P-0073</t>
        </is>
      </c>
      <c r="B5241" s="12" t="inlineStr">
        <is>
          <t>I</t>
        </is>
      </c>
      <c r="C5241" s="12" t="inlineStr">
        <is>
          <t>Modular / portable power</t>
        </is>
      </c>
      <c r="D5241" s="12" t="inlineStr">
        <is>
          <t>L2 GBC-3 to GBT-3 480 V block feed</t>
        </is>
      </c>
      <c r="E5241" s="12" t="inlineStr">
        <is>
          <t>GBC-3</t>
        </is>
      </c>
      <c r="F5241" s="12" t="inlineStr">
        <is>
          <t xml:space="preserve">GBC-3: block GB-3 generator collector box, 480 V outdoor switchboard, </t>
        </is>
      </c>
      <c r="G5241" s="12" t="inlineStr">
        <is>
          <t>GBT-3</t>
        </is>
      </c>
      <c r="H5241" s="12" t="inlineStr">
        <is>
          <t>GBT-3: block GB-3 step-up 480 V : 34.5 kV, ~3 MVA pad-mount (on the 35</t>
        </is>
      </c>
      <c r="I5241" s="12" t="inlineStr">
        <is>
          <t>LV 600 V</t>
        </is>
      </c>
      <c r="J5241" s="12" t="inlineStr">
        <is>
          <t>XHHW-2 600 V 1/C Cu (feeder sets in tray / duct)</t>
        </is>
      </c>
      <c r="K5241" s="12" t="inlineStr">
        <is>
          <t>LV1C|1/C|600</t>
        </is>
      </c>
      <c r="L5241" s="12" t="inlineStr">
        <is>
          <t>1/C</t>
        </is>
      </c>
      <c r="M5241" s="12" t="inlineStr">
        <is>
          <t>600 kcmil</t>
        </is>
      </c>
      <c r="N5241" s="12" t="n">
        <v>8</v>
      </c>
      <c r="O5241" s="12" t="n">
        <v>4</v>
      </c>
      <c r="P5241" s="12" t="n">
        <v>480</v>
      </c>
      <c r="Q5241" s="12" t="n">
        <v>2500</v>
      </c>
      <c r="R5241" s="12" t="n">
        <v>3007</v>
      </c>
      <c r="S5241" s="12" t="inlineStr">
        <is>
          <t>Riser</t>
        </is>
      </c>
      <c r="T5241" s="15" t="n">
        <v>2</v>
      </c>
      <c r="U5241" s="15" t="n">
        <v>27</v>
      </c>
      <c r="V5241" s="15">
        <f>ROUNDUP((T5241+U5241+2*'Read Me'!$B$13)*(1+'Read Me'!$B$12),-1)</f>
        <v/>
      </c>
      <c r="W5241" s="15">
        <f>V5241*N5241*O5241</f>
        <v/>
      </c>
      <c r="X5241" s="12">
        <f>IF(LEFT(I5241,2)="MV",2*N5241*IF(L5241="1/C",O5241,1),0)</f>
        <v/>
      </c>
      <c r="Y5241" s="12">
        <f>IF(OR(LEFT(K5241,4)="LVAX",LEFT(K5241,6)="MV15AX",LEFT(K5241,4)="CTAX",LEFT(K5241,2)="W|"),2*N5241*O5241,0)</f>
        <v/>
      </c>
      <c r="Z5241" s="12" t="inlineStr">
        <is>
          <t>8 sets of 4 x 1/C (or bus duct, TO VERIFY)</t>
        </is>
      </c>
      <c r="AA5241" s="12">
        <f>N5241*O5241</f>
        <v/>
      </c>
    </row>
    <row r="5242">
      <c r="A5242" s="12" t="inlineStr">
        <is>
          <t>I-P-0074</t>
        </is>
      </c>
      <c r="B5242" s="12" t="inlineStr">
        <is>
          <t>I</t>
        </is>
      </c>
      <c r="C5242" s="12" t="inlineStr">
        <is>
          <t>Modular / portable power</t>
        </is>
      </c>
      <c r="D5242" s="12" t="inlineStr">
        <is>
          <t>L2 GBC-4 to GBT-4 480 V block feed</t>
        </is>
      </c>
      <c r="E5242" s="12" t="inlineStr">
        <is>
          <t>GBC-4</t>
        </is>
      </c>
      <c r="F5242" s="12" t="inlineStr">
        <is>
          <t xml:space="preserve">GBC-4: block GB-4 generator collector box, 480 V outdoor switchboard, </t>
        </is>
      </c>
      <c r="G5242" s="12" t="inlineStr">
        <is>
          <t>GBT-4</t>
        </is>
      </c>
      <c r="H5242" s="12" t="inlineStr">
        <is>
          <t>GBT-4: block GB-4 step-up 480 V : 34.5 kV, ~3 MVA pad-mount (on the 35</t>
        </is>
      </c>
      <c r="I5242" s="12" t="inlineStr">
        <is>
          <t>LV 600 V</t>
        </is>
      </c>
      <c r="J5242" s="12" t="inlineStr">
        <is>
          <t>XHHW-2 600 V 1/C Cu (feeder sets in tray / duct)</t>
        </is>
      </c>
      <c r="K5242" s="12" t="inlineStr">
        <is>
          <t>LV1C|1/C|600</t>
        </is>
      </c>
      <c r="L5242" s="12" t="inlineStr">
        <is>
          <t>1/C</t>
        </is>
      </c>
      <c r="M5242" s="12" t="inlineStr">
        <is>
          <t>600 kcmil</t>
        </is>
      </c>
      <c r="N5242" s="12" t="n">
        <v>8</v>
      </c>
      <c r="O5242" s="12" t="n">
        <v>4</v>
      </c>
      <c r="P5242" s="12" t="n">
        <v>480</v>
      </c>
      <c r="Q5242" s="12" t="n">
        <v>2500</v>
      </c>
      <c r="R5242" s="12" t="n">
        <v>3007</v>
      </c>
      <c r="S5242" s="12" t="inlineStr">
        <is>
          <t>Riser</t>
        </is>
      </c>
      <c r="T5242" s="15" t="n">
        <v>2</v>
      </c>
      <c r="U5242" s="15" t="n">
        <v>27</v>
      </c>
      <c r="V5242" s="15">
        <f>ROUNDUP((T5242+U5242+2*'Read Me'!$B$13)*(1+'Read Me'!$B$12),-1)</f>
        <v/>
      </c>
      <c r="W5242" s="15">
        <f>V5242*N5242*O5242</f>
        <v/>
      </c>
      <c r="X5242" s="12">
        <f>IF(LEFT(I5242,2)="MV",2*N5242*IF(L5242="1/C",O5242,1),0)</f>
        <v/>
      </c>
      <c r="Y5242" s="12">
        <f>IF(OR(LEFT(K5242,4)="LVAX",LEFT(K5242,6)="MV15AX",LEFT(K5242,4)="CTAX",LEFT(K5242,2)="W|"),2*N5242*O5242,0)</f>
        <v/>
      </c>
      <c r="Z5242" s="12" t="inlineStr">
        <is>
          <t>8 sets of 4 x 1/C (or bus duct, TO VERIFY)</t>
        </is>
      </c>
      <c r="AA5242" s="12">
        <f>N5242*O5242</f>
        <v/>
      </c>
    </row>
    <row r="5243">
      <c r="A5243" s="12" t="inlineStr">
        <is>
          <t>I-P-0075</t>
        </is>
      </c>
      <c r="B5243" s="12" t="inlineStr">
        <is>
          <t>I</t>
        </is>
      </c>
      <c r="C5243" s="12" t="inlineStr">
        <is>
          <t>Modular / portable power</t>
        </is>
      </c>
      <c r="D5243" s="12" t="inlineStr">
        <is>
          <t>LV power feeder</t>
        </is>
      </c>
      <c r="E5243" s="12" t="inlineStr"/>
      <c r="F5243" s="12" t="inlineStr">
        <is>
          <t>PCM: power control module</t>
        </is>
      </c>
      <c r="G5243" s="12" t="inlineStr"/>
      <c r="H5243" s="12" t="inlineStr">
        <is>
          <t>Gas conditioning skid</t>
        </is>
      </c>
      <c r="I5243" s="12" t="inlineStr">
        <is>
          <t>LV 600 V</t>
        </is>
      </c>
      <c r="J5243" s="12" t="inlineStr">
        <is>
          <t>ARMOR-X MC-HL 600 V 3/C Cu XHHW-2 + ground, CWA, black PVC (Class I Div 2)</t>
        </is>
      </c>
      <c r="K5243" s="12" t="inlineStr">
        <is>
          <t>LVAX|3/C+G|4</t>
        </is>
      </c>
      <c r="L5243" s="12" t="inlineStr">
        <is>
          <t>3/C+G</t>
        </is>
      </c>
      <c r="M5243" s="12" t="inlineStr">
        <is>
          <t>4</t>
        </is>
      </c>
      <c r="N5243" s="12" t="n">
        <v>1</v>
      </c>
      <c r="O5243" s="12" t="n">
        <v>1</v>
      </c>
      <c r="P5243" s="12" t="n">
        <v>480</v>
      </c>
      <c r="Q5243" s="12" t="n">
        <v>30</v>
      </c>
      <c r="R5243" s="12" t="n">
        <v>42.5</v>
      </c>
      <c r="S5243" s="12" t="inlineStr">
        <is>
          <t>Duct bank</t>
        </is>
      </c>
      <c r="T5243" s="15" t="n">
        <v>296</v>
      </c>
      <c r="U5243" s="15" t="n">
        <v>172</v>
      </c>
      <c r="V5243" s="15">
        <f>ROUNDUP((T5243+U5243+2*'Read Me'!$B$13)*(1+'Read Me'!$B$12),-1)</f>
        <v/>
      </c>
      <c r="W5243" s="15">
        <f>V5243*N5243*O5243</f>
        <v/>
      </c>
      <c r="X5243" s="12">
        <f>IF(LEFT(I5243,2)="MV",2*N5243*IF(L5243="1/C",O5243,1),0)</f>
        <v/>
      </c>
      <c r="Y5243" s="12">
        <f>IF(OR(LEFT(K5243,4)="LVAX",LEFT(K5243,6)="MV15AX",LEFT(K5243,4)="CTAX",LEFT(K5243,2)="W|"),2*N5243*O5243,0)</f>
        <v/>
      </c>
      <c r="Z5243" s="12" t="inlineStr">
        <is>
          <t>VD 2.4 %</t>
        </is>
      </c>
      <c r="AA5243" s="12">
        <f>N5243*O5243</f>
        <v/>
      </c>
    </row>
    <row r="5244">
      <c r="A5244" s="12" t="inlineStr">
        <is>
          <t>I-P-0076</t>
        </is>
      </c>
      <c r="B5244" s="12" t="inlineStr">
        <is>
          <t>I</t>
        </is>
      </c>
      <c r="C5244" s="12" t="inlineStr">
        <is>
          <t>Modular / portable power</t>
        </is>
      </c>
      <c r="D5244" s="12" t="inlineStr">
        <is>
          <t>IG-1 package auxiliaries 480 V (from the unit auxiliary transformer in the control module)</t>
        </is>
      </c>
      <c r="E5244" s="12" t="inlineStr">
        <is>
          <t>IG-1</t>
        </is>
      </c>
      <c r="F5244" s="12" t="inlineStr">
        <is>
          <t>IG-1: industrial gas-turbine installation, SGT-800 / H-25 class (~50 M</t>
        </is>
      </c>
      <c r="G5244" s="12" t="inlineStr">
        <is>
          <t>IG-1</t>
        </is>
      </c>
      <c r="H5244" s="12" t="inlineStr">
        <is>
          <t>IG-1: industrial gas-turbine installation, SGT-800 / H-25 class (~50 M</t>
        </is>
      </c>
      <c r="I5244" s="12" t="inlineStr">
        <is>
          <t>LV 600 V</t>
        </is>
      </c>
      <c r="J5244" s="12" t="inlineStr">
        <is>
          <t>Type TC-ER 600 V 3/C Cu XHHW-2 + ground, PVC jacket</t>
        </is>
      </c>
      <c r="K5244" s="12" t="inlineStr">
        <is>
          <t>LV|3/C+G|500</t>
        </is>
      </c>
      <c r="L5244" s="12" t="inlineStr">
        <is>
          <t>3/C+G</t>
        </is>
      </c>
      <c r="M5244" s="12" t="inlineStr">
        <is>
          <t>500 kcmil</t>
        </is>
      </c>
      <c r="N5244" s="12" t="n">
        <v>2</v>
      </c>
      <c r="O5244" s="12" t="n">
        <v>1</v>
      </c>
      <c r="P5244" s="12" t="n">
        <v>480</v>
      </c>
      <c r="Q5244" s="12" t="n">
        <v>400</v>
      </c>
      <c r="R5244" s="12" t="n">
        <v>510</v>
      </c>
      <c r="S5244" s="12" t="inlineStr">
        <is>
          <t>Tray</t>
        </is>
      </c>
      <c r="T5244" s="15" t="n">
        <v>120</v>
      </c>
      <c r="U5244" s="15" t="n">
        <v>10</v>
      </c>
      <c r="V5244" s="15">
        <f>ROUNDUP((T5244+U5244+2*'Read Me'!$B$13)*(1+'Read Me'!$B$12),-1)</f>
        <v/>
      </c>
      <c r="W5244" s="15">
        <f>V5244*N5244*O5244</f>
        <v/>
      </c>
      <c r="X5244" s="12">
        <f>IF(LEFT(I5244,2)="MV",2*N5244*IF(L5244="1/C",O5244,1),0)</f>
        <v/>
      </c>
      <c r="Y5244" s="12">
        <f>IF(OR(LEFT(K5244,4)="LVAX",LEFT(K5244,6)="MV15AX",LEFT(K5244,4)="CTAX",LEFT(K5244,2)="W|"),2*N5244*O5244,0)</f>
        <v/>
      </c>
      <c r="Z5244" s="12" t="inlineStr">
        <is>
          <t>internal to the package</t>
        </is>
      </c>
      <c r="AA5244" s="12">
        <f>N5244*O5244</f>
        <v/>
      </c>
    </row>
    <row r="5245">
      <c r="A5245" s="12" t="inlineStr">
        <is>
          <t>I-P-0077</t>
        </is>
      </c>
      <c r="B5245" s="12" t="inlineStr">
        <is>
          <t>I</t>
        </is>
      </c>
      <c r="C5245" s="12" t="inlineStr">
        <is>
          <t>Modular / portable power</t>
        </is>
      </c>
      <c r="D5245" s="12" t="inlineStr">
        <is>
          <t>LGN-1 DC output to the inverter</t>
        </is>
      </c>
      <c r="E5245" s="12" t="inlineStr">
        <is>
          <t>LGN-1</t>
        </is>
      </c>
      <c r="F5245" s="12" t="inlineStr">
        <is>
          <t>LGN-1: linear generator ~250 kW (gas, no combustion engine), DC out</t>
        </is>
      </c>
      <c r="G5245" s="12" t="inlineStr">
        <is>
          <t>LGN-INV</t>
        </is>
      </c>
      <c r="H5245" s="12" t="inlineStr">
        <is>
          <t>LGN-INV: linear generator inverter / AC cabinet (480 V)</t>
        </is>
      </c>
      <c r="I5245" s="12" t="inlineStr">
        <is>
          <t>LV 600 V</t>
        </is>
      </c>
      <c r="J5245" s="12" t="inlineStr">
        <is>
          <t>XHHW-2 600 V 1/C Cu (feeder sets in tray / duct)</t>
        </is>
      </c>
      <c r="K5245" s="12" t="inlineStr">
        <is>
          <t>LV1C|1/C|500</t>
        </is>
      </c>
      <c r="L5245" s="12" t="inlineStr">
        <is>
          <t>1/C</t>
        </is>
      </c>
      <c r="M5245" s="12" t="inlineStr">
        <is>
          <t>500 kcmil</t>
        </is>
      </c>
      <c r="N5245" s="12" t="n">
        <v>2</v>
      </c>
      <c r="O5245" s="12" t="n">
        <v>2</v>
      </c>
      <c r="P5245" s="12" t="n">
        <v>800</v>
      </c>
      <c r="Q5245" s="12" t="n">
        <v>250</v>
      </c>
      <c r="R5245" s="12" t="n">
        <v>320</v>
      </c>
      <c r="S5245" s="12" t="inlineStr">
        <is>
          <t>Surface</t>
        </is>
      </c>
      <c r="T5245" s="15" t="n">
        <v>71</v>
      </c>
      <c r="U5245" s="15" t="n">
        <v>27</v>
      </c>
      <c r="V5245" s="15">
        <f>ROUNDUP((T5245+U5245+2*'Read Me'!$B$13)*(1+'Read Me'!$B$12),-1)</f>
        <v/>
      </c>
      <c r="W5245" s="15">
        <f>V5245*N5245*O5245</f>
        <v/>
      </c>
      <c r="X5245" s="12">
        <f>IF(LEFT(I5245,2)="MV",2*N5245*IF(L5245="1/C",O5245,1),0)</f>
        <v/>
      </c>
      <c r="Y5245" s="12">
        <f>IF(OR(LEFT(K5245,4)="LVAX",LEFT(K5245,6)="MV15AX",LEFT(K5245,4)="CTAX",LEFT(K5245,2)="W|"),2*N5245*O5245,0)</f>
        <v/>
      </c>
      <c r="Z5245" s="12" t="inlineStr">
        <is>
          <t>DC, 2 sets of 2 x 1/C</t>
        </is>
      </c>
      <c r="AA5245" s="12">
        <f>N5245*O5245</f>
        <v/>
      </c>
    </row>
    <row r="5246">
      <c r="A5246" s="12" t="inlineStr">
        <is>
          <t>I-P-0078</t>
        </is>
      </c>
      <c r="B5246" s="12" t="inlineStr">
        <is>
          <t>I</t>
        </is>
      </c>
      <c r="C5246" s="12" t="inlineStr">
        <is>
          <t>Modular / portable power</t>
        </is>
      </c>
      <c r="D5246" s="12" t="inlineStr">
        <is>
          <t>LGN-2 DC output to the inverter</t>
        </is>
      </c>
      <c r="E5246" s="12" t="inlineStr">
        <is>
          <t>LGN-2</t>
        </is>
      </c>
      <c r="F5246" s="12" t="inlineStr">
        <is>
          <t>LGN-2: linear generator ~250 kW (gas, no combustion engine), DC out</t>
        </is>
      </c>
      <c r="G5246" s="12" t="inlineStr">
        <is>
          <t>LGN-INV</t>
        </is>
      </c>
      <c r="H5246" s="12" t="inlineStr">
        <is>
          <t>LGN-INV: linear generator inverter / AC cabinet (480 V)</t>
        </is>
      </c>
      <c r="I5246" s="12" t="inlineStr">
        <is>
          <t>LV 600 V</t>
        </is>
      </c>
      <c r="J5246" s="12" t="inlineStr">
        <is>
          <t>XHHW-2 600 V 1/C Cu (feeder sets in tray / duct)</t>
        </is>
      </c>
      <c r="K5246" s="12" t="inlineStr">
        <is>
          <t>LV1C|1/C|500</t>
        </is>
      </c>
      <c r="L5246" s="12" t="inlineStr">
        <is>
          <t>1/C</t>
        </is>
      </c>
      <c r="M5246" s="12" t="inlineStr">
        <is>
          <t>500 kcmil</t>
        </is>
      </c>
      <c r="N5246" s="12" t="n">
        <v>2</v>
      </c>
      <c r="O5246" s="12" t="n">
        <v>2</v>
      </c>
      <c r="P5246" s="12" t="n">
        <v>800</v>
      </c>
      <c r="Q5246" s="12" t="n">
        <v>250</v>
      </c>
      <c r="R5246" s="12" t="n">
        <v>320</v>
      </c>
      <c r="S5246" s="12" t="inlineStr">
        <is>
          <t>Surface</t>
        </is>
      </c>
      <c r="T5246" s="15" t="n">
        <v>57</v>
      </c>
      <c r="U5246" s="15" t="n">
        <v>27</v>
      </c>
      <c r="V5246" s="15">
        <f>ROUNDUP((T5246+U5246+2*'Read Me'!$B$13)*(1+'Read Me'!$B$12),-1)</f>
        <v/>
      </c>
      <c r="W5246" s="15">
        <f>V5246*N5246*O5246</f>
        <v/>
      </c>
      <c r="X5246" s="12">
        <f>IF(LEFT(I5246,2)="MV",2*N5246*IF(L5246="1/C",O5246,1),0)</f>
        <v/>
      </c>
      <c r="Y5246" s="12">
        <f>IF(OR(LEFT(K5246,4)="LVAX",LEFT(K5246,6)="MV15AX",LEFT(K5246,4)="CTAX",LEFT(K5246,2)="W|"),2*N5246*O5246,0)</f>
        <v/>
      </c>
      <c r="Z5246" s="12" t="inlineStr">
        <is>
          <t>DC, 2 sets of 2 x 1/C</t>
        </is>
      </c>
      <c r="AA5246" s="12">
        <f>N5246*O5246</f>
        <v/>
      </c>
    </row>
    <row r="5247">
      <c r="A5247" s="12" t="inlineStr">
        <is>
          <t>I-P-0079</t>
        </is>
      </c>
      <c r="B5247" s="12" t="inlineStr">
        <is>
          <t>I</t>
        </is>
      </c>
      <c r="C5247" s="12" t="inlineStr">
        <is>
          <t>Modular / portable power</t>
        </is>
      </c>
      <c r="D5247" s="12" t="inlineStr">
        <is>
          <t>LGN-3 DC output to the inverter</t>
        </is>
      </c>
      <c r="E5247" s="12" t="inlineStr">
        <is>
          <t>LGN-3</t>
        </is>
      </c>
      <c r="F5247" s="12" t="inlineStr">
        <is>
          <t>LGN-3: linear generator ~250 kW (gas, no combustion engine), DC out</t>
        </is>
      </c>
      <c r="G5247" s="12" t="inlineStr">
        <is>
          <t>LGN-INV</t>
        </is>
      </c>
      <c r="H5247" s="12" t="inlineStr">
        <is>
          <t>LGN-INV: linear generator inverter / AC cabinet (480 V)</t>
        </is>
      </c>
      <c r="I5247" s="12" t="inlineStr">
        <is>
          <t>LV 600 V</t>
        </is>
      </c>
      <c r="J5247" s="12" t="inlineStr">
        <is>
          <t>XHHW-2 600 V 1/C Cu (feeder sets in tray / duct)</t>
        </is>
      </c>
      <c r="K5247" s="12" t="inlineStr">
        <is>
          <t>LV1C|1/C|500</t>
        </is>
      </c>
      <c r="L5247" s="12" t="inlineStr">
        <is>
          <t>1/C</t>
        </is>
      </c>
      <c r="M5247" s="12" t="inlineStr">
        <is>
          <t>500 kcmil</t>
        </is>
      </c>
      <c r="N5247" s="12" t="n">
        <v>2</v>
      </c>
      <c r="O5247" s="12" t="n">
        <v>2</v>
      </c>
      <c r="P5247" s="12" t="n">
        <v>800</v>
      </c>
      <c r="Q5247" s="12" t="n">
        <v>250</v>
      </c>
      <c r="R5247" s="12" t="n">
        <v>320</v>
      </c>
      <c r="S5247" s="12" t="inlineStr">
        <is>
          <t>Surface</t>
        </is>
      </c>
      <c r="T5247" s="15" t="n">
        <v>41</v>
      </c>
      <c r="U5247" s="15" t="n">
        <v>27</v>
      </c>
      <c r="V5247" s="15">
        <f>ROUNDUP((T5247+U5247+2*'Read Me'!$B$13)*(1+'Read Me'!$B$12),-1)</f>
        <v/>
      </c>
      <c r="W5247" s="15">
        <f>V5247*N5247*O5247</f>
        <v/>
      </c>
      <c r="X5247" s="12">
        <f>IF(LEFT(I5247,2)="MV",2*N5247*IF(L5247="1/C",O5247,1),0)</f>
        <v/>
      </c>
      <c r="Y5247" s="12">
        <f>IF(OR(LEFT(K5247,4)="LVAX",LEFT(K5247,6)="MV15AX",LEFT(K5247,4)="CTAX",LEFT(K5247,2)="W|"),2*N5247*O5247,0)</f>
        <v/>
      </c>
      <c r="Z5247" s="12" t="inlineStr">
        <is>
          <t>DC, 2 sets of 2 x 1/C</t>
        </is>
      </c>
      <c r="AA5247" s="12">
        <f>N5247*O5247</f>
        <v/>
      </c>
    </row>
    <row r="5248">
      <c r="A5248" s="12" t="inlineStr">
        <is>
          <t>I-P-0080</t>
        </is>
      </c>
      <c r="B5248" s="12" t="inlineStr">
        <is>
          <t>I</t>
        </is>
      </c>
      <c r="C5248" s="12" t="inlineStr">
        <is>
          <t>Modular / portable power</t>
        </is>
      </c>
      <c r="D5248" s="12" t="inlineStr">
        <is>
          <t>LGN-4 DC output to the inverter</t>
        </is>
      </c>
      <c r="E5248" s="12" t="inlineStr">
        <is>
          <t>LGN-4</t>
        </is>
      </c>
      <c r="F5248" s="12" t="inlineStr">
        <is>
          <t>LGN-4: linear generator ~250 kW (gas, no combustion engine), DC out</t>
        </is>
      </c>
      <c r="G5248" s="12" t="inlineStr">
        <is>
          <t>LGN-INV</t>
        </is>
      </c>
      <c r="H5248" s="12" t="inlineStr">
        <is>
          <t>LGN-INV: linear generator inverter / AC cabinet (480 V)</t>
        </is>
      </c>
      <c r="I5248" s="12" t="inlineStr">
        <is>
          <t>LV 600 V</t>
        </is>
      </c>
      <c r="J5248" s="12" t="inlineStr">
        <is>
          <t>XHHW-2 600 V 1/C Cu (feeder sets in tray / duct)</t>
        </is>
      </c>
      <c r="K5248" s="12" t="inlineStr">
        <is>
          <t>LV1C|1/C|500</t>
        </is>
      </c>
      <c r="L5248" s="12" t="inlineStr">
        <is>
          <t>1/C</t>
        </is>
      </c>
      <c r="M5248" s="12" t="inlineStr">
        <is>
          <t>500 kcmil</t>
        </is>
      </c>
      <c r="N5248" s="12" t="n">
        <v>2</v>
      </c>
      <c r="O5248" s="12" t="n">
        <v>2</v>
      </c>
      <c r="P5248" s="12" t="n">
        <v>800</v>
      </c>
      <c r="Q5248" s="12" t="n">
        <v>250</v>
      </c>
      <c r="R5248" s="12" t="n">
        <v>320</v>
      </c>
      <c r="S5248" s="12" t="inlineStr">
        <is>
          <t>Surface</t>
        </is>
      </c>
      <c r="T5248" s="15" t="n">
        <v>33</v>
      </c>
      <c r="U5248" s="15" t="n">
        <v>27</v>
      </c>
      <c r="V5248" s="15">
        <f>ROUNDUP((T5248+U5248+2*'Read Me'!$B$13)*(1+'Read Me'!$B$12),-1)</f>
        <v/>
      </c>
      <c r="W5248" s="15">
        <f>V5248*N5248*O5248</f>
        <v/>
      </c>
      <c r="X5248" s="12">
        <f>IF(LEFT(I5248,2)="MV",2*N5248*IF(L5248="1/C",O5248,1),0)</f>
        <v/>
      </c>
      <c r="Y5248" s="12">
        <f>IF(OR(LEFT(K5248,4)="LVAX",LEFT(K5248,6)="MV15AX",LEFT(K5248,4)="CTAX",LEFT(K5248,2)="W|"),2*N5248*O5248,0)</f>
        <v/>
      </c>
      <c r="Z5248" s="12" t="inlineStr">
        <is>
          <t>DC, 2 sets of 2 x 1/C</t>
        </is>
      </c>
      <c r="AA5248" s="12">
        <f>N5248*O5248</f>
        <v/>
      </c>
    </row>
    <row r="5249">
      <c r="A5249" s="12" t="inlineStr">
        <is>
          <t>I-P-0081</t>
        </is>
      </c>
      <c r="B5249" s="12" t="inlineStr">
        <is>
          <t>I</t>
        </is>
      </c>
      <c r="C5249" s="12" t="inlineStr">
        <is>
          <t>Modular / portable power</t>
        </is>
      </c>
      <c r="D5249" s="12" t="inlineStr">
        <is>
          <t>LV panel / distribution feeder</t>
        </is>
      </c>
      <c r="E5249" s="12" t="inlineStr"/>
      <c r="F5249" s="12" t="inlineStr">
        <is>
          <t>PCM: power control module</t>
        </is>
      </c>
      <c r="G5249" s="12" t="inlineStr"/>
      <c r="H5249" s="12" t="inlineStr">
        <is>
          <t>Lube oil / starting air / oily water building</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79</v>
      </c>
      <c r="R5249" s="12" t="n">
        <v>111.8</v>
      </c>
      <c r="S5249" s="12" t="inlineStr">
        <is>
          <t>Duct bank</t>
        </is>
      </c>
      <c r="T5249" s="15" t="n">
        <v>382</v>
      </c>
      <c r="U5249" s="15" t="n">
        <v>164</v>
      </c>
      <c r="V5249" s="15">
        <f>ROUNDUP((T5249+U5249+2*'Read Me'!$B$13)*(1+'Read Me'!$B$12),-1)</f>
        <v/>
      </c>
      <c r="W5249" s="15">
        <f>V5249*N5249*O5249</f>
        <v/>
      </c>
      <c r="X5249" s="12">
        <f>IF(LEFT(I5249,2)="MV",2*N5249*IF(L5249="1/C",O5249,1),0)</f>
        <v/>
      </c>
      <c r="Y5249" s="12">
        <f>IF(OR(LEFT(K5249,4)="LVAX",LEFT(K5249,6)="MV15AX",LEFT(K5249,4)="CTAX",LEFT(K5249,2)="W|"),2*N5249*O5249,0)</f>
        <v/>
      </c>
      <c r="Z5249" s="12" t="inlineStr">
        <is>
          <t>VD 3.0 %</t>
        </is>
      </c>
      <c r="AA5249" s="12">
        <f>N5249*O5249</f>
        <v/>
      </c>
    </row>
    <row r="5250">
      <c r="A5250" s="12" t="inlineStr">
        <is>
          <t>I-P-0082</t>
        </is>
      </c>
      <c r="B5250" s="12" t="inlineStr">
        <is>
          <t>I</t>
        </is>
      </c>
      <c r="C5250" s="12" t="inlineStr">
        <is>
          <t>Modular / portable power</t>
        </is>
      </c>
      <c r="D5250" s="12" t="inlineStr">
        <is>
          <t>LV panel / distribution feeder</t>
        </is>
      </c>
      <c r="E5250" s="12" t="inlineStr"/>
      <c r="F5250" s="12" t="inlineStr">
        <is>
          <t>MOD-LV 480 V board + 480 V : 13.8 kV step-up</t>
        </is>
      </c>
      <c r="G5250" s="12" t="inlineStr">
        <is>
          <t>MOD-EH</t>
        </is>
      </c>
      <c r="H5250" s="12" t="inlineStr">
        <is>
          <t>MOD-EH: 34.5 kV modular collector e-house (2 bus sections + 13.8 kV st</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30</v>
      </c>
      <c r="R5250" s="12" t="n">
        <v>42.5</v>
      </c>
      <c r="S5250" s="12" t="inlineStr">
        <is>
          <t>Duct bank</t>
        </is>
      </c>
      <c r="T5250" s="15" t="n">
        <v>538</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3.0 %</t>
        </is>
      </c>
      <c r="AA5250" s="12">
        <f>N5250*O5250</f>
        <v/>
      </c>
    </row>
    <row r="5251">
      <c r="A5251" s="12" t="inlineStr">
        <is>
          <t>I-P-0083</t>
        </is>
      </c>
      <c r="B5251" s="12" t="inlineStr">
        <is>
          <t>I</t>
        </is>
      </c>
      <c r="C5251" s="12" t="inlineStr">
        <is>
          <t>Modular / portable power</t>
        </is>
      </c>
      <c r="D5251" s="12" t="inlineStr">
        <is>
          <t>MT-4 microturbine output to the site switchboard</t>
        </is>
      </c>
      <c r="E5251" s="12" t="inlineStr">
        <is>
          <t>MT-4</t>
        </is>
      </c>
      <c r="F5251" s="12" t="inlineStr">
        <is>
          <t>MT-4: microturbine 1 MW (1 MW package class)</t>
        </is>
      </c>
      <c r="G5251" s="12" t="inlineStr"/>
      <c r="H5251" s="12" t="inlineStr">
        <is>
          <t>MT-4..6 480 V switchboard</t>
        </is>
      </c>
      <c r="I5251" s="12" t="inlineStr">
        <is>
          <t>LV 600 V</t>
        </is>
      </c>
      <c r="J5251" s="12" t="inlineStr">
        <is>
          <t>Type TC-ER 600 V 3/C Cu XHHW-2 + ground, PVC jacket</t>
        </is>
      </c>
      <c r="K5251" s="12" t="inlineStr">
        <is>
          <t>LV|3/C+G|350</t>
        </is>
      </c>
      <c r="L5251" s="12" t="inlineStr">
        <is>
          <t>3/C+G</t>
        </is>
      </c>
      <c r="M5251" s="12" t="inlineStr">
        <is>
          <t>350 kcmil</t>
        </is>
      </c>
      <c r="N5251" s="12" t="n">
        <v>6</v>
      </c>
      <c r="O5251" s="12" t="n">
        <v>1</v>
      </c>
      <c r="P5251" s="12" t="n">
        <v>480</v>
      </c>
      <c r="Q5251" s="12" t="n">
        <v>1000</v>
      </c>
      <c r="R5251" s="12" t="n">
        <v>1266.2</v>
      </c>
      <c r="S5251" s="12" t="inlineStr">
        <is>
          <t>Duct bank</t>
        </is>
      </c>
      <c r="T5251" s="15" t="n">
        <v>56</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0.3 %</t>
        </is>
      </c>
      <c r="AA5251" s="12">
        <f>N5251*O5251</f>
        <v/>
      </c>
    </row>
    <row r="5252">
      <c r="A5252" s="12" t="inlineStr">
        <is>
          <t>I-P-0084</t>
        </is>
      </c>
      <c r="B5252" s="12" t="inlineStr">
        <is>
          <t>I</t>
        </is>
      </c>
      <c r="C5252" s="12" t="inlineStr">
        <is>
          <t>Modular / portable power</t>
        </is>
      </c>
      <c r="D5252" s="12" t="inlineStr">
        <is>
          <t>MT-5 microturbine output to the site switchboard</t>
        </is>
      </c>
      <c r="E5252" s="12" t="inlineStr">
        <is>
          <t>MT-5</t>
        </is>
      </c>
      <c r="F5252" s="12" t="inlineStr">
        <is>
          <t>MT-5: microturbine 1 MW (1 MW package class)</t>
        </is>
      </c>
      <c r="G5252" s="12" t="inlineStr"/>
      <c r="H5252" s="12" t="inlineStr">
        <is>
          <t>MT-4..6 480 V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Duct bank</t>
        </is>
      </c>
      <c r="T5252" s="15" t="n">
        <v>42</v>
      </c>
      <c r="U5252" s="15" t="n">
        <v>32</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I-P-0085</t>
        </is>
      </c>
      <c r="B5253" s="12" t="inlineStr">
        <is>
          <t>I</t>
        </is>
      </c>
      <c r="C5253" s="12" t="inlineStr">
        <is>
          <t>Modular / portable power</t>
        </is>
      </c>
      <c r="D5253" s="12" t="inlineStr">
        <is>
          <t>MT-6 microturbine output to the site switchboard</t>
        </is>
      </c>
      <c r="E5253" s="12" t="inlineStr">
        <is>
          <t>MT-6</t>
        </is>
      </c>
      <c r="F5253" s="12" t="inlineStr">
        <is>
          <t>MT-6: microturbine 1 MW (1 MW package class)</t>
        </is>
      </c>
      <c r="G5253" s="12" t="inlineStr"/>
      <c r="H5253" s="12" t="inlineStr">
        <is>
          <t>MT-4..6 480 V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Surface</t>
        </is>
      </c>
      <c r="T5253" s="15" t="n">
        <v>21</v>
      </c>
      <c r="U5253" s="15" t="n">
        <v>39</v>
      </c>
      <c r="V5253" s="15">
        <f>ROUNDUP((T5253+U5253+2*'Read Me'!$B$13)*(1+'Read Me'!$B$12),-1)</f>
        <v/>
      </c>
      <c r="W5253" s="15">
        <f>V5253*N5253*O5253</f>
        <v/>
      </c>
      <c r="X5253" s="12">
        <f>IF(LEFT(I5253,2)="MV",2*N5253*IF(L5253="1/C",O5253,1),0)</f>
        <v/>
      </c>
      <c r="Y5253" s="12">
        <f>IF(OR(LEFT(K5253,4)="LVAX",LEFT(K5253,6)="MV15AX",LEFT(K5253,4)="CTAX",LEFT(K5253,2)="W|"),2*N5253*O5253,0)</f>
        <v/>
      </c>
      <c r="Z5253" s="12" t="inlineStr">
        <is>
          <t>VD 0.2 %</t>
        </is>
      </c>
      <c r="AA5253" s="12">
        <f>N5253*O5253</f>
        <v/>
      </c>
    </row>
    <row r="5254">
      <c r="A5254" s="12" t="inlineStr">
        <is>
          <t>I-P-0086</t>
        </is>
      </c>
      <c r="B5254" s="12" t="inlineStr">
        <is>
          <t>I</t>
        </is>
      </c>
      <c r="C5254" s="12" t="inlineStr">
        <is>
          <t>Modular / portable power</t>
        </is>
      </c>
      <c r="D5254" s="12" t="inlineStr">
        <is>
          <t>Microturbine site switchboard to MT-TX 480 V secondary</t>
        </is>
      </c>
      <c r="E5254" s="12" t="inlineStr"/>
      <c r="F5254" s="12" t="inlineStr">
        <is>
          <t>MT-4..6 480 V switchboard</t>
        </is>
      </c>
      <c r="G5254" s="12" t="inlineStr">
        <is>
          <t>MT-TX</t>
        </is>
      </c>
      <c r="H5254" s="12" t="inlineStr">
        <is>
          <t>MT-TX: 480 V : 13.8 kV, ~3.75 MVA pad-mount (microturbine site)</t>
        </is>
      </c>
      <c r="I5254" s="12" t="inlineStr">
        <is>
          <t>LV 600 V</t>
        </is>
      </c>
      <c r="J5254" s="12" t="inlineStr">
        <is>
          <t>XHHW-2 600 V 1/C Cu (feeder sets in tray / duct)</t>
        </is>
      </c>
      <c r="K5254" s="12" t="inlineStr">
        <is>
          <t>LV1C|1/C|750</t>
        </is>
      </c>
      <c r="L5254" s="12" t="inlineStr">
        <is>
          <t>1/C</t>
        </is>
      </c>
      <c r="M5254" s="12" t="inlineStr">
        <is>
          <t>750 kcmil</t>
        </is>
      </c>
      <c r="N5254" s="12" t="n">
        <v>11</v>
      </c>
      <c r="O5254" s="12" t="n">
        <v>4</v>
      </c>
      <c r="P5254" s="12" t="n">
        <v>480</v>
      </c>
      <c r="Q5254" s="12" t="n">
        <v>3000</v>
      </c>
      <c r="R5254" s="12" t="n">
        <v>3798</v>
      </c>
      <c r="S5254" s="12" t="inlineStr">
        <is>
          <t>Tray</t>
        </is>
      </c>
      <c r="T5254" s="15" t="n">
        <v>5</v>
      </c>
      <c r="U5254" s="15" t="n">
        <v>32</v>
      </c>
      <c r="V5254" s="15">
        <f>ROUNDUP((T5254+U5254+2*'Read Me'!$B$13)*(1+'Read Me'!$B$12),-1)</f>
        <v/>
      </c>
      <c r="W5254" s="15">
        <f>V5254*N5254*O5254</f>
        <v/>
      </c>
      <c r="X5254" s="12">
        <f>IF(LEFT(I5254,2)="MV",2*N5254*IF(L5254="1/C",O5254,1),0)</f>
        <v/>
      </c>
      <c r="Y5254" s="12">
        <f>IF(OR(LEFT(K5254,4)="LVAX",LEFT(K5254,6)="MV15AX",LEFT(K5254,4)="CTAX",LEFT(K5254,2)="W|"),2*N5254*O5254,0)</f>
        <v/>
      </c>
      <c r="Z5254" s="12" t="inlineStr">
        <is>
          <t>11 sets of 4 x 1/C, short run</t>
        </is>
      </c>
      <c r="AA5254" s="12">
        <f>N5254*O5254</f>
        <v/>
      </c>
    </row>
    <row r="5255">
      <c r="A5255" s="12" t="inlineStr">
        <is>
          <t>I-P-0087</t>
        </is>
      </c>
      <c r="B5255" s="12" t="inlineStr">
        <is>
          <t>I</t>
        </is>
      </c>
      <c r="C5255" s="12" t="inlineStr">
        <is>
          <t>Modular / portable power</t>
        </is>
      </c>
      <c r="D5255" s="12" t="inlineStr">
        <is>
          <t>MTG-1 480 V auxiliaries (lube-oil pumps, cooler fans, enclosure ventilation)</t>
        </is>
      </c>
      <c r="E5255" s="12" t="inlineStr">
        <is>
          <t>MTG-CB</t>
        </is>
      </c>
      <c r="F5255" s="12" t="inlineStr">
        <is>
          <t>MTG-CB: control and MCC building (unit controls, 480 V MCC)</t>
        </is>
      </c>
      <c r="G5255" s="12" t="inlineStr">
        <is>
          <t>MTG-1</t>
        </is>
      </c>
      <c r="H5255" s="12" t="inlineStr">
        <is>
          <t xml:space="preserve">MTG-1: mid-size industrial gas-turbine generator package ~16 MW, 13.8 </t>
        </is>
      </c>
      <c r="I5255" s="12" t="inlineStr">
        <is>
          <t>LV 600 V</t>
        </is>
      </c>
      <c r="J5255" s="12" t="inlineStr">
        <is>
          <t>Type TC-ER 600 V 3/C Cu XHHW-2 + ground, PVC jacket</t>
        </is>
      </c>
      <c r="K5255" s="12" t="inlineStr">
        <is>
          <t>LV|3/C+G|250</t>
        </is>
      </c>
      <c r="L5255" s="12" t="inlineStr">
        <is>
          <t>3/C+G</t>
        </is>
      </c>
      <c r="M5255" s="12" t="inlineStr">
        <is>
          <t>250 kcmil</t>
        </is>
      </c>
      <c r="N5255" s="12" t="n">
        <v>1</v>
      </c>
      <c r="O5255" s="12" t="n">
        <v>1</v>
      </c>
      <c r="P5255" s="12" t="n">
        <v>480</v>
      </c>
      <c r="Q5255" s="12" t="n">
        <v>120</v>
      </c>
      <c r="R5255" s="12" t="n">
        <v>170</v>
      </c>
      <c r="S5255" s="12" t="inlineStr">
        <is>
          <t>Duct bank</t>
        </is>
      </c>
      <c r="T5255" s="15" t="n">
        <v>10</v>
      </c>
      <c r="U5255" s="15" t="n">
        <v>36</v>
      </c>
      <c r="V5255" s="15">
        <f>ROUNDUP((T5255+U5255+2*'Read Me'!$B$13)*(1+'Read Me'!$B$12),-1)</f>
        <v/>
      </c>
      <c r="W5255" s="15">
        <f>V5255*N5255*O5255</f>
        <v/>
      </c>
      <c r="X5255" s="12">
        <f>IF(LEFT(I5255,2)="MV",2*N5255*IF(L5255="1/C",O5255,1),0)</f>
        <v/>
      </c>
      <c r="Y5255" s="12">
        <f>IF(OR(LEFT(K5255,4)="LVAX",LEFT(K5255,6)="MV15AX",LEFT(K5255,4)="CTAX",LEFT(K5255,2)="W|"),2*N5255*O5255,0)</f>
        <v/>
      </c>
      <c r="Z5255" s="12" t="inlineStr"/>
      <c r="AA5255" s="12">
        <f>N5255*O5255</f>
        <v/>
      </c>
    </row>
    <row r="5256">
      <c r="A5256" s="12" t="inlineStr">
        <is>
          <t>I-P-0088</t>
        </is>
      </c>
      <c r="B5256" s="12" t="inlineStr">
        <is>
          <t>I</t>
        </is>
      </c>
      <c r="C5256" s="12" t="inlineStr">
        <is>
          <t>Modular / portable power</t>
        </is>
      </c>
      <c r="D5256" s="12" t="inlineStr">
        <is>
          <t>MTG-2 480 V auxiliaries (lube-oil pumps, cooler fans, enclosure ventilation)</t>
        </is>
      </c>
      <c r="E5256" s="12" t="inlineStr">
        <is>
          <t>MTG-CB</t>
        </is>
      </c>
      <c r="F5256" s="12" t="inlineStr">
        <is>
          <t>MTG-CB: control and MCC building (unit controls, 480 V MCC)</t>
        </is>
      </c>
      <c r="G5256" s="12" t="inlineStr">
        <is>
          <t>MTG-2</t>
        </is>
      </c>
      <c r="H5256" s="12" t="inlineStr">
        <is>
          <t xml:space="preserve">MTG-2: mid-size industrial gas-turbine generator package ~16 MW, 13.8 </t>
        </is>
      </c>
      <c r="I5256" s="12" t="inlineStr">
        <is>
          <t>LV 600 V</t>
        </is>
      </c>
      <c r="J5256" s="12" t="inlineStr">
        <is>
          <t>Type TC-ER 600 V 3/C Cu XHHW-2 + ground, PVC jacket</t>
        </is>
      </c>
      <c r="K5256" s="12" t="inlineStr">
        <is>
          <t>LV|3/C+G|250</t>
        </is>
      </c>
      <c r="L5256" s="12" t="inlineStr">
        <is>
          <t>3/C+G</t>
        </is>
      </c>
      <c r="M5256" s="12" t="inlineStr">
        <is>
          <t>250 kcmil</t>
        </is>
      </c>
      <c r="N5256" s="12" t="n">
        <v>1</v>
      </c>
      <c r="O5256" s="12" t="n">
        <v>1</v>
      </c>
      <c r="P5256" s="12" t="n">
        <v>480</v>
      </c>
      <c r="Q5256" s="12" t="n">
        <v>120</v>
      </c>
      <c r="R5256" s="12" t="n">
        <v>170</v>
      </c>
      <c r="S5256" s="12" t="inlineStr">
        <is>
          <t>Duct bank</t>
        </is>
      </c>
      <c r="T5256" s="15" t="n">
        <v>43</v>
      </c>
      <c r="U5256" s="15" t="n">
        <v>37</v>
      </c>
      <c r="V5256" s="15">
        <f>ROUNDUP((T5256+U5256+2*'Read Me'!$B$13)*(1+'Read Me'!$B$12),-1)</f>
        <v/>
      </c>
      <c r="W5256" s="15">
        <f>V5256*N5256*O5256</f>
        <v/>
      </c>
      <c r="X5256" s="12">
        <f>IF(LEFT(I5256,2)="MV",2*N5256*IF(L5256="1/C",O5256,1),0)</f>
        <v/>
      </c>
      <c r="Y5256" s="12">
        <f>IF(OR(LEFT(K5256,4)="LVAX",LEFT(K5256,6)="MV15AX",LEFT(K5256,4)="CTAX",LEFT(K5256,2)="W|"),2*N5256*O5256,0)</f>
        <v/>
      </c>
      <c r="Z5256" s="12" t="inlineStr"/>
      <c r="AA5256" s="12">
        <f>N5256*O5256</f>
        <v/>
      </c>
    </row>
    <row r="5257">
      <c r="A5257" s="12" t="inlineStr">
        <is>
          <t>I-P-0089</t>
        </is>
      </c>
      <c r="B5257" s="12" t="inlineStr">
        <is>
          <t>I</t>
        </is>
      </c>
      <c r="C5257" s="12" t="inlineStr">
        <is>
          <t>Modular / portable power</t>
        </is>
      </c>
      <c r="D5257" s="12" t="inlineStr">
        <is>
          <t>MTG-CB 480 V MCC from MTG-AUX</t>
        </is>
      </c>
      <c r="E5257" s="12" t="inlineStr">
        <is>
          <t>MTG-AUX</t>
        </is>
      </c>
      <c r="F5257" s="12" t="inlineStr">
        <is>
          <t>MTG-AUX: 13.8 / 0.48 kV auxiliary transformer</t>
        </is>
      </c>
      <c r="G5257" s="12" t="inlineStr">
        <is>
          <t>MTG-CB</t>
        </is>
      </c>
      <c r="H5257" s="12" t="inlineStr">
        <is>
          <t>MTG-CB: control and MCC building (unit controls, 480 V MCC)</t>
        </is>
      </c>
      <c r="I5257" s="12" t="inlineStr">
        <is>
          <t>LV 600 V</t>
        </is>
      </c>
      <c r="J5257" s="12" t="inlineStr">
        <is>
          <t>Type TC-ER 600 V 3/C Cu XHHW-2 + ground, PVC jacket</t>
        </is>
      </c>
      <c r="K5257" s="12" t="inlineStr">
        <is>
          <t>LV|3/C+G|500</t>
        </is>
      </c>
      <c r="L5257" s="12" t="inlineStr">
        <is>
          <t>3/C+G</t>
        </is>
      </c>
      <c r="M5257" s="12" t="inlineStr">
        <is>
          <t>500 kcmil</t>
        </is>
      </c>
      <c r="N5257" s="12" t="n">
        <v>3</v>
      </c>
      <c r="O5257" s="12" t="n">
        <v>1</v>
      </c>
      <c r="P5257" s="12" t="n">
        <v>480</v>
      </c>
      <c r="Q5257" s="12" t="n">
        <v>600</v>
      </c>
      <c r="R5257" s="12" t="n">
        <v>759.7</v>
      </c>
      <c r="S5257" s="12" t="inlineStr">
        <is>
          <t>Duct bank</t>
        </is>
      </c>
      <c r="T5257" s="15" t="n">
        <v>58</v>
      </c>
      <c r="U5257" s="15" t="n">
        <v>32</v>
      </c>
      <c r="V5257" s="15">
        <f>ROUNDUP((T5257+U5257+2*'Read Me'!$B$13)*(1+'Read Me'!$B$12),-1)</f>
        <v/>
      </c>
      <c r="W5257" s="15">
        <f>V5257*N5257*O5257</f>
        <v/>
      </c>
      <c r="X5257" s="12">
        <f>IF(LEFT(I5257,2)="MV",2*N5257*IF(L5257="1/C",O5257,1),0)</f>
        <v/>
      </c>
      <c r="Y5257" s="12">
        <f>IF(OR(LEFT(K5257,4)="LVAX",LEFT(K5257,6)="MV15AX",LEFT(K5257,4)="CTAX",LEFT(K5257,2)="W|"),2*N5257*O5257,0)</f>
        <v/>
      </c>
      <c r="Z5257" s="12" t="inlineStr">
        <is>
          <t>VD 0.2 %</t>
        </is>
      </c>
      <c r="AA5257" s="12">
        <f>N5257*O5257</f>
        <v/>
      </c>
    </row>
    <row r="5258">
      <c r="A5258" s="12" t="inlineStr">
        <is>
          <t>I-P-0090</t>
        </is>
      </c>
      <c r="B5258" s="12" t="inlineStr">
        <is>
          <t>I</t>
        </is>
      </c>
      <c r="C5258" s="12" t="inlineStr">
        <is>
          <t>Modular / portable power</t>
        </is>
      </c>
      <c r="D5258" s="12" t="inlineStr">
        <is>
          <t>MTG-FG gas heater and skid power (Class I Div 2)</t>
        </is>
      </c>
      <c r="E5258" s="12" t="inlineStr">
        <is>
          <t>MTG-CB</t>
        </is>
      </c>
      <c r="F5258" s="12" t="inlineStr">
        <is>
          <t>MTG-CB: control and MCC building (unit controls, 480 V MCC)</t>
        </is>
      </c>
      <c r="G5258" s="12" t="inlineStr">
        <is>
          <t>MTG-FG</t>
        </is>
      </c>
      <c r="H5258" s="12" t="inlineStr">
        <is>
          <t>MTG-FG: fuel-gas conditioning skid (scrubber, filter-separator, heater</t>
        </is>
      </c>
      <c r="I5258" s="12" t="inlineStr">
        <is>
          <t>LV 600 V</t>
        </is>
      </c>
      <c r="J5258" s="12" t="inlineStr">
        <is>
          <t>ARMOR-X MC-HL 600 V 3/C Cu XHHW-2 + ground, CWA, black PVC (Class I Div 2)</t>
        </is>
      </c>
      <c r="K5258" s="12" t="inlineStr">
        <is>
          <t>LVAX|3/C+G|2</t>
        </is>
      </c>
      <c r="L5258" s="12" t="inlineStr">
        <is>
          <t>3/C+G</t>
        </is>
      </c>
      <c r="M5258" s="12" t="inlineStr">
        <is>
          <t>2</t>
        </is>
      </c>
      <c r="N5258" s="12" t="n">
        <v>1</v>
      </c>
      <c r="O5258" s="12" t="n">
        <v>1</v>
      </c>
      <c r="P5258" s="12" t="n">
        <v>480</v>
      </c>
      <c r="Q5258" s="12" t="n">
        <v>60</v>
      </c>
      <c r="R5258" s="12" t="n">
        <v>84.90000000000001</v>
      </c>
      <c r="S5258" s="12" t="inlineStr">
        <is>
          <t>Duct bank</t>
        </is>
      </c>
      <c r="T5258" s="15" t="n">
        <v>36</v>
      </c>
      <c r="U5258" s="15" t="n">
        <v>102</v>
      </c>
      <c r="V5258" s="15">
        <f>ROUNDUP((T5258+U5258+2*'Read Me'!$B$13)*(1+'Read Me'!$B$12),-1)</f>
        <v/>
      </c>
      <c r="W5258" s="15">
        <f>V5258*N5258*O5258</f>
        <v/>
      </c>
      <c r="X5258" s="12">
        <f>IF(LEFT(I5258,2)="MV",2*N5258*IF(L5258="1/C",O5258,1),0)</f>
        <v/>
      </c>
      <c r="Y5258" s="12">
        <f>IF(OR(LEFT(K5258,4)="LVAX",LEFT(K5258,6)="MV15AX",LEFT(K5258,4)="CTAX",LEFT(K5258,2)="W|"),2*N5258*O5258,0)</f>
        <v/>
      </c>
      <c r="Z5258" s="12" t="inlineStr">
        <is>
          <t>VD 0.9 %</t>
        </is>
      </c>
      <c r="AA5258" s="12">
        <f>N5258*O5258</f>
        <v/>
      </c>
    </row>
    <row r="5259">
      <c r="A5259" s="12" t="inlineStr">
        <is>
          <t>I-P-0091</t>
        </is>
      </c>
      <c r="B5259" s="12" t="inlineStr">
        <is>
          <t>I</t>
        </is>
      </c>
      <c r="C5259" s="12" t="inlineStr">
        <is>
          <t>Modular / portable power</t>
        </is>
      </c>
      <c r="D5259" s="12" t="inlineStr">
        <is>
          <t>MTG-SWG station service: DC charger, heaters, HVAC, lighting</t>
        </is>
      </c>
      <c r="E5259" s="12" t="inlineStr">
        <is>
          <t>MTG-CB</t>
        </is>
      </c>
      <c r="F5259" s="12" t="inlineStr">
        <is>
          <t>MTG-CB: control and MCC building (unit controls, 480 V MCC)</t>
        </is>
      </c>
      <c r="G5259" s="12" t="inlineStr">
        <is>
          <t>MTG-SWG</t>
        </is>
      </c>
      <c r="H5259" s="12" t="inlineStr">
        <is>
          <t>MTG-SWG: 13.8 kV switchgear e-house (2 generator breakers, site feeder</t>
        </is>
      </c>
      <c r="I5259" s="12" t="inlineStr">
        <is>
          <t>LV 600 V</t>
        </is>
      </c>
      <c r="J5259" s="12" t="inlineStr">
        <is>
          <t>Type TC-ER 600 V 3/C Cu XHHW-2 + ground, PVC jacket</t>
        </is>
      </c>
      <c r="K5259" s="12" t="inlineStr">
        <is>
          <t>LV|3/C+G|4</t>
        </is>
      </c>
      <c r="L5259" s="12" t="inlineStr">
        <is>
          <t>3/C+G</t>
        </is>
      </c>
      <c r="M5259" s="12" t="inlineStr">
        <is>
          <t>4</t>
        </is>
      </c>
      <c r="N5259" s="12" t="n">
        <v>1</v>
      </c>
      <c r="O5259" s="12" t="n">
        <v>1</v>
      </c>
      <c r="P5259" s="12" t="n">
        <v>480</v>
      </c>
      <c r="Q5259" s="12" t="n">
        <v>45</v>
      </c>
      <c r="R5259" s="12" t="n">
        <v>57</v>
      </c>
      <c r="S5259" s="12" t="inlineStr">
        <is>
          <t>Duct bank</t>
        </is>
      </c>
      <c r="T5259" s="15" t="n">
        <v>44</v>
      </c>
      <c r="U5259" s="15" t="n">
        <v>32</v>
      </c>
      <c r="V5259" s="15">
        <f>ROUNDUP((T5259+U5259+2*'Read Me'!$B$13)*(1+'Read Me'!$B$12),-1)</f>
        <v/>
      </c>
      <c r="W5259" s="15">
        <f>V5259*N5259*O5259</f>
        <v/>
      </c>
      <c r="X5259" s="12">
        <f>IF(LEFT(I5259,2)="MV",2*N5259*IF(L5259="1/C",O5259,1),0)</f>
        <v/>
      </c>
      <c r="Y5259" s="12">
        <f>IF(OR(LEFT(K5259,4)="LVAX",LEFT(K5259,6)="MV15AX",LEFT(K5259,4)="CTAX",LEFT(K5259,2)="W|"),2*N5259*O5259,0)</f>
        <v/>
      </c>
      <c r="Z5259" s="12" t="inlineStr">
        <is>
          <t>VD 0.5 %</t>
        </is>
      </c>
      <c r="AA5259" s="12">
        <f>N5259*O5259</f>
        <v/>
      </c>
    </row>
    <row r="5260">
      <c r="A5260" s="12" t="inlineStr">
        <is>
          <t>I-P-0092</t>
        </is>
      </c>
      <c r="B5260" s="12" t="inlineStr">
        <is>
          <t>I</t>
        </is>
      </c>
      <c r="C5260" s="12" t="inlineStr">
        <is>
          <t>Modular / portable power</t>
        </is>
      </c>
      <c r="D5260" s="12" t="inlineStr">
        <is>
          <t>PAD-EH station service: DC charger, heaters, HVAC, lighting</t>
        </is>
      </c>
      <c r="E5260" s="12" t="inlineStr">
        <is>
          <t>PAD-LV</t>
        </is>
      </c>
      <c r="F5260" s="12" t="inlineStr">
        <is>
          <t>PAD-LV 480 V paralleling switchboard</t>
        </is>
      </c>
      <c r="G5260" s="12" t="inlineStr">
        <is>
          <t>PAD-EH</t>
        </is>
      </c>
      <c r="H5260" s="12" t="inlineStr">
        <is>
          <t>PAD-EH 13.8 kV switchgear e-house</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60</v>
      </c>
      <c r="R5260" s="12" t="n">
        <v>76</v>
      </c>
      <c r="S5260" s="12" t="inlineStr">
        <is>
          <t>Surface</t>
        </is>
      </c>
      <c r="T5260" s="15" t="n">
        <v>30</v>
      </c>
      <c r="U5260" s="15" t="n">
        <v>27</v>
      </c>
      <c r="V5260" s="15">
        <f>ROUNDUP((T5260+U5260+2*'Read Me'!$B$13)*(1+'Read Me'!$B$12),-1)</f>
        <v/>
      </c>
      <c r="W5260" s="15">
        <f>V5260*N5260*O5260</f>
        <v/>
      </c>
      <c r="X5260" s="12">
        <f>IF(LEFT(I5260,2)="MV",2*N5260*IF(L5260="1/C",O5260,1),0)</f>
        <v/>
      </c>
      <c r="Y5260" s="12">
        <f>IF(OR(LEFT(K5260,4)="LVAX",LEFT(K5260,6)="MV15AX",LEFT(K5260,4)="CTAX",LEFT(K5260,2)="W|"),2*N5260*O5260,0)</f>
        <v/>
      </c>
      <c r="Z5260" s="12" t="inlineStr">
        <is>
          <t>VD 0.3 %</t>
        </is>
      </c>
      <c r="AA5260" s="12">
        <f>N5260*O5260</f>
        <v/>
      </c>
    </row>
    <row r="5261">
      <c r="A5261" s="12" t="inlineStr">
        <is>
          <t>I-P-0093</t>
        </is>
      </c>
      <c r="B5261" s="12" t="inlineStr">
        <is>
          <t>I</t>
        </is>
      </c>
      <c r="C5261" s="12" t="inlineStr">
        <is>
          <t>Modular / portable power</t>
        </is>
      </c>
      <c r="D5261" s="12" t="inlineStr">
        <is>
          <t>LGN-INV 480 V AC to PAD-LV</t>
        </is>
      </c>
      <c r="E5261" s="12" t="inlineStr">
        <is>
          <t>LGN-INV</t>
        </is>
      </c>
      <c r="F5261" s="12" t="inlineStr">
        <is>
          <t>LGN-INV: linear generator inverter / AC cabinet (480 V)</t>
        </is>
      </c>
      <c r="G5261" s="12" t="inlineStr">
        <is>
          <t>PAD-LV</t>
        </is>
      </c>
      <c r="H5261" s="12" t="inlineStr">
        <is>
          <t>PAD-LV 480 V paralleling switchboard</t>
        </is>
      </c>
      <c r="I5261" s="12" t="inlineStr">
        <is>
          <t>LV 600 V</t>
        </is>
      </c>
      <c r="J5261" s="12" t="inlineStr">
        <is>
          <t>Type TC-ER 600 V 3/C Cu XHHW-2 + ground, PVC jacket</t>
        </is>
      </c>
      <c r="K5261" s="12" t="inlineStr">
        <is>
          <t>LV|3/C+G|350</t>
        </is>
      </c>
      <c r="L5261" s="12" t="inlineStr">
        <is>
          <t>3/C+G</t>
        </is>
      </c>
      <c r="M5261" s="12" t="inlineStr">
        <is>
          <t>350 kcmil</t>
        </is>
      </c>
      <c r="N5261" s="12" t="n">
        <v>6</v>
      </c>
      <c r="O5261" s="12" t="n">
        <v>1</v>
      </c>
      <c r="P5261" s="12" t="n">
        <v>480</v>
      </c>
      <c r="Q5261" s="12" t="n">
        <v>1000</v>
      </c>
      <c r="R5261" s="12" t="n">
        <v>1266.2</v>
      </c>
      <c r="S5261" s="12" t="inlineStr">
        <is>
          <t>Surface</t>
        </is>
      </c>
      <c r="T5261" s="15" t="n">
        <v>24</v>
      </c>
      <c r="U5261" s="15" t="n">
        <v>27</v>
      </c>
      <c r="V5261" s="15">
        <f>ROUNDUP((T5261+U5261+2*'Read Me'!$B$13)*(1+'Read Me'!$B$12),-1)</f>
        <v/>
      </c>
      <c r="W5261" s="15">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I-P-0094</t>
        </is>
      </c>
      <c r="B5262" s="12" t="inlineStr">
        <is>
          <t>I</t>
        </is>
      </c>
      <c r="C5262" s="12" t="inlineStr">
        <is>
          <t>Modular / portable power</t>
        </is>
      </c>
      <c r="D5262" s="12" t="inlineStr">
        <is>
          <t>Fuel-cell AC cabinet to PAD-LV</t>
        </is>
      </c>
      <c r="E5262" s="12" t="inlineStr"/>
      <c r="F5262" s="12" t="inlineStr">
        <is>
          <t>FC-5..8 inverter / AC cabinet / desulfurizer</t>
        </is>
      </c>
      <c r="G5262" s="12" t="inlineStr">
        <is>
          <t>PAD-LV</t>
        </is>
      </c>
      <c r="H5262" s="12" t="inlineStr">
        <is>
          <t>PAD-LV 480 V paralleling switchboard</t>
        </is>
      </c>
      <c r="I5262" s="12" t="inlineStr">
        <is>
          <t>LV 600 V</t>
        </is>
      </c>
      <c r="J5262" s="12" t="inlineStr">
        <is>
          <t>Type TC-ER 600 V 3/C Cu XHHW-2 + ground, PVC jacket</t>
        </is>
      </c>
      <c r="K5262" s="12" t="inlineStr">
        <is>
          <t>LV|3/C+G|350</t>
        </is>
      </c>
      <c r="L5262" s="12" t="inlineStr">
        <is>
          <t>3/C+G</t>
        </is>
      </c>
      <c r="M5262" s="12" t="inlineStr">
        <is>
          <t>350 kcmil</t>
        </is>
      </c>
      <c r="N5262" s="12" t="n">
        <v>6</v>
      </c>
      <c r="O5262" s="12" t="n">
        <v>1</v>
      </c>
      <c r="P5262" s="12" t="n">
        <v>480</v>
      </c>
      <c r="Q5262" s="12" t="n">
        <v>1000</v>
      </c>
      <c r="R5262" s="12" t="n">
        <v>1266.2</v>
      </c>
      <c r="S5262" s="12" t="inlineStr">
        <is>
          <t>Surface</t>
        </is>
      </c>
      <c r="T5262" s="15" t="n">
        <v>186</v>
      </c>
      <c r="U5262" s="15" t="n">
        <v>27</v>
      </c>
      <c r="V5262" s="15">
        <f>ROUNDUP((T5262+U5262+2*'Read Me'!$B$13)*(1+'Read Me'!$B$12),-1)</f>
        <v/>
      </c>
      <c r="W5262" s="15">
        <f>V5262*N5262*O5262</f>
        <v/>
      </c>
      <c r="X5262" s="12">
        <f>IF(LEFT(I5262,2)="MV",2*N5262*IF(L5262="1/C",O5262,1),0)</f>
        <v/>
      </c>
      <c r="Y5262" s="12">
        <f>IF(OR(LEFT(K5262,4)="LVAX",LEFT(K5262,6)="MV15AX",LEFT(K5262,4)="CTAX",LEFT(K5262,2)="W|"),2*N5262*O5262,0)</f>
        <v/>
      </c>
      <c r="Z5262" s="12" t="inlineStr">
        <is>
          <t>VD 0.7 %</t>
        </is>
      </c>
      <c r="AA5262" s="12">
        <f>N5262*O5262</f>
        <v/>
      </c>
    </row>
    <row r="5263">
      <c r="A5263" s="12" t="inlineStr">
        <is>
          <t>I-P-0095</t>
        </is>
      </c>
      <c r="B5263" s="12" t="inlineStr">
        <is>
          <t>I</t>
        </is>
      </c>
      <c r="C5263" s="12" t="inlineStr">
        <is>
          <t>Modular / portable power</t>
        </is>
      </c>
      <c r="D5263" s="12" t="inlineStr">
        <is>
          <t>PAD-LV to PAD-TX</t>
        </is>
      </c>
      <c r="E5263" s="12" t="inlineStr">
        <is>
          <t>PAD-LV</t>
        </is>
      </c>
      <c r="F5263" s="12" t="inlineStr">
        <is>
          <t>PAD-LV 480 V paralleling switchboard</t>
        </is>
      </c>
      <c r="G5263" s="12" t="inlineStr">
        <is>
          <t>PAD-TX</t>
        </is>
      </c>
      <c r="H5263" s="12" t="inlineStr">
        <is>
          <t>PAD-TX 480 V : 13.8 kV</t>
        </is>
      </c>
      <c r="I5263" s="12" t="inlineStr">
        <is>
          <t>LV 600 V</t>
        </is>
      </c>
      <c r="J5263" s="12" t="inlineStr">
        <is>
          <t>XHHW-2 600 V 1/C Cu (feeder sets in tray / duct)</t>
        </is>
      </c>
      <c r="K5263" s="12" t="inlineStr">
        <is>
          <t>LV1C|1/C|500</t>
        </is>
      </c>
      <c r="L5263" s="12" t="inlineStr">
        <is>
          <t>1/C</t>
        </is>
      </c>
      <c r="M5263" s="12" t="inlineStr">
        <is>
          <t>500 kcmil</t>
        </is>
      </c>
      <c r="N5263" s="12" t="n">
        <v>12</v>
      </c>
      <c r="O5263" s="12" t="n">
        <v>4</v>
      </c>
      <c r="P5263" s="12" t="n">
        <v>480</v>
      </c>
      <c r="Q5263" s="12" t="n">
        <v>3000</v>
      </c>
      <c r="R5263" s="12" t="n">
        <v>3600</v>
      </c>
      <c r="S5263" s="12" t="inlineStr">
        <is>
          <t>Surface</t>
        </is>
      </c>
      <c r="T5263" s="15" t="n">
        <v>35</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12 sets of 4 x 1/C (or bus duct)</t>
        </is>
      </c>
      <c r="AA5263" s="12">
        <f>N5263*O5263</f>
        <v/>
      </c>
    </row>
    <row r="5264">
      <c r="A5264" s="12" t="inlineStr">
        <is>
          <t>I-P-0096</t>
        </is>
      </c>
      <c r="B5264" s="12" t="inlineStr">
        <is>
          <t>I</t>
        </is>
      </c>
      <c r="C5264" s="12" t="inlineStr">
        <is>
          <t>Modular / portable power</t>
        </is>
      </c>
      <c r="D5264" s="12" t="inlineStr">
        <is>
          <t>LV panel / distribution feeder</t>
        </is>
      </c>
      <c r="E5264" s="12" t="inlineStr"/>
      <c r="F5264" s="12" t="inlineStr">
        <is>
          <t>PCM: power control module</t>
        </is>
      </c>
      <c r="G5264" s="12" t="inlineStr"/>
      <c r="H5264" s="12" t="inlineStr">
        <is>
          <t>PCM: power control module</t>
        </is>
      </c>
      <c r="I5264" s="12" t="inlineStr">
        <is>
          <t>LV 600 V</t>
        </is>
      </c>
      <c r="J5264" s="12" t="inlineStr">
        <is>
          <t>Type TC-ER 600 V 3/C Cu XHHW-2 + ground, PVC jacket</t>
        </is>
      </c>
      <c r="K5264" s="12" t="inlineStr">
        <is>
          <t>LV|3/C+G|4</t>
        </is>
      </c>
      <c r="L5264" s="12" t="inlineStr">
        <is>
          <t>3/C+G</t>
        </is>
      </c>
      <c r="M5264" s="12" t="inlineStr">
        <is>
          <t>4</t>
        </is>
      </c>
      <c r="N5264" s="12" t="n">
        <v>1</v>
      </c>
      <c r="O5264" s="12" t="n">
        <v>1</v>
      </c>
      <c r="P5264" s="12" t="n">
        <v>480</v>
      </c>
      <c r="Q5264" s="12" t="n">
        <v>38</v>
      </c>
      <c r="R5264" s="12" t="n">
        <v>53.8</v>
      </c>
      <c r="S5264" s="12" t="inlineStr">
        <is>
          <t>Tray</t>
        </is>
      </c>
      <c r="T5264" s="15" t="n">
        <v>0</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I-P-0097</t>
        </is>
      </c>
      <c r="B5265" s="12" t="inlineStr">
        <is>
          <t>I</t>
        </is>
      </c>
      <c r="C5265" s="12" t="inlineStr">
        <is>
          <t>Modular / portable power</t>
        </is>
      </c>
      <c r="D5265" s="12" t="inlineStr">
        <is>
          <t>PGS-1 480 V generator leads to the paralleling switchgear</t>
        </is>
      </c>
      <c r="E5265" s="12" t="inlineStr">
        <is>
          <t>PGS-1</t>
        </is>
      </c>
      <c r="F5265" s="12" t="inlineStr">
        <is>
          <t>PGS-1: enclosed gas genset 1 MW, 480 V (paralleled, unit 1 of 8)</t>
        </is>
      </c>
      <c r="G5265" s="12" t="inlineStr">
        <is>
          <t>PGS-SWG</t>
        </is>
      </c>
      <c r="H5265" s="12" t="inlineStr">
        <is>
          <t>PGS-SWG: 480 V paralleling switchgear (8 generator breakers, 2 transfo</t>
        </is>
      </c>
      <c r="I5265" s="12" t="inlineStr">
        <is>
          <t>LV 600 V</t>
        </is>
      </c>
      <c r="J5265" s="12" t="inlineStr">
        <is>
          <t>XHHW-2 600 V 1/C Cu (feeder sets in tray / duct)</t>
        </is>
      </c>
      <c r="K5265" s="12" t="inlineStr">
        <is>
          <t>LV1C|1/C|500</t>
        </is>
      </c>
      <c r="L5265" s="12" t="inlineStr">
        <is>
          <t>1/C</t>
        </is>
      </c>
      <c r="M5265" s="12" t="inlineStr">
        <is>
          <t>500 kcmil</t>
        </is>
      </c>
      <c r="N5265" s="12" t="n">
        <v>4</v>
      </c>
      <c r="O5265" s="12" t="n">
        <v>4</v>
      </c>
      <c r="P5265" s="12" t="n">
        <v>480</v>
      </c>
      <c r="Q5265" s="12" t="n">
        <v>1000</v>
      </c>
      <c r="R5265" s="12" t="n">
        <v>1203</v>
      </c>
      <c r="S5265" s="12" t="inlineStr">
        <is>
          <t>Riser</t>
        </is>
      </c>
      <c r="T5265" s="15" t="n">
        <v>4</v>
      </c>
      <c r="U5265" s="15" t="n">
        <v>27</v>
      </c>
      <c r="V5265" s="15">
        <f>ROUNDUP((T5265+U5265+2*'Read Me'!$B$13)*(1+'Read Me'!$B$12),-1)</f>
        <v/>
      </c>
      <c r="W5265" s="15">
        <f>V5265*N5265*O5265</f>
        <v/>
      </c>
      <c r="X5265" s="12">
        <f>IF(LEFT(I5265,2)="MV",2*N5265*IF(L5265="1/C",O5265,1),0)</f>
        <v/>
      </c>
      <c r="Y5265" s="12">
        <f>IF(OR(LEFT(K5265,4)="LVAX",LEFT(K5265,6)="MV15AX",LEFT(K5265,4)="CTAX",LEFT(K5265,2)="W|"),2*N5265*O5265,0)</f>
        <v/>
      </c>
      <c r="Z5265" s="12" t="inlineStr">
        <is>
          <t>4 sets of 4 x 1/C</t>
        </is>
      </c>
      <c r="AA5265" s="12">
        <f>N5265*O5265</f>
        <v/>
      </c>
    </row>
    <row r="5266">
      <c r="A5266" s="12" t="inlineStr">
        <is>
          <t>I-P-0098</t>
        </is>
      </c>
      <c r="B5266" s="12" t="inlineStr">
        <is>
          <t>I</t>
        </is>
      </c>
      <c r="C5266" s="12" t="inlineStr">
        <is>
          <t>Modular / portable power</t>
        </is>
      </c>
      <c r="D5266" s="12" t="inlineStr">
        <is>
          <t>PGS-2 480 V generator leads to the paralleling switchgear</t>
        </is>
      </c>
      <c r="E5266" s="12" t="inlineStr">
        <is>
          <t>PGS-2</t>
        </is>
      </c>
      <c r="F5266" s="12" t="inlineStr">
        <is>
          <t>PGS-2: enclosed gas genset 1 MW, 480 V (paralleled, unit 2 of 8)</t>
        </is>
      </c>
      <c r="G5266" s="12" t="inlineStr">
        <is>
          <t>PGS-SWG</t>
        </is>
      </c>
      <c r="H5266" s="12" t="inlineStr">
        <is>
          <t>PGS-SWG: 480 V paralleling switchgear (8 generator breakers, 2 transfo</t>
        </is>
      </c>
      <c r="I5266" s="12" t="inlineStr">
        <is>
          <t>LV 600 V</t>
        </is>
      </c>
      <c r="J5266" s="12" t="inlineStr">
        <is>
          <t>XHHW-2 600 V 1/C Cu (feeder sets in tray / duct)</t>
        </is>
      </c>
      <c r="K5266" s="12" t="inlineStr">
        <is>
          <t>LV1C|1/C|500</t>
        </is>
      </c>
      <c r="L5266" s="12" t="inlineStr">
        <is>
          <t>1/C</t>
        </is>
      </c>
      <c r="M5266" s="12" t="inlineStr">
        <is>
          <t>500 kcmil</t>
        </is>
      </c>
      <c r="N5266" s="12" t="n">
        <v>4</v>
      </c>
      <c r="O5266" s="12" t="n">
        <v>4</v>
      </c>
      <c r="P5266" s="12" t="n">
        <v>480</v>
      </c>
      <c r="Q5266" s="12" t="n">
        <v>1000</v>
      </c>
      <c r="R5266" s="12" t="n">
        <v>1203</v>
      </c>
      <c r="S5266" s="12" t="inlineStr">
        <is>
          <t>Riser</t>
        </is>
      </c>
      <c r="T5266" s="15" t="n">
        <v>4</v>
      </c>
      <c r="U5266" s="15" t="n">
        <v>27</v>
      </c>
      <c r="V5266" s="15">
        <f>ROUNDUP((T5266+U5266+2*'Read Me'!$B$13)*(1+'Read Me'!$B$12),-1)</f>
        <v/>
      </c>
      <c r="W5266" s="15">
        <f>V5266*N5266*O5266</f>
        <v/>
      </c>
      <c r="X5266" s="12">
        <f>IF(LEFT(I5266,2)="MV",2*N5266*IF(L5266="1/C",O5266,1),0)</f>
        <v/>
      </c>
      <c r="Y5266" s="12">
        <f>IF(OR(LEFT(K5266,4)="LVAX",LEFT(K5266,6)="MV15AX",LEFT(K5266,4)="CTAX",LEFT(K5266,2)="W|"),2*N5266*O5266,0)</f>
        <v/>
      </c>
      <c r="Z5266" s="12" t="inlineStr">
        <is>
          <t>4 sets of 4 x 1/C</t>
        </is>
      </c>
      <c r="AA5266" s="12">
        <f>N5266*O5266</f>
        <v/>
      </c>
    </row>
    <row r="5267">
      <c r="A5267" s="12" t="inlineStr">
        <is>
          <t>I-P-0099</t>
        </is>
      </c>
      <c r="B5267" s="12" t="inlineStr">
        <is>
          <t>I</t>
        </is>
      </c>
      <c r="C5267" s="12" t="inlineStr">
        <is>
          <t>Modular / portable power</t>
        </is>
      </c>
      <c r="D5267" s="12" t="inlineStr">
        <is>
          <t>PGS-3 480 V generator leads to the paralleling switchgear</t>
        </is>
      </c>
      <c r="E5267" s="12" t="inlineStr">
        <is>
          <t>PGS-3</t>
        </is>
      </c>
      <c r="F5267" s="12" t="inlineStr">
        <is>
          <t>PGS-3: enclosed gas genset 1 MW, 480 V (paralleled, unit 3 of 8)</t>
        </is>
      </c>
      <c r="G5267" s="12" t="inlineStr">
        <is>
          <t>PGS-SWG</t>
        </is>
      </c>
      <c r="H5267" s="12" t="inlineStr">
        <is>
          <t>PGS-SWG: 480 V paralleling switchgear (8 generator breakers, 2 transfo</t>
        </is>
      </c>
      <c r="I5267" s="12" t="inlineStr">
        <is>
          <t>LV 600 V</t>
        </is>
      </c>
      <c r="J5267" s="12" t="inlineStr">
        <is>
          <t>XHHW-2 600 V 1/C Cu (feeder sets in tray / duct)</t>
        </is>
      </c>
      <c r="K5267" s="12" t="inlineStr">
        <is>
          <t>LV1C|1/C|500</t>
        </is>
      </c>
      <c r="L5267" s="12" t="inlineStr">
        <is>
          <t>1/C</t>
        </is>
      </c>
      <c r="M5267" s="12" t="inlineStr">
        <is>
          <t>500 kcmil</t>
        </is>
      </c>
      <c r="N5267" s="12" t="n">
        <v>4</v>
      </c>
      <c r="O5267" s="12" t="n">
        <v>4</v>
      </c>
      <c r="P5267" s="12" t="n">
        <v>480</v>
      </c>
      <c r="Q5267" s="12" t="n">
        <v>1000</v>
      </c>
      <c r="R5267" s="12" t="n">
        <v>1203</v>
      </c>
      <c r="S5267" s="12" t="inlineStr">
        <is>
          <t>Riser</t>
        </is>
      </c>
      <c r="T5267" s="15" t="n">
        <v>4</v>
      </c>
      <c r="U5267" s="15" t="n">
        <v>27</v>
      </c>
      <c r="V5267" s="15">
        <f>ROUNDUP((T5267+U5267+2*'Read Me'!$B$13)*(1+'Read Me'!$B$12),-1)</f>
        <v/>
      </c>
      <c r="W5267" s="15">
        <f>V5267*N5267*O5267</f>
        <v/>
      </c>
      <c r="X5267" s="12">
        <f>IF(LEFT(I5267,2)="MV",2*N5267*IF(L5267="1/C",O5267,1),0)</f>
        <v/>
      </c>
      <c r="Y5267" s="12">
        <f>IF(OR(LEFT(K5267,4)="LVAX",LEFT(K5267,6)="MV15AX",LEFT(K5267,4)="CTAX",LEFT(K5267,2)="W|"),2*N5267*O5267,0)</f>
        <v/>
      </c>
      <c r="Z5267" s="12" t="inlineStr">
        <is>
          <t>4 sets of 4 x 1/C</t>
        </is>
      </c>
      <c r="AA5267" s="12">
        <f>N5267*O5267</f>
        <v/>
      </c>
    </row>
    <row r="5268">
      <c r="A5268" s="12" t="inlineStr">
        <is>
          <t>I-P-0100</t>
        </is>
      </c>
      <c r="B5268" s="12" t="inlineStr">
        <is>
          <t>I</t>
        </is>
      </c>
      <c r="C5268" s="12" t="inlineStr">
        <is>
          <t>Modular / portable power</t>
        </is>
      </c>
      <c r="D5268" s="12" t="inlineStr">
        <is>
          <t>PGS-4 480 V generator leads to the paralleling switchgear</t>
        </is>
      </c>
      <c r="E5268" s="12" t="inlineStr">
        <is>
          <t>PGS-4</t>
        </is>
      </c>
      <c r="F5268" s="12" t="inlineStr">
        <is>
          <t>PGS-4: enclosed gas genset 1 MW, 480 V (paralleled, unit 4 of 8)</t>
        </is>
      </c>
      <c r="G5268" s="12" t="inlineStr">
        <is>
          <t>PGS-SWG</t>
        </is>
      </c>
      <c r="H5268" s="12" t="inlineStr">
        <is>
          <t>PGS-SWG: 480 V paralleling switchgear (8 generator breakers, 2 transfo</t>
        </is>
      </c>
      <c r="I5268" s="12" t="inlineStr">
        <is>
          <t>LV 600 V</t>
        </is>
      </c>
      <c r="J5268" s="12" t="inlineStr">
        <is>
          <t>XHHW-2 600 V 1/C Cu (feeder sets in tray / duct)</t>
        </is>
      </c>
      <c r="K5268" s="12" t="inlineStr">
        <is>
          <t>LV1C|1/C|500</t>
        </is>
      </c>
      <c r="L5268" s="12" t="inlineStr">
        <is>
          <t>1/C</t>
        </is>
      </c>
      <c r="M5268" s="12" t="inlineStr">
        <is>
          <t>500 kcmil</t>
        </is>
      </c>
      <c r="N5268" s="12" t="n">
        <v>4</v>
      </c>
      <c r="O5268" s="12" t="n">
        <v>4</v>
      </c>
      <c r="P5268" s="12" t="n">
        <v>480</v>
      </c>
      <c r="Q5268" s="12" t="n">
        <v>1000</v>
      </c>
      <c r="R5268" s="12" t="n">
        <v>1203</v>
      </c>
      <c r="S5268" s="12" t="inlineStr">
        <is>
          <t>Riser</t>
        </is>
      </c>
      <c r="T5268" s="15" t="n">
        <v>4</v>
      </c>
      <c r="U5268" s="15" t="n">
        <v>27</v>
      </c>
      <c r="V5268" s="15">
        <f>ROUNDUP((T5268+U5268+2*'Read Me'!$B$13)*(1+'Read Me'!$B$12),-1)</f>
        <v/>
      </c>
      <c r="W5268" s="15">
        <f>V5268*N5268*O5268</f>
        <v/>
      </c>
      <c r="X5268" s="12">
        <f>IF(LEFT(I5268,2)="MV",2*N5268*IF(L5268="1/C",O5268,1),0)</f>
        <v/>
      </c>
      <c r="Y5268" s="12">
        <f>IF(OR(LEFT(K5268,4)="LVAX",LEFT(K5268,6)="MV15AX",LEFT(K5268,4)="CTAX",LEFT(K5268,2)="W|"),2*N5268*O5268,0)</f>
        <v/>
      </c>
      <c r="Z5268" s="12" t="inlineStr">
        <is>
          <t>4 sets of 4 x 1/C</t>
        </is>
      </c>
      <c r="AA5268" s="12">
        <f>N5268*O5268</f>
        <v/>
      </c>
    </row>
    <row r="5269">
      <c r="A5269" s="12" t="inlineStr">
        <is>
          <t>I-P-0101</t>
        </is>
      </c>
      <c r="B5269" s="12" t="inlineStr">
        <is>
          <t>I</t>
        </is>
      </c>
      <c r="C5269" s="12" t="inlineStr">
        <is>
          <t>Modular / portable power</t>
        </is>
      </c>
      <c r="D5269" s="12" t="inlineStr">
        <is>
          <t>PGS-5 480 V generator leads to the paralleling switchgear</t>
        </is>
      </c>
      <c r="E5269" s="12" t="inlineStr">
        <is>
          <t>PGS-5</t>
        </is>
      </c>
      <c r="F5269" s="12" t="inlineStr">
        <is>
          <t>PGS-5: enclosed gas genset 1 MW, 480 V (paralleled, unit 5 of 8)</t>
        </is>
      </c>
      <c r="G5269" s="12" t="inlineStr">
        <is>
          <t>PGS-SWG</t>
        </is>
      </c>
      <c r="H5269" s="12" t="inlineStr">
        <is>
          <t>PGS-SWG: 480 V paralleling switchgear (8 generator breakers, 2 transfo</t>
        </is>
      </c>
      <c r="I5269" s="12" t="inlineStr">
        <is>
          <t>LV 600 V</t>
        </is>
      </c>
      <c r="J5269" s="12" t="inlineStr">
        <is>
          <t>XHHW-2 600 V 1/C Cu (feeder sets in tray / duct)</t>
        </is>
      </c>
      <c r="K5269" s="12" t="inlineStr">
        <is>
          <t>LV1C|1/C|500</t>
        </is>
      </c>
      <c r="L5269" s="12" t="inlineStr">
        <is>
          <t>1/C</t>
        </is>
      </c>
      <c r="M5269" s="12" t="inlineStr">
        <is>
          <t>500 kcmil</t>
        </is>
      </c>
      <c r="N5269" s="12" t="n">
        <v>4</v>
      </c>
      <c r="O5269" s="12" t="n">
        <v>4</v>
      </c>
      <c r="P5269" s="12" t="n">
        <v>480</v>
      </c>
      <c r="Q5269" s="12" t="n">
        <v>1000</v>
      </c>
      <c r="R5269" s="12" t="n">
        <v>1203</v>
      </c>
      <c r="S5269" s="12" t="inlineStr">
        <is>
          <t>Duct bank</t>
        </is>
      </c>
      <c r="T5269" s="15" t="n">
        <v>17</v>
      </c>
      <c r="U5269" s="15" t="n">
        <v>32</v>
      </c>
      <c r="V5269" s="15">
        <f>ROUNDUP((T5269+U5269+2*'Read Me'!$B$13)*(1+'Read Me'!$B$12),-1)</f>
        <v/>
      </c>
      <c r="W5269" s="15">
        <f>V5269*N5269*O5269</f>
        <v/>
      </c>
      <c r="X5269" s="12">
        <f>IF(LEFT(I5269,2)="MV",2*N5269*IF(L5269="1/C",O5269,1),0)</f>
        <v/>
      </c>
      <c r="Y5269" s="12">
        <f>IF(OR(LEFT(K5269,4)="LVAX",LEFT(K5269,6)="MV15AX",LEFT(K5269,4)="CTAX",LEFT(K5269,2)="W|"),2*N5269*O5269,0)</f>
        <v/>
      </c>
      <c r="Z5269" s="12" t="inlineStr">
        <is>
          <t>4 sets of 4 x 1/C</t>
        </is>
      </c>
      <c r="AA5269" s="12">
        <f>N5269*O5269</f>
        <v/>
      </c>
    </row>
    <row r="5270">
      <c r="A5270" s="12" t="inlineStr">
        <is>
          <t>I-P-0102</t>
        </is>
      </c>
      <c r="B5270" s="12" t="inlineStr">
        <is>
          <t>I</t>
        </is>
      </c>
      <c r="C5270" s="12" t="inlineStr">
        <is>
          <t>Modular / portable power</t>
        </is>
      </c>
      <c r="D5270" s="12" t="inlineStr">
        <is>
          <t>PGS-6 480 V generator leads to the paralleling switchgear</t>
        </is>
      </c>
      <c r="E5270" s="12" t="inlineStr">
        <is>
          <t>PGS-6</t>
        </is>
      </c>
      <c r="F5270" s="12" t="inlineStr">
        <is>
          <t>PGS-6: enclosed gas genset 1 MW, 480 V (paralleled, unit 6 of 8)</t>
        </is>
      </c>
      <c r="G5270" s="12" t="inlineStr">
        <is>
          <t>PGS-SWG</t>
        </is>
      </c>
      <c r="H5270" s="12" t="inlineStr">
        <is>
          <t>PGS-SWG: 480 V paralleling switchgear (8 generator breakers, 2 transfo</t>
        </is>
      </c>
      <c r="I5270" s="12" t="inlineStr">
        <is>
          <t>LV 600 V</t>
        </is>
      </c>
      <c r="J5270" s="12" t="inlineStr">
        <is>
          <t>XHHW-2 600 V 1/C Cu (feeder sets in tray / duct)</t>
        </is>
      </c>
      <c r="K5270" s="12" t="inlineStr">
        <is>
          <t>LV1C|1/C|500</t>
        </is>
      </c>
      <c r="L5270" s="12" t="inlineStr">
        <is>
          <t>1/C</t>
        </is>
      </c>
      <c r="M5270" s="12" t="inlineStr">
        <is>
          <t>500 kcmil</t>
        </is>
      </c>
      <c r="N5270" s="12" t="n">
        <v>4</v>
      </c>
      <c r="O5270" s="12" t="n">
        <v>4</v>
      </c>
      <c r="P5270" s="12" t="n">
        <v>480</v>
      </c>
      <c r="Q5270" s="12" t="n">
        <v>1000</v>
      </c>
      <c r="R5270" s="12" t="n">
        <v>1203</v>
      </c>
      <c r="S5270" s="12" t="inlineStr">
        <is>
          <t>Duct bank</t>
        </is>
      </c>
      <c r="T5270" s="15" t="n">
        <v>30</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4 sets of 4 x 1/C</t>
        </is>
      </c>
      <c r="AA5270" s="12">
        <f>N5270*O5270</f>
        <v/>
      </c>
    </row>
    <row r="5271">
      <c r="A5271" s="12" t="inlineStr">
        <is>
          <t>I-P-0103</t>
        </is>
      </c>
      <c r="B5271" s="12" t="inlineStr">
        <is>
          <t>I</t>
        </is>
      </c>
      <c r="C5271" s="12" t="inlineStr">
        <is>
          <t>Modular / portable power</t>
        </is>
      </c>
      <c r="D5271" s="12" t="inlineStr">
        <is>
          <t>PGS-7 480 V generator leads to the paralleling switchgear</t>
        </is>
      </c>
      <c r="E5271" s="12" t="inlineStr">
        <is>
          <t>PGS-7</t>
        </is>
      </c>
      <c r="F5271" s="12" t="inlineStr">
        <is>
          <t>PGS-7: enclosed gas genset 1 MW, 480 V (paralleled, unit 7 of 8)</t>
        </is>
      </c>
      <c r="G5271" s="12" t="inlineStr">
        <is>
          <t>PGS-SWG</t>
        </is>
      </c>
      <c r="H5271" s="12" t="inlineStr">
        <is>
          <t>PGS-SWG: 480 V paralleling switchgear (8 generator breakers, 2 transfo</t>
        </is>
      </c>
      <c r="I5271" s="12" t="inlineStr">
        <is>
          <t>LV 600 V</t>
        </is>
      </c>
      <c r="J5271" s="12" t="inlineStr">
        <is>
          <t>XHHW-2 600 V 1/C Cu (feeder sets in tray / duct)</t>
        </is>
      </c>
      <c r="K5271" s="12" t="inlineStr">
        <is>
          <t>LV1C|1/C|500</t>
        </is>
      </c>
      <c r="L5271" s="12" t="inlineStr">
        <is>
          <t>1/C</t>
        </is>
      </c>
      <c r="M5271" s="12" t="inlineStr">
        <is>
          <t>500 kcmil</t>
        </is>
      </c>
      <c r="N5271" s="12" t="n">
        <v>4</v>
      </c>
      <c r="O5271" s="12" t="n">
        <v>4</v>
      </c>
      <c r="P5271" s="12" t="n">
        <v>480</v>
      </c>
      <c r="Q5271" s="12" t="n">
        <v>1000</v>
      </c>
      <c r="R5271" s="12" t="n">
        <v>1203</v>
      </c>
      <c r="S5271" s="12" t="inlineStr">
        <is>
          <t>Duct bank</t>
        </is>
      </c>
      <c r="T5271" s="15" t="n">
        <v>43</v>
      </c>
      <c r="U5271" s="15" t="n">
        <v>32</v>
      </c>
      <c r="V5271" s="15">
        <f>ROUNDUP((T5271+U5271+2*'Read Me'!$B$13)*(1+'Read Me'!$B$12),-1)</f>
        <v/>
      </c>
      <c r="W5271" s="15">
        <f>V5271*N5271*O5271</f>
        <v/>
      </c>
      <c r="X5271" s="12">
        <f>IF(LEFT(I5271,2)="MV",2*N5271*IF(L5271="1/C",O5271,1),0)</f>
        <v/>
      </c>
      <c r="Y5271" s="12">
        <f>IF(OR(LEFT(K5271,4)="LVAX",LEFT(K5271,6)="MV15AX",LEFT(K5271,4)="CTAX",LEFT(K5271,2)="W|"),2*N5271*O5271,0)</f>
        <v/>
      </c>
      <c r="Z5271" s="12" t="inlineStr">
        <is>
          <t>4 sets of 4 x 1/C</t>
        </is>
      </c>
      <c r="AA5271" s="12">
        <f>N5271*O5271</f>
        <v/>
      </c>
    </row>
    <row r="5272">
      <c r="A5272" s="12" t="inlineStr">
        <is>
          <t>I-P-0104</t>
        </is>
      </c>
      <c r="B5272" s="12" t="inlineStr">
        <is>
          <t>I</t>
        </is>
      </c>
      <c r="C5272" s="12" t="inlineStr">
        <is>
          <t>Modular / portable power</t>
        </is>
      </c>
      <c r="D5272" s="12" t="inlineStr">
        <is>
          <t>PGS-8 480 V generator leads to the paralleling switchgear</t>
        </is>
      </c>
      <c r="E5272" s="12" t="inlineStr">
        <is>
          <t>PGS-8</t>
        </is>
      </c>
      <c r="F5272" s="12" t="inlineStr">
        <is>
          <t>PGS-8: enclosed gas genset 1 MW, 480 V (paralleled, unit 8 of 8)</t>
        </is>
      </c>
      <c r="G5272" s="12" t="inlineStr">
        <is>
          <t>PGS-SWG</t>
        </is>
      </c>
      <c r="H5272" s="12" t="inlineStr">
        <is>
          <t>PGS-SWG: 480 V paralleling switchgear (8 generator breakers, 2 transfo</t>
        </is>
      </c>
      <c r="I5272" s="12" t="inlineStr">
        <is>
          <t>LV 600 V</t>
        </is>
      </c>
      <c r="J5272" s="12" t="inlineStr">
        <is>
          <t>XHHW-2 600 V 1/C Cu (feeder sets in tray / duct)</t>
        </is>
      </c>
      <c r="K5272" s="12" t="inlineStr">
        <is>
          <t>LV1C|1/C|500</t>
        </is>
      </c>
      <c r="L5272" s="12" t="inlineStr">
        <is>
          <t>1/C</t>
        </is>
      </c>
      <c r="M5272" s="12" t="inlineStr">
        <is>
          <t>500 kcmil</t>
        </is>
      </c>
      <c r="N5272" s="12" t="n">
        <v>4</v>
      </c>
      <c r="O5272" s="12" t="n">
        <v>4</v>
      </c>
      <c r="P5272" s="12" t="n">
        <v>480</v>
      </c>
      <c r="Q5272" s="12" t="n">
        <v>1000</v>
      </c>
      <c r="R5272" s="12" t="n">
        <v>1203</v>
      </c>
      <c r="S5272" s="12" t="inlineStr">
        <is>
          <t>Duct bank</t>
        </is>
      </c>
      <c r="T5272" s="15" t="n">
        <v>56</v>
      </c>
      <c r="U5272" s="15" t="n">
        <v>32</v>
      </c>
      <c r="V5272" s="15">
        <f>ROUNDUP((T5272+U5272+2*'Read Me'!$B$13)*(1+'Read Me'!$B$12),-1)</f>
        <v/>
      </c>
      <c r="W5272" s="15">
        <f>V5272*N5272*O5272</f>
        <v/>
      </c>
      <c r="X5272" s="12">
        <f>IF(LEFT(I5272,2)="MV",2*N5272*IF(L5272="1/C",O5272,1),0)</f>
        <v/>
      </c>
      <c r="Y5272" s="12">
        <f>IF(OR(LEFT(K5272,4)="LVAX",LEFT(K5272,6)="MV15AX",LEFT(K5272,4)="CTAX",LEFT(K5272,2)="W|"),2*N5272*O5272,0)</f>
        <v/>
      </c>
      <c r="Z5272" s="12" t="inlineStr">
        <is>
          <t>4 sets of 4 x 1/C</t>
        </is>
      </c>
      <c r="AA5272" s="12">
        <f>N5272*O5272</f>
        <v/>
      </c>
    </row>
    <row r="5273">
      <c r="A5273" s="12" t="inlineStr">
        <is>
          <t>I-P-0105</t>
        </is>
      </c>
      <c r="B5273" s="12" t="inlineStr">
        <is>
          <t>I</t>
        </is>
      </c>
      <c r="C5273" s="12" t="inlineStr">
        <is>
          <t>Modular / portable power</t>
        </is>
      </c>
      <c r="D5273" s="12" t="inlineStr">
        <is>
          <t>PGS-SWG main 1 to PGS-TX1 480 V secondary</t>
        </is>
      </c>
      <c r="E5273" s="12" t="inlineStr">
        <is>
          <t>PGS-SWG</t>
        </is>
      </c>
      <c r="F5273" s="12" t="inlineStr">
        <is>
          <t>PGS-SWG: 480 V paralleling switchgear (8 generator breakers, 2 transfo</t>
        </is>
      </c>
      <c r="G5273" s="12" t="inlineStr">
        <is>
          <t>PGS-TX1</t>
        </is>
      </c>
      <c r="H5273" s="12" t="inlineStr">
        <is>
          <t>PGS-TX1: 480 V : 34.5 kV, ~5 MVA loop-feed pad-mount (gensets 1-4)</t>
        </is>
      </c>
      <c r="I5273" s="12" t="inlineStr">
        <is>
          <t>LV 600 V</t>
        </is>
      </c>
      <c r="J5273" s="12" t="inlineStr">
        <is>
          <t>XHHW-2 600 V 1/C Cu (feeder sets in tray / duct)</t>
        </is>
      </c>
      <c r="K5273" s="12" t="inlineStr">
        <is>
          <t>LV1C|1/C|600</t>
        </is>
      </c>
      <c r="L5273" s="12" t="inlineStr">
        <is>
          <t>1/C</t>
        </is>
      </c>
      <c r="M5273" s="12" t="inlineStr">
        <is>
          <t>600 kcmil</t>
        </is>
      </c>
      <c r="N5273" s="12" t="n">
        <v>12</v>
      </c>
      <c r="O5273" s="12" t="n">
        <v>4</v>
      </c>
      <c r="P5273" s="12" t="n">
        <v>480</v>
      </c>
      <c r="Q5273" s="12" t="n">
        <v>4000</v>
      </c>
      <c r="R5273" s="12" t="n">
        <v>4811</v>
      </c>
      <c r="S5273" s="12" t="inlineStr">
        <is>
          <t>Surface</t>
        </is>
      </c>
      <c r="T5273" s="15" t="n">
        <v>75</v>
      </c>
      <c r="U5273" s="15" t="n">
        <v>32</v>
      </c>
      <c r="V5273" s="15">
        <f>ROUNDUP((T5273+U5273+2*'Read Me'!$B$13)*(1+'Read Me'!$B$12),-1)</f>
        <v/>
      </c>
      <c r="W5273" s="15">
        <f>V5273*N5273*O5273</f>
        <v/>
      </c>
      <c r="X5273" s="12">
        <f>IF(LEFT(I5273,2)="MV",2*N5273*IF(L5273="1/C",O5273,1),0)</f>
        <v/>
      </c>
      <c r="Y5273" s="12">
        <f>IF(OR(LEFT(K5273,4)="LVAX",LEFT(K5273,6)="MV15AX",LEFT(K5273,4)="CTAX",LEFT(K5273,2)="W|"),2*N5273*O5273,0)</f>
        <v/>
      </c>
      <c r="Z5273" s="12" t="inlineStr">
        <is>
          <t>12 sets of 4 x 1/C</t>
        </is>
      </c>
      <c r="AA5273" s="12">
        <f>N5273*O5273</f>
        <v/>
      </c>
    </row>
    <row r="5274">
      <c r="A5274" s="12" t="inlineStr">
        <is>
          <t>I-P-0106</t>
        </is>
      </c>
      <c r="B5274" s="12" t="inlineStr">
        <is>
          <t>I</t>
        </is>
      </c>
      <c r="C5274" s="12" t="inlineStr">
        <is>
          <t>Modular / portable power</t>
        </is>
      </c>
      <c r="D5274" s="12" t="inlineStr">
        <is>
          <t>PGS-SWG main 2 to PGS-TX2 480 V secondary</t>
        </is>
      </c>
      <c r="E5274" s="12" t="inlineStr">
        <is>
          <t>PGS-SWG</t>
        </is>
      </c>
      <c r="F5274" s="12" t="inlineStr">
        <is>
          <t>PGS-SWG: 480 V paralleling switchgear (8 generator breakers, 2 transfo</t>
        </is>
      </c>
      <c r="G5274" s="12" t="inlineStr">
        <is>
          <t>PGS-TX2</t>
        </is>
      </c>
      <c r="H5274" s="12" t="inlineStr">
        <is>
          <t>PGS-TX2: 480 V : 34.5 kV, ~5 MVA loop-feed pad-mount (gensets 5-8)</t>
        </is>
      </c>
      <c r="I5274" s="12" t="inlineStr">
        <is>
          <t>LV 600 V</t>
        </is>
      </c>
      <c r="J5274" s="12" t="inlineStr">
        <is>
          <t>XHHW-2 600 V 1/C Cu (feeder sets in tray / duct)</t>
        </is>
      </c>
      <c r="K5274" s="12" t="inlineStr">
        <is>
          <t>LV1C|1/C|600</t>
        </is>
      </c>
      <c r="L5274" s="12" t="inlineStr">
        <is>
          <t>1/C</t>
        </is>
      </c>
      <c r="M5274" s="12" t="inlineStr">
        <is>
          <t>600 kcmil</t>
        </is>
      </c>
      <c r="N5274" s="12" t="n">
        <v>12</v>
      </c>
      <c r="O5274" s="12" t="n">
        <v>4</v>
      </c>
      <c r="P5274" s="12" t="n">
        <v>480</v>
      </c>
      <c r="Q5274" s="12" t="n">
        <v>4000</v>
      </c>
      <c r="R5274" s="12" t="n">
        <v>4811</v>
      </c>
      <c r="S5274" s="12" t="inlineStr">
        <is>
          <t>Surface</t>
        </is>
      </c>
      <c r="T5274" s="15" t="n">
        <v>46</v>
      </c>
      <c r="U5274" s="15" t="n">
        <v>32</v>
      </c>
      <c r="V5274" s="15">
        <f>ROUNDUP((T5274+U5274+2*'Read Me'!$B$13)*(1+'Read Me'!$B$12),-1)</f>
        <v/>
      </c>
      <c r="W5274" s="15">
        <f>V5274*N5274*O5274</f>
        <v/>
      </c>
      <c r="X5274" s="12">
        <f>IF(LEFT(I5274,2)="MV",2*N5274*IF(L5274="1/C",O5274,1),0)</f>
        <v/>
      </c>
      <c r="Y5274" s="12">
        <f>IF(OR(LEFT(K5274,4)="LVAX",LEFT(K5274,6)="MV15AX",LEFT(K5274,4)="CTAX",LEFT(K5274,2)="W|"),2*N5274*O5274,0)</f>
        <v/>
      </c>
      <c r="Z5274" s="12" t="inlineStr">
        <is>
          <t>12 sets of 4 x 1/C</t>
        </is>
      </c>
      <c r="AA5274" s="12">
        <f>N5274*O5274</f>
        <v/>
      </c>
    </row>
    <row r="5275">
      <c r="A5275" s="12" t="inlineStr">
        <is>
          <t>I-P-0107</t>
        </is>
      </c>
      <c r="B5275" s="12" t="inlineStr">
        <is>
          <t>I</t>
        </is>
      </c>
      <c r="C5275" s="12" t="inlineStr">
        <is>
          <t>Modular / portable power</t>
        </is>
      </c>
      <c r="D5275" s="12" t="inlineStr">
        <is>
          <t>Motor 1 of 1, 15 kW</t>
        </is>
      </c>
      <c r="E5275" s="12" t="inlineStr"/>
      <c r="F5275" s="12" t="inlineStr">
        <is>
          <t>PCM: power control module</t>
        </is>
      </c>
      <c r="G5275" s="12" t="inlineStr"/>
      <c r="H5275" s="12" t="inlineStr">
        <is>
          <t>RICE 1 SCR + oxidation catalyst and stack</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15</v>
      </c>
      <c r="R5275" s="12" t="n">
        <v>21.2</v>
      </c>
      <c r="S5275" s="12" t="inlineStr">
        <is>
          <t>Duct bank</t>
        </is>
      </c>
      <c r="T5275" s="15" t="n">
        <v>436</v>
      </c>
      <c r="U5275" s="15" t="n">
        <v>160</v>
      </c>
      <c r="V5275" s="15">
        <f>ROUNDUP((T5275+U5275+2*'Read Me'!$B$13)*(1+'Read Me'!$B$12),-1)</f>
        <v/>
      </c>
      <c r="W5275" s="15">
        <f>V5275*N5275*O5275</f>
        <v/>
      </c>
      <c r="X5275" s="12">
        <f>IF(LEFT(I5275,2)="MV",2*N5275*IF(L5275="1/C",O5275,1),0)</f>
        <v/>
      </c>
      <c r="Y5275" s="12">
        <f>IF(OR(LEFT(K5275,4)="LVAX",LEFT(K5275,6)="MV15AX",LEFT(K5275,4)="CTAX",LEFT(K5275,2)="W|"),2*N5275*O5275,0)</f>
        <v/>
      </c>
      <c r="Z5275" s="12" t="inlineStr">
        <is>
          <t>VD 2.5 %</t>
        </is>
      </c>
      <c r="AA5275" s="12">
        <f>N5275*O5275</f>
        <v/>
      </c>
    </row>
    <row r="5276">
      <c r="A5276" s="12" t="inlineStr">
        <is>
          <t>I-P-0108</t>
        </is>
      </c>
      <c r="B5276" s="12" t="inlineStr">
        <is>
          <t>I</t>
        </is>
      </c>
      <c r="C5276" s="12" t="inlineStr">
        <is>
          <t>Modular / portable power</t>
        </is>
      </c>
      <c r="D5276" s="12" t="inlineStr">
        <is>
          <t>Area / platform lighting circuit 1 (6 fixtures)</t>
        </is>
      </c>
      <c r="E5276" s="12" t="inlineStr"/>
      <c r="F5276" s="12" t="inlineStr">
        <is>
          <t>PCM: power control module</t>
        </is>
      </c>
      <c r="G5276" s="12" t="inlineStr"/>
      <c r="H5276" s="12" t="inlineStr">
        <is>
          <t>RICE 1 SCR + oxidation catalyst and stack</t>
        </is>
      </c>
      <c r="I5276" s="12" t="inlineStr">
        <is>
          <t>LV 600 V</t>
        </is>
      </c>
      <c r="J5276" s="12" t="inlineStr">
        <is>
          <t>Type TC-ER 600 V 3/C Cu XHHW-2 + ground, PVC jacket</t>
        </is>
      </c>
      <c r="K5276" s="12" t="inlineStr">
        <is>
          <t>LV|3/C+G|10</t>
        </is>
      </c>
      <c r="L5276" s="12" t="inlineStr">
        <is>
          <t>3/C+G</t>
        </is>
      </c>
      <c r="M5276" s="12" t="inlineStr">
        <is>
          <t>10</t>
        </is>
      </c>
      <c r="N5276" s="12" t="n">
        <v>1</v>
      </c>
      <c r="O5276" s="12" t="n">
        <v>1</v>
      </c>
      <c r="P5276" s="12" t="n">
        <v>480</v>
      </c>
      <c r="Q5276" s="12" t="n">
        <v>3</v>
      </c>
      <c r="R5276" s="12" t="n">
        <v>5</v>
      </c>
      <c r="S5276" s="12" t="inlineStr">
        <is>
          <t>Duct bank</t>
        </is>
      </c>
      <c r="T5276" s="15" t="n">
        <v>736</v>
      </c>
      <c r="U5276" s="15" t="n">
        <v>160</v>
      </c>
      <c r="V5276" s="15">
        <f>ROUNDUP((T5276+U5276+2*'Read Me'!$B$13)*(1+'Read Me'!$B$12),-1)</f>
        <v/>
      </c>
      <c r="W5276" s="15">
        <f>V5276*N5276*O5276</f>
        <v/>
      </c>
      <c r="X5276" s="12">
        <f>IF(LEFT(I5276,2)="MV",2*N5276*IF(L5276="1/C",O5276,1),0)</f>
        <v/>
      </c>
      <c r="Y5276" s="12">
        <f>IF(OR(LEFT(K5276,4)="LVAX",LEFT(K5276,6)="MV15AX",LEFT(K5276,4)="CTAX",LEFT(K5276,2)="W|"),2*N5276*O5276,0)</f>
        <v/>
      </c>
      <c r="Z5276" s="12" t="inlineStr">
        <is>
          <t>fixture-to-fixture run included</t>
        </is>
      </c>
      <c r="AA5276" s="12">
        <f>N5276*O5276</f>
        <v/>
      </c>
    </row>
    <row r="5277">
      <c r="A5277" s="12" t="inlineStr">
        <is>
          <t>I-P-0109</t>
        </is>
      </c>
      <c r="B5277" s="12" t="inlineStr">
        <is>
          <t>I</t>
        </is>
      </c>
      <c r="C5277" s="12" t="inlineStr">
        <is>
          <t>Modular / portable power</t>
        </is>
      </c>
      <c r="D5277" s="12" t="inlineStr">
        <is>
          <t>Motor 1 of 5, 30 kW (VFD output)</t>
        </is>
      </c>
      <c r="E5277" s="12" t="inlineStr"/>
      <c r="F5277" s="12" t="inlineStr">
        <is>
          <t>PCM: power control module</t>
        </is>
      </c>
      <c r="G5277" s="12" t="inlineStr"/>
      <c r="H5277" s="12" t="inlineStr">
        <is>
          <t>RICE 1 radiators (5)</t>
        </is>
      </c>
      <c r="I5277" s="12" t="inlineStr">
        <is>
          <t>LV 600 V</t>
        </is>
      </c>
      <c r="J5277" s="12" t="inlineStr">
        <is>
          <t>VFD cable 600 V 3/C Cu XHHW-2, 3 symmetrical grounds, overall Cu tape shield, TC-ER</t>
        </is>
      </c>
      <c r="K5277" s="12" t="inlineStr">
        <is>
          <t>VFD|3/C+3G|1</t>
        </is>
      </c>
      <c r="L5277" s="12" t="inlineStr">
        <is>
          <t>3/C+3G</t>
        </is>
      </c>
      <c r="M5277" s="12" t="inlineStr">
        <is>
          <t>1</t>
        </is>
      </c>
      <c r="N5277" s="12" t="n">
        <v>1</v>
      </c>
      <c r="O5277" s="12" t="n">
        <v>1</v>
      </c>
      <c r="P5277" s="12" t="n">
        <v>480</v>
      </c>
      <c r="Q5277" s="12" t="n">
        <v>30</v>
      </c>
      <c r="R5277" s="12" t="n">
        <v>42</v>
      </c>
      <c r="S5277" s="12" t="inlineStr">
        <is>
          <t>Duct bank</t>
        </is>
      </c>
      <c r="T5277" s="15" t="n">
        <v>791</v>
      </c>
      <c r="U5277" s="15" t="n">
        <v>139</v>
      </c>
      <c r="V5277" s="15">
        <f>ROUNDUP((T5277+U5277+2*'Read Me'!$B$13)*(1+'Read Me'!$B$12),-1)</f>
        <v/>
      </c>
      <c r="W5277" s="15">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I-P-0110</t>
        </is>
      </c>
      <c r="B5278" s="12" t="inlineStr">
        <is>
          <t>I</t>
        </is>
      </c>
      <c r="C5278" s="12" t="inlineStr">
        <is>
          <t>Modular / portable power</t>
        </is>
      </c>
      <c r="D5278" s="12" t="inlineStr">
        <is>
          <t>Motor 2 of 5, 30 kW (VFD output)</t>
        </is>
      </c>
      <c r="E5278" s="12" t="inlineStr"/>
      <c r="F5278" s="12" t="inlineStr">
        <is>
          <t>PCM: power control module</t>
        </is>
      </c>
      <c r="G5278" s="12" t="inlineStr"/>
      <c r="H5278" s="12" t="inlineStr">
        <is>
          <t>RICE 1 radiators (5)</t>
        </is>
      </c>
      <c r="I5278" s="12" t="inlineStr">
        <is>
          <t>LV 600 V</t>
        </is>
      </c>
      <c r="J5278" s="12" t="inlineStr">
        <is>
          <t>VFD cable 600 V 3/C Cu XHHW-2, 3 symmetrical grounds, overall Cu tape shield, TC-ER</t>
        </is>
      </c>
      <c r="K5278" s="12" t="inlineStr">
        <is>
          <t>VFD|3/C+3G|1</t>
        </is>
      </c>
      <c r="L5278" s="12" t="inlineStr">
        <is>
          <t>3/C+3G</t>
        </is>
      </c>
      <c r="M5278" s="12" t="inlineStr">
        <is>
          <t>1</t>
        </is>
      </c>
      <c r="N5278" s="12" t="n">
        <v>1</v>
      </c>
      <c r="O5278" s="12" t="n">
        <v>1</v>
      </c>
      <c r="P5278" s="12" t="n">
        <v>480</v>
      </c>
      <c r="Q5278" s="12" t="n">
        <v>30</v>
      </c>
      <c r="R5278" s="12" t="n">
        <v>42</v>
      </c>
      <c r="S5278" s="12" t="inlineStr">
        <is>
          <t>Duct bank</t>
        </is>
      </c>
      <c r="T5278" s="15" t="n">
        <v>791</v>
      </c>
      <c r="U5278" s="15" t="n">
        <v>139</v>
      </c>
      <c r="V5278" s="15">
        <f>ROUNDUP((T5278+U5278+2*'Read Me'!$B$13)*(1+'Read Me'!$B$12),-1)</f>
        <v/>
      </c>
      <c r="W5278" s="15">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I-P-0111</t>
        </is>
      </c>
      <c r="B5279" s="12" t="inlineStr">
        <is>
          <t>I</t>
        </is>
      </c>
      <c r="C5279" s="12" t="inlineStr">
        <is>
          <t>Modular / portable power</t>
        </is>
      </c>
      <c r="D5279" s="12" t="inlineStr">
        <is>
          <t>Motor 3 of 5, 30 kW (VFD output)</t>
        </is>
      </c>
      <c r="E5279" s="12" t="inlineStr"/>
      <c r="F5279" s="12" t="inlineStr">
        <is>
          <t>PCM: power control module</t>
        </is>
      </c>
      <c r="G5279" s="12" t="inlineStr"/>
      <c r="H5279" s="12" t="inlineStr">
        <is>
          <t>RICE 1 radiators (5)</t>
        </is>
      </c>
      <c r="I5279" s="12" t="inlineStr">
        <is>
          <t>LV 600 V</t>
        </is>
      </c>
      <c r="J5279" s="12" t="inlineStr">
        <is>
          <t>VFD cable 600 V 3/C Cu XHHW-2, 3 symmetrical grounds, overall Cu tape shield, TC-ER</t>
        </is>
      </c>
      <c r="K5279" s="12" t="inlineStr">
        <is>
          <t>VFD|3/C+3G|1</t>
        </is>
      </c>
      <c r="L5279" s="12" t="inlineStr">
        <is>
          <t>3/C+3G</t>
        </is>
      </c>
      <c r="M5279" s="12" t="inlineStr">
        <is>
          <t>1</t>
        </is>
      </c>
      <c r="N5279" s="12" t="n">
        <v>1</v>
      </c>
      <c r="O5279" s="12" t="n">
        <v>1</v>
      </c>
      <c r="P5279" s="12" t="n">
        <v>480</v>
      </c>
      <c r="Q5279" s="12" t="n">
        <v>30</v>
      </c>
      <c r="R5279" s="12" t="n">
        <v>42</v>
      </c>
      <c r="S5279" s="12" t="inlineStr">
        <is>
          <t>Duct bank</t>
        </is>
      </c>
      <c r="T5279" s="15" t="n">
        <v>791</v>
      </c>
      <c r="U5279" s="15" t="n">
        <v>139</v>
      </c>
      <c r="V5279" s="15">
        <f>ROUNDUP((T5279+U5279+2*'Read Me'!$B$13)*(1+'Read Me'!$B$12),-1)</f>
        <v/>
      </c>
      <c r="W5279" s="15">
        <f>V5279*N5279*O5279</f>
        <v/>
      </c>
      <c r="X5279" s="12">
        <f>IF(LEFT(I5279,2)="MV",2*N5279*IF(L5279="1/C",O5279,1),0)</f>
        <v/>
      </c>
      <c r="Y5279" s="12">
        <f>IF(OR(LEFT(K5279,4)="LVAX",LEFT(K5279,6)="MV15AX",LEFT(K5279,4)="CTAX",LEFT(K5279,2)="W|"),2*N5279*O5279,0)</f>
        <v/>
      </c>
      <c r="Z5279" s="12" t="inlineStr">
        <is>
          <t>VD 2.4 %</t>
        </is>
      </c>
      <c r="AA5279" s="12">
        <f>N5279*O5279</f>
        <v/>
      </c>
    </row>
    <row r="5280">
      <c r="A5280" s="12" t="inlineStr">
        <is>
          <t>I-P-0112</t>
        </is>
      </c>
      <c r="B5280" s="12" t="inlineStr">
        <is>
          <t>I</t>
        </is>
      </c>
      <c r="C5280" s="12" t="inlineStr">
        <is>
          <t>Modular / portable power</t>
        </is>
      </c>
      <c r="D5280" s="12" t="inlineStr">
        <is>
          <t>Motor 4 of 5, 30 kW (VFD output)</t>
        </is>
      </c>
      <c r="E5280" s="12" t="inlineStr"/>
      <c r="F5280" s="12" t="inlineStr">
        <is>
          <t>PCM: power control module</t>
        </is>
      </c>
      <c r="G5280" s="12" t="inlineStr"/>
      <c r="H5280" s="12" t="inlineStr">
        <is>
          <t>RICE 1 radiators (5)</t>
        </is>
      </c>
      <c r="I5280" s="12" t="inlineStr">
        <is>
          <t>LV 600 V</t>
        </is>
      </c>
      <c r="J5280" s="12" t="inlineStr">
        <is>
          <t>VFD cable 600 V 3/C Cu XHHW-2, 3 symmetrical grounds, overall Cu tape shield, TC-ER</t>
        </is>
      </c>
      <c r="K5280" s="12" t="inlineStr">
        <is>
          <t>VFD|3/C+3G|1</t>
        </is>
      </c>
      <c r="L5280" s="12" t="inlineStr">
        <is>
          <t>3/C+3G</t>
        </is>
      </c>
      <c r="M5280" s="12" t="inlineStr">
        <is>
          <t>1</t>
        </is>
      </c>
      <c r="N5280" s="12" t="n">
        <v>1</v>
      </c>
      <c r="O5280" s="12" t="n">
        <v>1</v>
      </c>
      <c r="P5280" s="12" t="n">
        <v>480</v>
      </c>
      <c r="Q5280" s="12" t="n">
        <v>30</v>
      </c>
      <c r="R5280" s="12" t="n">
        <v>42</v>
      </c>
      <c r="S5280" s="12" t="inlineStr">
        <is>
          <t>Duct bank</t>
        </is>
      </c>
      <c r="T5280" s="15" t="n">
        <v>791</v>
      </c>
      <c r="U5280" s="15" t="n">
        <v>139</v>
      </c>
      <c r="V5280" s="15">
        <f>ROUNDUP((T5280+U5280+2*'Read Me'!$B$13)*(1+'Read Me'!$B$12),-1)</f>
        <v/>
      </c>
      <c r="W5280" s="15">
        <f>V5280*N5280*O5280</f>
        <v/>
      </c>
      <c r="X5280" s="12">
        <f>IF(LEFT(I5280,2)="MV",2*N5280*IF(L5280="1/C",O5280,1),0)</f>
        <v/>
      </c>
      <c r="Y5280" s="12">
        <f>IF(OR(LEFT(K5280,4)="LVAX",LEFT(K5280,6)="MV15AX",LEFT(K5280,4)="CTAX",LEFT(K5280,2)="W|"),2*N5280*O5280,0)</f>
        <v/>
      </c>
      <c r="Z5280" s="12" t="inlineStr">
        <is>
          <t>VD 2.4 %</t>
        </is>
      </c>
      <c r="AA5280" s="12">
        <f>N5280*O5280</f>
        <v/>
      </c>
    </row>
    <row r="5281">
      <c r="A5281" s="12" t="inlineStr">
        <is>
          <t>I-P-0113</t>
        </is>
      </c>
      <c r="B5281" s="12" t="inlineStr">
        <is>
          <t>I</t>
        </is>
      </c>
      <c r="C5281" s="12" t="inlineStr">
        <is>
          <t>Modular / portable power</t>
        </is>
      </c>
      <c r="D5281" s="12" t="inlineStr">
        <is>
          <t>Motor 5 of 5, 30 kW (VFD output)</t>
        </is>
      </c>
      <c r="E5281" s="12" t="inlineStr"/>
      <c r="F5281" s="12" t="inlineStr">
        <is>
          <t>PCM: power control module</t>
        </is>
      </c>
      <c r="G5281" s="12" t="inlineStr"/>
      <c r="H5281" s="12" t="inlineStr">
        <is>
          <t>RICE 1 radiators (5)</t>
        </is>
      </c>
      <c r="I5281" s="12" t="inlineStr">
        <is>
          <t>LV 600 V</t>
        </is>
      </c>
      <c r="J5281" s="12" t="inlineStr">
        <is>
          <t>VFD cable 600 V 3/C Cu XHHW-2, 3 symmetrical grounds, overall Cu tape shield, TC-ER</t>
        </is>
      </c>
      <c r="K5281" s="12" t="inlineStr">
        <is>
          <t>VFD|3/C+3G|1</t>
        </is>
      </c>
      <c r="L5281" s="12" t="inlineStr">
        <is>
          <t>3/C+3G</t>
        </is>
      </c>
      <c r="M5281" s="12" t="inlineStr">
        <is>
          <t>1</t>
        </is>
      </c>
      <c r="N5281" s="12" t="n">
        <v>1</v>
      </c>
      <c r="O5281" s="12" t="n">
        <v>1</v>
      </c>
      <c r="P5281" s="12" t="n">
        <v>480</v>
      </c>
      <c r="Q5281" s="12" t="n">
        <v>30</v>
      </c>
      <c r="R5281" s="12" t="n">
        <v>42</v>
      </c>
      <c r="S5281" s="12" t="inlineStr">
        <is>
          <t>Duct bank</t>
        </is>
      </c>
      <c r="T5281" s="15" t="n">
        <v>791</v>
      </c>
      <c r="U5281" s="15" t="n">
        <v>139</v>
      </c>
      <c r="V5281" s="15">
        <f>ROUNDUP((T5281+U5281+2*'Read Me'!$B$13)*(1+'Read Me'!$B$12),-1)</f>
        <v/>
      </c>
      <c r="W5281" s="15">
        <f>V5281*N5281*O5281</f>
        <v/>
      </c>
      <c r="X5281" s="12">
        <f>IF(LEFT(I5281,2)="MV",2*N5281*IF(L5281="1/C",O5281,1),0)</f>
        <v/>
      </c>
      <c r="Y5281" s="12">
        <f>IF(OR(LEFT(K5281,4)="LVAX",LEFT(K5281,6)="MV15AX",LEFT(K5281,4)="CTAX",LEFT(K5281,2)="W|"),2*N5281*O5281,0)</f>
        <v/>
      </c>
      <c r="Z5281" s="12" t="inlineStr">
        <is>
          <t>VD 2.4 %</t>
        </is>
      </c>
      <c r="AA5281" s="12">
        <f>N5281*O5281</f>
        <v/>
      </c>
    </row>
    <row r="5282">
      <c r="A5282" s="12" t="inlineStr">
        <is>
          <t>I-P-0114</t>
        </is>
      </c>
      <c r="B5282" s="12" t="inlineStr">
        <is>
          <t>I</t>
        </is>
      </c>
      <c r="C5282" s="12" t="inlineStr">
        <is>
          <t>Modular / portable power</t>
        </is>
      </c>
      <c r="D5282" s="12" t="inlineStr">
        <is>
          <t>Motor 1 of 1, 15 kW</t>
        </is>
      </c>
      <c r="E5282" s="12" t="inlineStr"/>
      <c r="F5282" s="12" t="inlineStr">
        <is>
          <t>PCM: power control module</t>
        </is>
      </c>
      <c r="G5282" s="12" t="inlineStr"/>
      <c r="H5282" s="12" t="inlineStr">
        <is>
          <t>RICE 2 SCR + oxidation catalyst and stack</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15</v>
      </c>
      <c r="R5282" s="12" t="n">
        <v>21.2</v>
      </c>
      <c r="S5282" s="12" t="inlineStr">
        <is>
          <t>Duct bank</t>
        </is>
      </c>
      <c r="T5282" s="15" t="n">
        <v>436</v>
      </c>
      <c r="U5282" s="15" t="n">
        <v>132</v>
      </c>
      <c r="V5282" s="15">
        <f>ROUNDUP((T5282+U5282+2*'Read Me'!$B$13)*(1+'Read Me'!$B$12),-1)</f>
        <v/>
      </c>
      <c r="W5282" s="15">
        <f>V5282*N5282*O5282</f>
        <v/>
      </c>
      <c r="X5282" s="12">
        <f>IF(LEFT(I5282,2)="MV",2*N5282*IF(L5282="1/C",O5282,1),0)</f>
        <v/>
      </c>
      <c r="Y5282" s="12">
        <f>IF(OR(LEFT(K5282,4)="LVAX",LEFT(K5282,6)="MV15AX",LEFT(K5282,4)="CTAX",LEFT(K5282,2)="W|"),2*N5282*O5282,0)</f>
        <v/>
      </c>
      <c r="Z5282" s="12" t="inlineStr">
        <is>
          <t>VD 2.3 %</t>
        </is>
      </c>
      <c r="AA5282" s="12">
        <f>N5282*O5282</f>
        <v/>
      </c>
    </row>
    <row r="5283">
      <c r="A5283" s="12" t="inlineStr">
        <is>
          <t>I-P-0115</t>
        </is>
      </c>
      <c r="B5283" s="12" t="inlineStr">
        <is>
          <t>I</t>
        </is>
      </c>
      <c r="C5283" s="12" t="inlineStr">
        <is>
          <t>Modular / portable power</t>
        </is>
      </c>
      <c r="D5283" s="12" t="inlineStr">
        <is>
          <t>Area / platform lighting circuit 1 (6 fixtures)</t>
        </is>
      </c>
      <c r="E5283" s="12" t="inlineStr"/>
      <c r="F5283" s="12" t="inlineStr">
        <is>
          <t>PCM: power control module</t>
        </is>
      </c>
      <c r="G5283" s="12" t="inlineStr"/>
      <c r="H5283" s="12" t="inlineStr">
        <is>
          <t>RICE 2 SCR + oxidation catalyst and stack</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3</v>
      </c>
      <c r="R5283" s="12" t="n">
        <v>5</v>
      </c>
      <c r="S5283" s="12" t="inlineStr">
        <is>
          <t>Duct bank</t>
        </is>
      </c>
      <c r="T5283" s="15" t="n">
        <v>736</v>
      </c>
      <c r="U5283" s="15" t="n">
        <v>132</v>
      </c>
      <c r="V5283" s="15">
        <f>ROUNDUP((T5283+U5283+2*'Read Me'!$B$13)*(1+'Read Me'!$B$12),-1)</f>
        <v/>
      </c>
      <c r="W5283" s="15">
        <f>V5283*N5283*O5283</f>
        <v/>
      </c>
      <c r="X5283" s="12">
        <f>IF(LEFT(I5283,2)="MV",2*N5283*IF(L5283="1/C",O5283,1),0)</f>
        <v/>
      </c>
      <c r="Y5283" s="12">
        <f>IF(OR(LEFT(K5283,4)="LVAX",LEFT(K5283,6)="MV15AX",LEFT(K5283,4)="CTAX",LEFT(K5283,2)="W|"),2*N5283*O5283,0)</f>
        <v/>
      </c>
      <c r="Z5283" s="12" t="inlineStr">
        <is>
          <t>fixture-to-fixture run included</t>
        </is>
      </c>
      <c r="AA5283" s="12">
        <f>N5283*O5283</f>
        <v/>
      </c>
    </row>
    <row r="5284">
      <c r="A5284" s="12" t="inlineStr">
        <is>
          <t>I-P-0116</t>
        </is>
      </c>
      <c r="B5284" s="12" t="inlineStr">
        <is>
          <t>I</t>
        </is>
      </c>
      <c r="C5284" s="12" t="inlineStr">
        <is>
          <t>Modular / portable power</t>
        </is>
      </c>
      <c r="D5284" s="12" t="inlineStr">
        <is>
          <t>Motor 1 of 5, 30 kW (VFD output)</t>
        </is>
      </c>
      <c r="E5284" s="12" t="inlineStr"/>
      <c r="F5284" s="12" t="inlineStr">
        <is>
          <t>PCM: power control module</t>
        </is>
      </c>
      <c r="G5284" s="12" t="inlineStr"/>
      <c r="H5284" s="12" t="inlineStr">
        <is>
          <t>RICE 2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596</v>
      </c>
      <c r="U5284" s="15" t="n">
        <v>192</v>
      </c>
      <c r="V5284" s="15">
        <f>ROUNDUP((T5284+U5284+2*'Read Me'!$B$13)*(1+'Read Me'!$B$12),-1)</f>
        <v/>
      </c>
      <c r="W5284" s="15">
        <f>V5284*N5284*O5284</f>
        <v/>
      </c>
      <c r="X5284" s="12">
        <f>IF(LEFT(I5284,2)="MV",2*N5284*IF(L5284="1/C",O5284,1),0)</f>
        <v/>
      </c>
      <c r="Y5284" s="12">
        <f>IF(OR(LEFT(K5284,4)="LVAX",LEFT(K5284,6)="MV15AX",LEFT(K5284,4)="CTAX",LEFT(K5284,2)="W|"),2*N5284*O5284,0)</f>
        <v/>
      </c>
      <c r="Z5284" s="12" t="inlineStr">
        <is>
          <t>VD 2.6 %</t>
        </is>
      </c>
      <c r="AA5284" s="12">
        <f>N5284*O5284</f>
        <v/>
      </c>
    </row>
    <row r="5285">
      <c r="A5285" s="12" t="inlineStr">
        <is>
          <t>I-P-0117</t>
        </is>
      </c>
      <c r="B5285" s="12" t="inlineStr">
        <is>
          <t>I</t>
        </is>
      </c>
      <c r="C5285" s="12" t="inlineStr">
        <is>
          <t>Modular / portable power</t>
        </is>
      </c>
      <c r="D5285" s="12" t="inlineStr">
        <is>
          <t>Motor 2 of 5, 30 kW (VFD output)</t>
        </is>
      </c>
      <c r="E5285" s="12" t="inlineStr"/>
      <c r="F5285" s="12" t="inlineStr">
        <is>
          <t>PCM: power control module</t>
        </is>
      </c>
      <c r="G5285" s="12" t="inlineStr"/>
      <c r="H5285" s="12" t="inlineStr">
        <is>
          <t>RICE 2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596</v>
      </c>
      <c r="U5285" s="15" t="n">
        <v>192</v>
      </c>
      <c r="V5285" s="15">
        <f>ROUNDUP((T5285+U5285+2*'Read Me'!$B$13)*(1+'Read Me'!$B$12),-1)</f>
        <v/>
      </c>
      <c r="W5285" s="15">
        <f>V5285*N5285*O5285</f>
        <v/>
      </c>
      <c r="X5285" s="12">
        <f>IF(LEFT(I5285,2)="MV",2*N5285*IF(L5285="1/C",O5285,1),0)</f>
        <v/>
      </c>
      <c r="Y5285" s="12">
        <f>IF(OR(LEFT(K5285,4)="LVAX",LEFT(K5285,6)="MV15AX",LEFT(K5285,4)="CTAX",LEFT(K5285,2)="W|"),2*N5285*O5285,0)</f>
        <v/>
      </c>
      <c r="Z5285" s="12" t="inlineStr">
        <is>
          <t>VD 2.6 %</t>
        </is>
      </c>
      <c r="AA5285" s="12">
        <f>N5285*O5285</f>
        <v/>
      </c>
    </row>
    <row r="5286">
      <c r="A5286" s="12" t="inlineStr">
        <is>
          <t>I-P-0118</t>
        </is>
      </c>
      <c r="B5286" s="12" t="inlineStr">
        <is>
          <t>I</t>
        </is>
      </c>
      <c r="C5286" s="12" t="inlineStr">
        <is>
          <t>Modular / portable power</t>
        </is>
      </c>
      <c r="D5286" s="12" t="inlineStr">
        <is>
          <t>Motor 3 of 5, 30 kW (VFD output)</t>
        </is>
      </c>
      <c r="E5286" s="12" t="inlineStr"/>
      <c r="F5286" s="12" t="inlineStr">
        <is>
          <t>PCM: power control module</t>
        </is>
      </c>
      <c r="G5286" s="12" t="inlineStr"/>
      <c r="H5286" s="12" t="inlineStr">
        <is>
          <t>RICE 2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596</v>
      </c>
      <c r="U5286" s="15" t="n">
        <v>192</v>
      </c>
      <c r="V5286" s="15">
        <f>ROUNDUP((T5286+U5286+2*'Read Me'!$B$13)*(1+'Read Me'!$B$12),-1)</f>
        <v/>
      </c>
      <c r="W5286" s="15">
        <f>V5286*N5286*O5286</f>
        <v/>
      </c>
      <c r="X5286" s="12">
        <f>IF(LEFT(I5286,2)="MV",2*N5286*IF(L5286="1/C",O5286,1),0)</f>
        <v/>
      </c>
      <c r="Y5286" s="12">
        <f>IF(OR(LEFT(K5286,4)="LVAX",LEFT(K5286,6)="MV15AX",LEFT(K5286,4)="CTAX",LEFT(K5286,2)="W|"),2*N5286*O5286,0)</f>
        <v/>
      </c>
      <c r="Z5286" s="12" t="inlineStr">
        <is>
          <t>VD 2.6 %</t>
        </is>
      </c>
      <c r="AA5286" s="12">
        <f>N5286*O5286</f>
        <v/>
      </c>
    </row>
    <row r="5287">
      <c r="A5287" s="12" t="inlineStr">
        <is>
          <t>I-P-0119</t>
        </is>
      </c>
      <c r="B5287" s="12" t="inlineStr">
        <is>
          <t>I</t>
        </is>
      </c>
      <c r="C5287" s="12" t="inlineStr">
        <is>
          <t>Modular / portable power</t>
        </is>
      </c>
      <c r="D5287" s="12" t="inlineStr">
        <is>
          <t>Motor 4 of 5, 30 kW (VFD output)</t>
        </is>
      </c>
      <c r="E5287" s="12" t="inlineStr"/>
      <c r="F5287" s="12" t="inlineStr">
        <is>
          <t>PCM: power control module</t>
        </is>
      </c>
      <c r="G5287" s="12" t="inlineStr"/>
      <c r="H5287" s="12" t="inlineStr">
        <is>
          <t>RICE 2 radiators (5)</t>
        </is>
      </c>
      <c r="I5287" s="12" t="inlineStr">
        <is>
          <t>LV 600 V</t>
        </is>
      </c>
      <c r="J5287" s="12" t="inlineStr">
        <is>
          <t>VFD cable 600 V 3/C Cu XHHW-2, 3 symmetrical grounds, overall Cu tape shield, TC-ER</t>
        </is>
      </c>
      <c r="K5287" s="12" t="inlineStr">
        <is>
          <t>VFD|3/C+3G|2</t>
        </is>
      </c>
      <c r="L5287" s="12" t="inlineStr">
        <is>
          <t>3/C+3G</t>
        </is>
      </c>
      <c r="M5287" s="12" t="inlineStr">
        <is>
          <t>2</t>
        </is>
      </c>
      <c r="N5287" s="12" t="n">
        <v>1</v>
      </c>
      <c r="O5287" s="12" t="n">
        <v>1</v>
      </c>
      <c r="P5287" s="12" t="n">
        <v>480</v>
      </c>
      <c r="Q5287" s="12" t="n">
        <v>30</v>
      </c>
      <c r="R5287" s="12" t="n">
        <v>42</v>
      </c>
      <c r="S5287" s="12" t="inlineStr">
        <is>
          <t>Duct bank</t>
        </is>
      </c>
      <c r="T5287" s="15" t="n">
        <v>596</v>
      </c>
      <c r="U5287" s="15" t="n">
        <v>192</v>
      </c>
      <c r="V5287" s="15">
        <f>ROUNDUP((T5287+U5287+2*'Read Me'!$B$13)*(1+'Read Me'!$B$12),-1)</f>
        <v/>
      </c>
      <c r="W5287" s="15">
        <f>V5287*N5287*O5287</f>
        <v/>
      </c>
      <c r="X5287" s="12">
        <f>IF(LEFT(I5287,2)="MV",2*N5287*IF(L5287="1/C",O5287,1),0)</f>
        <v/>
      </c>
      <c r="Y5287" s="12">
        <f>IF(OR(LEFT(K5287,4)="LVAX",LEFT(K5287,6)="MV15AX",LEFT(K5287,4)="CTAX",LEFT(K5287,2)="W|"),2*N5287*O5287,0)</f>
        <v/>
      </c>
      <c r="Z5287" s="12" t="inlineStr">
        <is>
          <t>VD 2.6 %</t>
        </is>
      </c>
      <c r="AA5287" s="12">
        <f>N5287*O5287</f>
        <v/>
      </c>
    </row>
    <row r="5288">
      <c r="A5288" s="12" t="inlineStr">
        <is>
          <t>I-P-0120</t>
        </is>
      </c>
      <c r="B5288" s="12" t="inlineStr">
        <is>
          <t>I</t>
        </is>
      </c>
      <c r="C5288" s="12" t="inlineStr">
        <is>
          <t>Modular / portable power</t>
        </is>
      </c>
      <c r="D5288" s="12" t="inlineStr">
        <is>
          <t>Motor 5 of 5, 30 kW (VFD output)</t>
        </is>
      </c>
      <c r="E5288" s="12" t="inlineStr"/>
      <c r="F5288" s="12" t="inlineStr">
        <is>
          <t>PCM: power control module</t>
        </is>
      </c>
      <c r="G5288" s="12" t="inlineStr"/>
      <c r="H5288" s="12" t="inlineStr">
        <is>
          <t>RICE 2 radiators (5)</t>
        </is>
      </c>
      <c r="I5288" s="12" t="inlineStr">
        <is>
          <t>LV 600 V</t>
        </is>
      </c>
      <c r="J5288" s="12" t="inlineStr">
        <is>
          <t>VFD cable 600 V 3/C Cu XHHW-2, 3 symmetrical grounds, overall Cu tape shield, TC-ER</t>
        </is>
      </c>
      <c r="K5288" s="12" t="inlineStr">
        <is>
          <t>VFD|3/C+3G|2</t>
        </is>
      </c>
      <c r="L5288" s="12" t="inlineStr">
        <is>
          <t>3/C+3G</t>
        </is>
      </c>
      <c r="M5288" s="12" t="inlineStr">
        <is>
          <t>2</t>
        </is>
      </c>
      <c r="N5288" s="12" t="n">
        <v>1</v>
      </c>
      <c r="O5288" s="12" t="n">
        <v>1</v>
      </c>
      <c r="P5288" s="12" t="n">
        <v>480</v>
      </c>
      <c r="Q5288" s="12" t="n">
        <v>30</v>
      </c>
      <c r="R5288" s="12" t="n">
        <v>42</v>
      </c>
      <c r="S5288" s="12" t="inlineStr">
        <is>
          <t>Duct bank</t>
        </is>
      </c>
      <c r="T5288" s="15" t="n">
        <v>596</v>
      </c>
      <c r="U5288" s="15" t="n">
        <v>192</v>
      </c>
      <c r="V5288" s="15">
        <f>ROUNDUP((T5288+U5288+2*'Read Me'!$B$13)*(1+'Read Me'!$B$12),-1)</f>
        <v/>
      </c>
      <c r="W5288" s="15">
        <f>V5288*N5288*O5288</f>
        <v/>
      </c>
      <c r="X5288" s="12">
        <f>IF(LEFT(I5288,2)="MV",2*N5288*IF(L5288="1/C",O5288,1),0)</f>
        <v/>
      </c>
      <c r="Y5288" s="12">
        <f>IF(OR(LEFT(K5288,4)="LVAX",LEFT(K5288,6)="MV15AX",LEFT(K5288,4)="CTAX",LEFT(K5288,2)="W|"),2*N5288*O5288,0)</f>
        <v/>
      </c>
      <c r="Z5288" s="12" t="inlineStr">
        <is>
          <t>VD 2.6 %</t>
        </is>
      </c>
      <c r="AA5288" s="12">
        <f>N5288*O5288</f>
        <v/>
      </c>
    </row>
    <row r="5289">
      <c r="A5289" s="12" t="inlineStr">
        <is>
          <t>I-P-0121</t>
        </is>
      </c>
      <c r="B5289" s="12" t="inlineStr">
        <is>
          <t>I</t>
        </is>
      </c>
      <c r="C5289" s="12" t="inlineStr">
        <is>
          <t>Modular / portable power</t>
        </is>
      </c>
      <c r="D5289" s="12" t="inlineStr">
        <is>
          <t>Motor 1 of 1, 15 kW</t>
        </is>
      </c>
      <c r="E5289" s="12" t="inlineStr"/>
      <c r="F5289" s="12" t="inlineStr">
        <is>
          <t>PCM: power control module</t>
        </is>
      </c>
      <c r="G5289" s="12" t="inlineStr"/>
      <c r="H5289" s="12" t="inlineStr">
        <is>
          <t>RICE 3 SCR + oxidation catalyst and stack</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15</v>
      </c>
      <c r="R5289" s="12" t="n">
        <v>21.2</v>
      </c>
      <c r="S5289" s="12" t="inlineStr">
        <is>
          <t>Duct bank</t>
        </is>
      </c>
      <c r="T5289" s="15" t="n">
        <v>436</v>
      </c>
      <c r="U5289" s="15" t="n">
        <v>104</v>
      </c>
      <c r="V5289" s="15">
        <f>ROUNDUP((T5289+U5289+2*'Read Me'!$B$13)*(1+'Read Me'!$B$12),-1)</f>
        <v/>
      </c>
      <c r="W5289" s="15">
        <f>V5289*N5289*O5289</f>
        <v/>
      </c>
      <c r="X5289" s="12">
        <f>IF(LEFT(I5289,2)="MV",2*N5289*IF(L5289="1/C",O5289,1),0)</f>
        <v/>
      </c>
      <c r="Y5289" s="12">
        <f>IF(OR(LEFT(K5289,4)="LVAX",LEFT(K5289,6)="MV15AX",LEFT(K5289,4)="CTAX",LEFT(K5289,2)="W|"),2*N5289*O5289,0)</f>
        <v/>
      </c>
      <c r="Z5289" s="12" t="inlineStr">
        <is>
          <t>VD 2.2 %</t>
        </is>
      </c>
      <c r="AA5289" s="12">
        <f>N5289*O5289</f>
        <v/>
      </c>
    </row>
    <row r="5290">
      <c r="A5290" s="12" t="inlineStr">
        <is>
          <t>I-P-0122</t>
        </is>
      </c>
      <c r="B5290" s="12" t="inlineStr">
        <is>
          <t>I</t>
        </is>
      </c>
      <c r="C5290" s="12" t="inlineStr">
        <is>
          <t>Modular / portable power</t>
        </is>
      </c>
      <c r="D5290" s="12" t="inlineStr">
        <is>
          <t>Area / platform lighting circuit 1 (6 fixtures)</t>
        </is>
      </c>
      <c r="E5290" s="12" t="inlineStr"/>
      <c r="F5290" s="12" t="inlineStr">
        <is>
          <t>PCM: power control module</t>
        </is>
      </c>
      <c r="G5290" s="12" t="inlineStr"/>
      <c r="H5290" s="12" t="inlineStr">
        <is>
          <t>RICE 3 SCR + oxidation catalyst and stack</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5" t="n">
        <v>736</v>
      </c>
      <c r="U5290" s="15" t="n">
        <v>104</v>
      </c>
      <c r="V5290" s="15">
        <f>ROUNDUP((T5290+U5290+2*'Read Me'!$B$13)*(1+'Read Me'!$B$12),-1)</f>
        <v/>
      </c>
      <c r="W5290" s="15">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I-P-0123</t>
        </is>
      </c>
      <c r="B5291" s="12" t="inlineStr">
        <is>
          <t>I</t>
        </is>
      </c>
      <c r="C5291" s="12" t="inlineStr">
        <is>
          <t>Modular / portable power</t>
        </is>
      </c>
      <c r="D5291" s="12" t="inlineStr">
        <is>
          <t>Motor 1 of 5, 30 kW (VFD output)</t>
        </is>
      </c>
      <c r="E5291" s="12" t="inlineStr"/>
      <c r="F5291" s="12" t="inlineStr">
        <is>
          <t>PCM: power control module</t>
        </is>
      </c>
      <c r="G5291" s="12" t="inlineStr"/>
      <c r="H5291" s="12" t="inlineStr">
        <is>
          <t>RICE 3 radiators (5)</t>
        </is>
      </c>
      <c r="I5291" s="12" t="inlineStr">
        <is>
          <t>LV 600 V</t>
        </is>
      </c>
      <c r="J5291" s="12" t="inlineStr">
        <is>
          <t>VFD cable 600 V 3/C Cu XHHW-2, 3 symmetrical grounds, overall Cu tape shield, TC-ER</t>
        </is>
      </c>
      <c r="K5291" s="12" t="inlineStr">
        <is>
          <t>VFD|3/C+3G|2</t>
        </is>
      </c>
      <c r="L5291" s="12" t="inlineStr">
        <is>
          <t>3/C+3G</t>
        </is>
      </c>
      <c r="M5291" s="12" t="inlineStr">
        <is>
          <t>2</t>
        </is>
      </c>
      <c r="N5291" s="12" t="n">
        <v>1</v>
      </c>
      <c r="O5291" s="12" t="n">
        <v>1</v>
      </c>
      <c r="P5291" s="12" t="n">
        <v>480</v>
      </c>
      <c r="Q5291" s="12" t="n">
        <v>30</v>
      </c>
      <c r="R5291" s="12" t="n">
        <v>42</v>
      </c>
      <c r="S5291" s="12" t="inlineStr">
        <is>
          <t>Duct bank</t>
        </is>
      </c>
      <c r="T5291" s="15" t="n">
        <v>462</v>
      </c>
      <c r="U5291" s="15" t="n">
        <v>240</v>
      </c>
      <c r="V5291" s="15">
        <f>ROUNDUP((T5291+U5291+2*'Read Me'!$B$13)*(1+'Read Me'!$B$12),-1)</f>
        <v/>
      </c>
      <c r="W5291" s="15">
        <f>V5291*N5291*O5291</f>
        <v/>
      </c>
      <c r="X5291" s="12">
        <f>IF(LEFT(I5291,2)="MV",2*N5291*IF(L5291="1/C",O5291,1),0)</f>
        <v/>
      </c>
      <c r="Y5291" s="12">
        <f>IF(OR(LEFT(K5291,4)="LVAX",LEFT(K5291,6)="MV15AX",LEFT(K5291,4)="CTAX",LEFT(K5291,2)="W|"),2*N5291*O5291,0)</f>
        <v/>
      </c>
      <c r="Z5291" s="12" t="inlineStr">
        <is>
          <t>VD 2.3 %</t>
        </is>
      </c>
      <c r="AA5291" s="12">
        <f>N5291*O5291</f>
        <v/>
      </c>
    </row>
    <row r="5292">
      <c r="A5292" s="12" t="inlineStr">
        <is>
          <t>I-P-0124</t>
        </is>
      </c>
      <c r="B5292" s="12" t="inlineStr">
        <is>
          <t>I</t>
        </is>
      </c>
      <c r="C5292" s="12" t="inlineStr">
        <is>
          <t>Modular / portable power</t>
        </is>
      </c>
      <c r="D5292" s="12" t="inlineStr">
        <is>
          <t>Motor 2 of 5, 30 kW (VFD output)</t>
        </is>
      </c>
      <c r="E5292" s="12" t="inlineStr"/>
      <c r="F5292" s="12" t="inlineStr">
        <is>
          <t>PCM: power control module</t>
        </is>
      </c>
      <c r="G5292" s="12" t="inlineStr"/>
      <c r="H5292" s="12" t="inlineStr">
        <is>
          <t>RICE 3 radiators (5)</t>
        </is>
      </c>
      <c r="I5292" s="12" t="inlineStr">
        <is>
          <t>LV 600 V</t>
        </is>
      </c>
      <c r="J5292" s="12" t="inlineStr">
        <is>
          <t>VFD cable 600 V 3/C Cu XHHW-2, 3 symmetrical grounds, overall Cu tape shield, TC-ER</t>
        </is>
      </c>
      <c r="K5292" s="12" t="inlineStr">
        <is>
          <t>VFD|3/C+3G|2</t>
        </is>
      </c>
      <c r="L5292" s="12" t="inlineStr">
        <is>
          <t>3/C+3G</t>
        </is>
      </c>
      <c r="M5292" s="12" t="inlineStr">
        <is>
          <t>2</t>
        </is>
      </c>
      <c r="N5292" s="12" t="n">
        <v>1</v>
      </c>
      <c r="O5292" s="12" t="n">
        <v>1</v>
      </c>
      <c r="P5292" s="12" t="n">
        <v>480</v>
      </c>
      <c r="Q5292" s="12" t="n">
        <v>30</v>
      </c>
      <c r="R5292" s="12" t="n">
        <v>42</v>
      </c>
      <c r="S5292" s="12" t="inlineStr">
        <is>
          <t>Duct bank</t>
        </is>
      </c>
      <c r="T5292" s="15" t="n">
        <v>462</v>
      </c>
      <c r="U5292" s="15" t="n">
        <v>240</v>
      </c>
      <c r="V5292" s="15">
        <f>ROUNDUP((T5292+U5292+2*'Read Me'!$B$13)*(1+'Read Me'!$B$12),-1)</f>
        <v/>
      </c>
      <c r="W5292" s="15">
        <f>V5292*N5292*O5292</f>
        <v/>
      </c>
      <c r="X5292" s="12">
        <f>IF(LEFT(I5292,2)="MV",2*N5292*IF(L5292="1/C",O5292,1),0)</f>
        <v/>
      </c>
      <c r="Y5292" s="12">
        <f>IF(OR(LEFT(K5292,4)="LVAX",LEFT(K5292,6)="MV15AX",LEFT(K5292,4)="CTAX",LEFT(K5292,2)="W|"),2*N5292*O5292,0)</f>
        <v/>
      </c>
      <c r="Z5292" s="12" t="inlineStr">
        <is>
          <t>VD 2.3 %</t>
        </is>
      </c>
      <c r="AA5292" s="12">
        <f>N5292*O5292</f>
        <v/>
      </c>
    </row>
    <row r="5293">
      <c r="A5293" s="12" t="inlineStr">
        <is>
          <t>I-P-0125</t>
        </is>
      </c>
      <c r="B5293" s="12" t="inlineStr">
        <is>
          <t>I</t>
        </is>
      </c>
      <c r="C5293" s="12" t="inlineStr">
        <is>
          <t>Modular / portable power</t>
        </is>
      </c>
      <c r="D5293" s="12" t="inlineStr">
        <is>
          <t>Motor 3 of 5, 30 kW (VFD output)</t>
        </is>
      </c>
      <c r="E5293" s="12" t="inlineStr"/>
      <c r="F5293" s="12" t="inlineStr">
        <is>
          <t>PCM: power control module</t>
        </is>
      </c>
      <c r="G5293" s="12" t="inlineStr"/>
      <c r="H5293" s="12" t="inlineStr">
        <is>
          <t>RICE 3 radiators (5)</t>
        </is>
      </c>
      <c r="I5293" s="12" t="inlineStr">
        <is>
          <t>LV 600 V</t>
        </is>
      </c>
      <c r="J5293" s="12" t="inlineStr">
        <is>
          <t>VFD cable 600 V 3/C Cu XHHW-2, 3 symmetrical grounds, overall Cu tape shield, TC-ER</t>
        </is>
      </c>
      <c r="K5293" s="12" t="inlineStr">
        <is>
          <t>VFD|3/C+3G|2</t>
        </is>
      </c>
      <c r="L5293" s="12" t="inlineStr">
        <is>
          <t>3/C+3G</t>
        </is>
      </c>
      <c r="M5293" s="12" t="inlineStr">
        <is>
          <t>2</t>
        </is>
      </c>
      <c r="N5293" s="12" t="n">
        <v>1</v>
      </c>
      <c r="O5293" s="12" t="n">
        <v>1</v>
      </c>
      <c r="P5293" s="12" t="n">
        <v>480</v>
      </c>
      <c r="Q5293" s="12" t="n">
        <v>30</v>
      </c>
      <c r="R5293" s="12" t="n">
        <v>42</v>
      </c>
      <c r="S5293" s="12" t="inlineStr">
        <is>
          <t>Duct bank</t>
        </is>
      </c>
      <c r="T5293" s="15" t="n">
        <v>462</v>
      </c>
      <c r="U5293" s="15" t="n">
        <v>240</v>
      </c>
      <c r="V5293" s="15">
        <f>ROUNDUP((T5293+U5293+2*'Read Me'!$B$13)*(1+'Read Me'!$B$12),-1)</f>
        <v/>
      </c>
      <c r="W5293" s="15">
        <f>V5293*N5293*O5293</f>
        <v/>
      </c>
      <c r="X5293" s="12">
        <f>IF(LEFT(I5293,2)="MV",2*N5293*IF(L5293="1/C",O5293,1),0)</f>
        <v/>
      </c>
      <c r="Y5293" s="12">
        <f>IF(OR(LEFT(K5293,4)="LVAX",LEFT(K5293,6)="MV15AX",LEFT(K5293,4)="CTAX",LEFT(K5293,2)="W|"),2*N5293*O5293,0)</f>
        <v/>
      </c>
      <c r="Z5293" s="12" t="inlineStr">
        <is>
          <t>VD 2.3 %</t>
        </is>
      </c>
      <c r="AA5293" s="12">
        <f>N5293*O5293</f>
        <v/>
      </c>
    </row>
    <row r="5294">
      <c r="A5294" s="12" t="inlineStr">
        <is>
          <t>I-P-0126</t>
        </is>
      </c>
      <c r="B5294" s="12" t="inlineStr">
        <is>
          <t>I</t>
        </is>
      </c>
      <c r="C5294" s="12" t="inlineStr">
        <is>
          <t>Modular / portable power</t>
        </is>
      </c>
      <c r="D5294" s="12" t="inlineStr">
        <is>
          <t>Motor 4 of 5, 30 kW (VFD output)</t>
        </is>
      </c>
      <c r="E5294" s="12" t="inlineStr"/>
      <c r="F5294" s="12" t="inlineStr">
        <is>
          <t>PCM: power control module</t>
        </is>
      </c>
      <c r="G5294" s="12" t="inlineStr"/>
      <c r="H5294" s="12" t="inlineStr">
        <is>
          <t>RICE 3 radiators (5)</t>
        </is>
      </c>
      <c r="I5294" s="12" t="inlineStr">
        <is>
          <t>LV 600 V</t>
        </is>
      </c>
      <c r="J5294" s="12" t="inlineStr">
        <is>
          <t>VFD cable 600 V 3/C Cu XHHW-2, 3 symmetrical grounds, overall Cu tape shield, TC-ER</t>
        </is>
      </c>
      <c r="K5294" s="12" t="inlineStr">
        <is>
          <t>VFD|3/C+3G|2</t>
        </is>
      </c>
      <c r="L5294" s="12" t="inlineStr">
        <is>
          <t>3/C+3G</t>
        </is>
      </c>
      <c r="M5294" s="12" t="inlineStr">
        <is>
          <t>2</t>
        </is>
      </c>
      <c r="N5294" s="12" t="n">
        <v>1</v>
      </c>
      <c r="O5294" s="12" t="n">
        <v>1</v>
      </c>
      <c r="P5294" s="12" t="n">
        <v>480</v>
      </c>
      <c r="Q5294" s="12" t="n">
        <v>30</v>
      </c>
      <c r="R5294" s="12" t="n">
        <v>42</v>
      </c>
      <c r="S5294" s="12" t="inlineStr">
        <is>
          <t>Duct bank</t>
        </is>
      </c>
      <c r="T5294" s="15" t="n">
        <v>462</v>
      </c>
      <c r="U5294" s="15" t="n">
        <v>240</v>
      </c>
      <c r="V5294" s="15">
        <f>ROUNDUP((T5294+U5294+2*'Read Me'!$B$13)*(1+'Read Me'!$B$12),-1)</f>
        <v/>
      </c>
      <c r="W5294" s="15">
        <f>V5294*N5294*O5294</f>
        <v/>
      </c>
      <c r="X5294" s="12">
        <f>IF(LEFT(I5294,2)="MV",2*N5294*IF(L5294="1/C",O5294,1),0)</f>
        <v/>
      </c>
      <c r="Y5294" s="12">
        <f>IF(OR(LEFT(K5294,4)="LVAX",LEFT(K5294,6)="MV15AX",LEFT(K5294,4)="CTAX",LEFT(K5294,2)="W|"),2*N5294*O5294,0)</f>
        <v/>
      </c>
      <c r="Z5294" s="12" t="inlineStr">
        <is>
          <t>VD 2.3 %</t>
        </is>
      </c>
      <c r="AA5294" s="12">
        <f>N5294*O5294</f>
        <v/>
      </c>
    </row>
    <row r="5295">
      <c r="A5295" s="12" t="inlineStr">
        <is>
          <t>I-P-0127</t>
        </is>
      </c>
      <c r="B5295" s="12" t="inlineStr">
        <is>
          <t>I</t>
        </is>
      </c>
      <c r="C5295" s="12" t="inlineStr">
        <is>
          <t>Modular / portable power</t>
        </is>
      </c>
      <c r="D5295" s="12" t="inlineStr">
        <is>
          <t>Motor 5 of 5, 30 kW (VFD output)</t>
        </is>
      </c>
      <c r="E5295" s="12" t="inlineStr"/>
      <c r="F5295" s="12" t="inlineStr">
        <is>
          <t>PCM: power control module</t>
        </is>
      </c>
      <c r="G5295" s="12" t="inlineStr"/>
      <c r="H5295" s="12" t="inlineStr">
        <is>
          <t>RICE 3 radiators (5)</t>
        </is>
      </c>
      <c r="I5295" s="12" t="inlineStr">
        <is>
          <t>LV 600 V</t>
        </is>
      </c>
      <c r="J5295" s="12" t="inlineStr">
        <is>
          <t>VFD cable 600 V 3/C Cu XHHW-2, 3 symmetrical grounds, overall Cu tape shield, TC-ER</t>
        </is>
      </c>
      <c r="K5295" s="12" t="inlineStr">
        <is>
          <t>VFD|3/C+3G|2</t>
        </is>
      </c>
      <c r="L5295" s="12" t="inlineStr">
        <is>
          <t>3/C+3G</t>
        </is>
      </c>
      <c r="M5295" s="12" t="inlineStr">
        <is>
          <t>2</t>
        </is>
      </c>
      <c r="N5295" s="12" t="n">
        <v>1</v>
      </c>
      <c r="O5295" s="12" t="n">
        <v>1</v>
      </c>
      <c r="P5295" s="12" t="n">
        <v>480</v>
      </c>
      <c r="Q5295" s="12" t="n">
        <v>30</v>
      </c>
      <c r="R5295" s="12" t="n">
        <v>42</v>
      </c>
      <c r="S5295" s="12" t="inlineStr">
        <is>
          <t>Duct bank</t>
        </is>
      </c>
      <c r="T5295" s="15" t="n">
        <v>462</v>
      </c>
      <c r="U5295" s="15" t="n">
        <v>240</v>
      </c>
      <c r="V5295" s="15">
        <f>ROUNDUP((T5295+U5295+2*'Read Me'!$B$13)*(1+'Read Me'!$B$12),-1)</f>
        <v/>
      </c>
      <c r="W5295" s="15">
        <f>V5295*N5295*O5295</f>
        <v/>
      </c>
      <c r="X5295" s="12">
        <f>IF(LEFT(I5295,2)="MV",2*N5295*IF(L5295="1/C",O5295,1),0)</f>
        <v/>
      </c>
      <c r="Y5295" s="12">
        <f>IF(OR(LEFT(K5295,4)="LVAX",LEFT(K5295,6)="MV15AX",LEFT(K5295,4)="CTAX",LEFT(K5295,2)="W|"),2*N5295*O5295,0)</f>
        <v/>
      </c>
      <c r="Z5295" s="12" t="inlineStr">
        <is>
          <t>VD 2.3 %</t>
        </is>
      </c>
      <c r="AA5295" s="12">
        <f>N5295*O5295</f>
        <v/>
      </c>
    </row>
    <row r="5296">
      <c r="A5296" s="12" t="inlineStr">
        <is>
          <t>I-P-0128</t>
        </is>
      </c>
      <c r="B5296" s="12" t="inlineStr">
        <is>
          <t>I</t>
        </is>
      </c>
      <c r="C5296" s="12" t="inlineStr">
        <is>
          <t>Modular / portable power</t>
        </is>
      </c>
      <c r="D5296" s="12" t="inlineStr">
        <is>
          <t>Motor 1 of 1, 15 kW</t>
        </is>
      </c>
      <c r="E5296" s="12" t="inlineStr"/>
      <c r="F5296" s="12" t="inlineStr">
        <is>
          <t>PCM: power control module</t>
        </is>
      </c>
      <c r="G5296" s="12" t="inlineStr"/>
      <c r="H5296" s="12" t="inlineStr">
        <is>
          <t>RICE 4 SCR + oxidation catalyst and stack</t>
        </is>
      </c>
      <c r="I5296" s="12" t="inlineStr">
        <is>
          <t>LV 600 V</t>
        </is>
      </c>
      <c r="J5296" s="12" t="inlineStr">
        <is>
          <t>Type TC-ER 600 V 3/C Cu XHHW-2 + ground, PVC jacket</t>
        </is>
      </c>
      <c r="K5296" s="12" t="inlineStr">
        <is>
          <t>LV|3/C+G|6</t>
        </is>
      </c>
      <c r="L5296" s="12" t="inlineStr">
        <is>
          <t>3/C+G</t>
        </is>
      </c>
      <c r="M5296" s="12" t="inlineStr">
        <is>
          <t>6</t>
        </is>
      </c>
      <c r="N5296" s="12" t="n">
        <v>1</v>
      </c>
      <c r="O5296" s="12" t="n">
        <v>1</v>
      </c>
      <c r="P5296" s="12" t="n">
        <v>480</v>
      </c>
      <c r="Q5296" s="12" t="n">
        <v>15</v>
      </c>
      <c r="R5296" s="12" t="n">
        <v>21.2</v>
      </c>
      <c r="S5296" s="12" t="inlineStr">
        <is>
          <t>Duct bank</t>
        </is>
      </c>
      <c r="T5296" s="15" t="n">
        <v>436</v>
      </c>
      <c r="U5296" s="15" t="n">
        <v>76</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I-P-0129</t>
        </is>
      </c>
      <c r="B5297" s="12" t="inlineStr">
        <is>
          <t>I</t>
        </is>
      </c>
      <c r="C5297" s="12" t="inlineStr">
        <is>
          <t>Modular / portable power</t>
        </is>
      </c>
      <c r="D5297" s="12" t="inlineStr">
        <is>
          <t>Area / platform lighting circuit 1 (6 fixtures)</t>
        </is>
      </c>
      <c r="E5297" s="12" t="inlineStr"/>
      <c r="F5297" s="12" t="inlineStr">
        <is>
          <t>PCM: power control module</t>
        </is>
      </c>
      <c r="G5297" s="12" t="inlineStr"/>
      <c r="H5297" s="12" t="inlineStr">
        <is>
          <t>RICE 4 SCR + oxidation catalyst and stack</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3</v>
      </c>
      <c r="R5297" s="12" t="n">
        <v>5</v>
      </c>
      <c r="S5297" s="12" t="inlineStr">
        <is>
          <t>Duct bank</t>
        </is>
      </c>
      <c r="T5297" s="15" t="n">
        <v>736</v>
      </c>
      <c r="U5297" s="15" t="n">
        <v>76</v>
      </c>
      <c r="V5297" s="15">
        <f>ROUNDUP((T5297+U5297+2*'Read Me'!$B$13)*(1+'Read Me'!$B$12),-1)</f>
        <v/>
      </c>
      <c r="W5297" s="15">
        <f>V5297*N5297*O5297</f>
        <v/>
      </c>
      <c r="X5297" s="12">
        <f>IF(LEFT(I5297,2)="MV",2*N5297*IF(L5297="1/C",O5297,1),0)</f>
        <v/>
      </c>
      <c r="Y5297" s="12">
        <f>IF(OR(LEFT(K5297,4)="LVAX",LEFT(K5297,6)="MV15AX",LEFT(K5297,4)="CTAX",LEFT(K5297,2)="W|"),2*N5297*O5297,0)</f>
        <v/>
      </c>
      <c r="Z5297" s="12" t="inlineStr">
        <is>
          <t>fixture-to-fixture run included</t>
        </is>
      </c>
      <c r="AA5297" s="12">
        <f>N5297*O5297</f>
        <v/>
      </c>
    </row>
    <row r="5298">
      <c r="A5298" s="12" t="inlineStr">
        <is>
          <t>I-P-0130</t>
        </is>
      </c>
      <c r="B5298" s="12" t="inlineStr">
        <is>
          <t>I</t>
        </is>
      </c>
      <c r="C5298" s="12" t="inlineStr">
        <is>
          <t>Modular / portable power</t>
        </is>
      </c>
      <c r="D5298" s="12" t="inlineStr">
        <is>
          <t>Motor 1 of 5, 30 kW (VFD output)</t>
        </is>
      </c>
      <c r="E5298" s="12" t="inlineStr"/>
      <c r="F5298" s="12" t="inlineStr">
        <is>
          <t>PCM: power control module</t>
        </is>
      </c>
      <c r="G5298" s="12" t="inlineStr"/>
      <c r="H5298" s="12" t="inlineStr">
        <is>
          <t>RICE 4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206</v>
      </c>
      <c r="V5298" s="15">
        <f>ROUNDUP((T5298+U5298+2*'Read Me'!$B$13)*(1+'Read Me'!$B$12),-1)</f>
        <v/>
      </c>
      <c r="W5298" s="15">
        <f>V5298*N5298*O5298</f>
        <v/>
      </c>
      <c r="X5298" s="12">
        <f>IF(LEFT(I5298,2)="MV",2*N5298*IF(L5298="1/C",O5298,1),0)</f>
        <v/>
      </c>
      <c r="Y5298" s="12">
        <f>IF(OR(LEFT(K5298,4)="LVAX",LEFT(K5298,6)="MV15AX",LEFT(K5298,4)="CTAX",LEFT(K5298,2)="W|"),2*N5298*O5298,0)</f>
        <v/>
      </c>
      <c r="Z5298" s="12" t="inlineStr">
        <is>
          <t>VD 2.4 %</t>
        </is>
      </c>
      <c r="AA5298" s="12">
        <f>N5298*O5298</f>
        <v/>
      </c>
    </row>
    <row r="5299">
      <c r="A5299" s="12" t="inlineStr">
        <is>
          <t>I-P-0131</t>
        </is>
      </c>
      <c r="B5299" s="12" t="inlineStr">
        <is>
          <t>I</t>
        </is>
      </c>
      <c r="C5299" s="12" t="inlineStr">
        <is>
          <t>Modular / portable power</t>
        </is>
      </c>
      <c r="D5299" s="12" t="inlineStr">
        <is>
          <t>Motor 2 of 5, 30 kW (VFD output)</t>
        </is>
      </c>
      <c r="E5299" s="12" t="inlineStr"/>
      <c r="F5299" s="12" t="inlineStr">
        <is>
          <t>PCM: power control module</t>
        </is>
      </c>
      <c r="G5299" s="12" t="inlineStr"/>
      <c r="H5299" s="12" t="inlineStr">
        <is>
          <t>RICE 4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206</v>
      </c>
      <c r="V5299" s="15">
        <f>ROUNDUP((T5299+U5299+2*'Read Me'!$B$13)*(1+'Read Me'!$B$12),-1)</f>
        <v/>
      </c>
      <c r="W5299" s="15">
        <f>V5299*N5299*O5299</f>
        <v/>
      </c>
      <c r="X5299" s="12">
        <f>IF(LEFT(I5299,2)="MV",2*N5299*IF(L5299="1/C",O5299,1),0)</f>
        <v/>
      </c>
      <c r="Y5299" s="12">
        <f>IF(OR(LEFT(K5299,4)="LVAX",LEFT(K5299,6)="MV15AX",LEFT(K5299,4)="CTAX",LEFT(K5299,2)="W|"),2*N5299*O5299,0)</f>
        <v/>
      </c>
      <c r="Z5299" s="12" t="inlineStr">
        <is>
          <t>VD 2.4 %</t>
        </is>
      </c>
      <c r="AA5299" s="12">
        <f>N5299*O5299</f>
        <v/>
      </c>
    </row>
    <row r="5300">
      <c r="A5300" s="12" t="inlineStr">
        <is>
          <t>I-P-0132</t>
        </is>
      </c>
      <c r="B5300" s="12" t="inlineStr">
        <is>
          <t>I</t>
        </is>
      </c>
      <c r="C5300" s="12" t="inlineStr">
        <is>
          <t>Modular / portable power</t>
        </is>
      </c>
      <c r="D5300" s="12" t="inlineStr">
        <is>
          <t>Motor 3 of 5, 30 kW (VFD output)</t>
        </is>
      </c>
      <c r="E5300" s="12" t="inlineStr"/>
      <c r="F5300" s="12" t="inlineStr">
        <is>
          <t>PCM: power control module</t>
        </is>
      </c>
      <c r="G5300" s="12" t="inlineStr"/>
      <c r="H5300" s="12" t="inlineStr">
        <is>
          <t>RICE 4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206</v>
      </c>
      <c r="V5300" s="15">
        <f>ROUNDUP((T5300+U5300+2*'Read Me'!$B$13)*(1+'Read Me'!$B$12),-1)</f>
        <v/>
      </c>
      <c r="W5300" s="15">
        <f>V5300*N5300*O5300</f>
        <v/>
      </c>
      <c r="X5300" s="12">
        <f>IF(LEFT(I5300,2)="MV",2*N5300*IF(L5300="1/C",O5300,1),0)</f>
        <v/>
      </c>
      <c r="Y5300" s="12">
        <f>IF(OR(LEFT(K5300,4)="LVAX",LEFT(K5300,6)="MV15AX",LEFT(K5300,4)="CTAX",LEFT(K5300,2)="W|"),2*N5300*O5300,0)</f>
        <v/>
      </c>
      <c r="Z5300" s="12" t="inlineStr">
        <is>
          <t>VD 2.4 %</t>
        </is>
      </c>
      <c r="AA5300" s="12">
        <f>N5300*O5300</f>
        <v/>
      </c>
    </row>
    <row r="5301">
      <c r="A5301" s="12" t="inlineStr">
        <is>
          <t>I-P-0133</t>
        </is>
      </c>
      <c r="B5301" s="12" t="inlineStr">
        <is>
          <t>I</t>
        </is>
      </c>
      <c r="C5301" s="12" t="inlineStr">
        <is>
          <t>Modular / portable power</t>
        </is>
      </c>
      <c r="D5301" s="12" t="inlineStr">
        <is>
          <t>Motor 4 of 5, 30 kW (VFD output)</t>
        </is>
      </c>
      <c r="E5301" s="12" t="inlineStr"/>
      <c r="F5301" s="12" t="inlineStr">
        <is>
          <t>PCM: power control module</t>
        </is>
      </c>
      <c r="G5301" s="12" t="inlineStr"/>
      <c r="H5301" s="12" t="inlineStr">
        <is>
          <t>RICE 4 radiators (5)</t>
        </is>
      </c>
      <c r="I5301" s="12" t="inlineStr">
        <is>
          <t>LV 600 V</t>
        </is>
      </c>
      <c r="J5301" s="12" t="inlineStr">
        <is>
          <t>VFD cable 600 V 3/C Cu XHHW-2, 3 symmetrical grounds, overall Cu tape shield, TC-ER</t>
        </is>
      </c>
      <c r="K5301" s="12" t="inlineStr">
        <is>
          <t>VFD|3/C+3G|6</t>
        </is>
      </c>
      <c r="L5301" s="12" t="inlineStr">
        <is>
          <t>3/C+3G</t>
        </is>
      </c>
      <c r="M5301" s="12" t="inlineStr">
        <is>
          <t>6</t>
        </is>
      </c>
      <c r="N5301" s="12" t="n">
        <v>1</v>
      </c>
      <c r="O5301" s="12" t="n">
        <v>1</v>
      </c>
      <c r="P5301" s="12" t="n">
        <v>480</v>
      </c>
      <c r="Q5301" s="12" t="n">
        <v>30</v>
      </c>
      <c r="R5301" s="12" t="n">
        <v>42</v>
      </c>
      <c r="S5301" s="12" t="inlineStr">
        <is>
          <t>Tray</t>
        </is>
      </c>
      <c r="T5301" s="15" t="n">
        <v>80</v>
      </c>
      <c r="U5301" s="15" t="n">
        <v>206</v>
      </c>
      <c r="V5301" s="15">
        <f>ROUNDUP((T5301+U5301+2*'Read Me'!$B$13)*(1+'Read Me'!$B$12),-1)</f>
        <v/>
      </c>
      <c r="W5301" s="15">
        <f>V5301*N5301*O5301</f>
        <v/>
      </c>
      <c r="X5301" s="12">
        <f>IF(LEFT(I5301,2)="MV",2*N5301*IF(L5301="1/C",O5301,1),0)</f>
        <v/>
      </c>
      <c r="Y5301" s="12">
        <f>IF(OR(LEFT(K5301,4)="LVAX",LEFT(K5301,6)="MV15AX",LEFT(K5301,4)="CTAX",LEFT(K5301,2)="W|"),2*N5301*O5301,0)</f>
        <v/>
      </c>
      <c r="Z5301" s="12" t="inlineStr">
        <is>
          <t>VD 2.4 %</t>
        </is>
      </c>
      <c r="AA5301" s="12">
        <f>N5301*O5301</f>
        <v/>
      </c>
    </row>
    <row r="5302">
      <c r="A5302" s="12" t="inlineStr">
        <is>
          <t>I-P-0134</t>
        </is>
      </c>
      <c r="B5302" s="12" t="inlineStr">
        <is>
          <t>I</t>
        </is>
      </c>
      <c r="C5302" s="12" t="inlineStr">
        <is>
          <t>Modular / portable power</t>
        </is>
      </c>
      <c r="D5302" s="12" t="inlineStr">
        <is>
          <t>Motor 5 of 5, 30 kW (VFD output)</t>
        </is>
      </c>
      <c r="E5302" s="12" t="inlineStr"/>
      <c r="F5302" s="12" t="inlineStr">
        <is>
          <t>PCM: power control module</t>
        </is>
      </c>
      <c r="G5302" s="12" t="inlineStr"/>
      <c r="H5302" s="12" t="inlineStr">
        <is>
          <t>RICE 4 radiators (5)</t>
        </is>
      </c>
      <c r="I5302" s="12" t="inlineStr">
        <is>
          <t>LV 600 V</t>
        </is>
      </c>
      <c r="J5302" s="12" t="inlineStr">
        <is>
          <t>VFD cable 600 V 3/C Cu XHHW-2, 3 symmetrical grounds, overall Cu tape shield, TC-ER</t>
        </is>
      </c>
      <c r="K5302" s="12" t="inlineStr">
        <is>
          <t>VFD|3/C+3G|6</t>
        </is>
      </c>
      <c r="L5302" s="12" t="inlineStr">
        <is>
          <t>3/C+3G</t>
        </is>
      </c>
      <c r="M5302" s="12" t="inlineStr">
        <is>
          <t>6</t>
        </is>
      </c>
      <c r="N5302" s="12" t="n">
        <v>1</v>
      </c>
      <c r="O5302" s="12" t="n">
        <v>1</v>
      </c>
      <c r="P5302" s="12" t="n">
        <v>480</v>
      </c>
      <c r="Q5302" s="12" t="n">
        <v>30</v>
      </c>
      <c r="R5302" s="12" t="n">
        <v>42</v>
      </c>
      <c r="S5302" s="12" t="inlineStr">
        <is>
          <t>Tray</t>
        </is>
      </c>
      <c r="T5302" s="15" t="n">
        <v>80</v>
      </c>
      <c r="U5302" s="15" t="n">
        <v>206</v>
      </c>
      <c r="V5302" s="15">
        <f>ROUNDUP((T5302+U5302+2*'Read Me'!$B$13)*(1+'Read Me'!$B$12),-1)</f>
        <v/>
      </c>
      <c r="W5302" s="15">
        <f>V5302*N5302*O5302</f>
        <v/>
      </c>
      <c r="X5302" s="12">
        <f>IF(LEFT(I5302,2)="MV",2*N5302*IF(L5302="1/C",O5302,1),0)</f>
        <v/>
      </c>
      <c r="Y5302" s="12">
        <f>IF(OR(LEFT(K5302,4)="LVAX",LEFT(K5302,6)="MV15AX",LEFT(K5302,4)="CTAX",LEFT(K5302,2)="W|"),2*N5302*O5302,0)</f>
        <v/>
      </c>
      <c r="Z5302" s="12" t="inlineStr">
        <is>
          <t>VD 2.4 %</t>
        </is>
      </c>
      <c r="AA5302" s="12">
        <f>N5302*O5302</f>
        <v/>
      </c>
    </row>
    <row r="5303">
      <c r="A5303" s="12" t="inlineStr">
        <is>
          <t>I-P-0135</t>
        </is>
      </c>
      <c r="B5303" s="12" t="inlineStr">
        <is>
          <t>I</t>
        </is>
      </c>
      <c r="C5303" s="12" t="inlineStr">
        <is>
          <t>Modular / portable power</t>
        </is>
      </c>
      <c r="D5303" s="12" t="inlineStr">
        <is>
          <t>Motor 1 of 1, 15 kW</t>
        </is>
      </c>
      <c r="E5303" s="12" t="inlineStr"/>
      <c r="F5303" s="12" t="inlineStr">
        <is>
          <t>PCM: power control module</t>
        </is>
      </c>
      <c r="G5303" s="12" t="inlineStr"/>
      <c r="H5303" s="12" t="inlineStr">
        <is>
          <t>RICE 5 SCR + oxidation catalyst and stack</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15</v>
      </c>
      <c r="R5303" s="12" t="n">
        <v>21.2</v>
      </c>
      <c r="S5303" s="12" t="inlineStr">
        <is>
          <t>Duct bank</t>
        </is>
      </c>
      <c r="T5303" s="15" t="n">
        <v>153</v>
      </c>
      <c r="U5303" s="15" t="n">
        <v>164</v>
      </c>
      <c r="V5303" s="15">
        <f>ROUNDUP((T5303+U5303+2*'Read Me'!$B$13)*(1+'Read Me'!$B$12),-1)</f>
        <v/>
      </c>
      <c r="W5303" s="15">
        <f>V5303*N5303*O5303</f>
        <v/>
      </c>
      <c r="X5303" s="12">
        <f>IF(LEFT(I5303,2)="MV",2*N5303*IF(L5303="1/C",O5303,1),0)</f>
        <v/>
      </c>
      <c r="Y5303" s="12">
        <f>IF(OR(LEFT(K5303,4)="LVAX",LEFT(K5303,6)="MV15AX",LEFT(K5303,4)="CTAX",LEFT(K5303,2)="W|"),2*N5303*O5303,0)</f>
        <v/>
      </c>
      <c r="Z5303" s="12" t="inlineStr">
        <is>
          <t>VD 2.0 %</t>
        </is>
      </c>
      <c r="AA5303" s="12">
        <f>N5303*O5303</f>
        <v/>
      </c>
    </row>
    <row r="5304">
      <c r="A5304" s="12" t="inlineStr">
        <is>
          <t>I-P-0136</t>
        </is>
      </c>
      <c r="B5304" s="12" t="inlineStr">
        <is>
          <t>I</t>
        </is>
      </c>
      <c r="C5304" s="12" t="inlineStr">
        <is>
          <t>Modular / portable power</t>
        </is>
      </c>
      <c r="D5304" s="12" t="inlineStr">
        <is>
          <t>Area / platform lighting circuit 1 (6 fixtures)</t>
        </is>
      </c>
      <c r="E5304" s="12" t="inlineStr"/>
      <c r="F5304" s="12" t="inlineStr">
        <is>
          <t>PCM: power control module</t>
        </is>
      </c>
      <c r="G5304" s="12" t="inlineStr"/>
      <c r="H5304" s="12" t="inlineStr">
        <is>
          <t>RICE 5 SCR + oxidation catalyst and stack</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3</v>
      </c>
      <c r="R5304" s="12" t="n">
        <v>5</v>
      </c>
      <c r="S5304" s="12" t="inlineStr">
        <is>
          <t>Duct bank</t>
        </is>
      </c>
      <c r="T5304" s="15" t="n">
        <v>453</v>
      </c>
      <c r="U5304" s="15" t="n">
        <v>164</v>
      </c>
      <c r="V5304" s="15">
        <f>ROUNDUP((T5304+U5304+2*'Read Me'!$B$13)*(1+'Read Me'!$B$12),-1)</f>
        <v/>
      </c>
      <c r="W5304" s="15">
        <f>V5304*N5304*O5304</f>
        <v/>
      </c>
      <c r="X5304" s="12">
        <f>IF(LEFT(I5304,2)="MV",2*N5304*IF(L5304="1/C",O5304,1),0)</f>
        <v/>
      </c>
      <c r="Y5304" s="12">
        <f>IF(OR(LEFT(K5304,4)="LVAX",LEFT(K5304,6)="MV15AX",LEFT(K5304,4)="CTAX",LEFT(K5304,2)="W|"),2*N5304*O5304,0)</f>
        <v/>
      </c>
      <c r="Z5304" s="12" t="inlineStr">
        <is>
          <t>fixture-to-fixture run included</t>
        </is>
      </c>
      <c r="AA5304" s="12">
        <f>N5304*O5304</f>
        <v/>
      </c>
    </row>
    <row r="5305">
      <c r="A5305" s="12" t="inlineStr">
        <is>
          <t>I-P-0137</t>
        </is>
      </c>
      <c r="B5305" s="12" t="inlineStr">
        <is>
          <t>I</t>
        </is>
      </c>
      <c r="C5305" s="12" t="inlineStr">
        <is>
          <t>Modular / portable power</t>
        </is>
      </c>
      <c r="D5305" s="12" t="inlineStr">
        <is>
          <t>Motor 1 of 5, 30 kW (VFD output)</t>
        </is>
      </c>
      <c r="E5305" s="12" t="inlineStr"/>
      <c r="F5305" s="12" t="inlineStr">
        <is>
          <t>PCM: power control module</t>
        </is>
      </c>
      <c r="G5305" s="12" t="inlineStr"/>
      <c r="H5305" s="12" t="inlineStr">
        <is>
          <t>RICE 5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178</v>
      </c>
      <c r="V5305" s="15">
        <f>ROUNDUP((T5305+U5305+2*'Read Me'!$B$13)*(1+'Read Me'!$B$12),-1)</f>
        <v/>
      </c>
      <c r="W5305" s="15">
        <f>V5305*N5305*O5305</f>
        <v/>
      </c>
      <c r="X5305" s="12">
        <f>IF(LEFT(I5305,2)="MV",2*N5305*IF(L5305="1/C",O5305,1),0)</f>
        <v/>
      </c>
      <c r="Y5305" s="12">
        <f>IF(OR(LEFT(K5305,4)="LVAX",LEFT(K5305,6)="MV15AX",LEFT(K5305,4)="CTAX",LEFT(K5305,2)="W|"),2*N5305*O5305,0)</f>
        <v/>
      </c>
      <c r="Z5305" s="12" t="inlineStr">
        <is>
          <t>VD 2.1 %</t>
        </is>
      </c>
      <c r="AA5305" s="12">
        <f>N5305*O5305</f>
        <v/>
      </c>
    </row>
    <row r="5306">
      <c r="A5306" s="12" t="inlineStr">
        <is>
          <t>I-P-0138</t>
        </is>
      </c>
      <c r="B5306" s="12" t="inlineStr">
        <is>
          <t>I</t>
        </is>
      </c>
      <c r="C5306" s="12" t="inlineStr">
        <is>
          <t>Modular / portable power</t>
        </is>
      </c>
      <c r="D5306" s="12" t="inlineStr">
        <is>
          <t>Motor 2 of 5, 30 kW (VFD output)</t>
        </is>
      </c>
      <c r="E5306" s="12" t="inlineStr"/>
      <c r="F5306" s="12" t="inlineStr">
        <is>
          <t>PCM: power control module</t>
        </is>
      </c>
      <c r="G5306" s="12" t="inlineStr"/>
      <c r="H5306" s="12" t="inlineStr">
        <is>
          <t>RICE 5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178</v>
      </c>
      <c r="V5306" s="15">
        <f>ROUNDUP((T5306+U5306+2*'Read Me'!$B$13)*(1+'Read Me'!$B$12),-1)</f>
        <v/>
      </c>
      <c r="W5306" s="15">
        <f>V5306*N5306*O5306</f>
        <v/>
      </c>
      <c r="X5306" s="12">
        <f>IF(LEFT(I5306,2)="MV",2*N5306*IF(L5306="1/C",O5306,1),0)</f>
        <v/>
      </c>
      <c r="Y5306" s="12">
        <f>IF(OR(LEFT(K5306,4)="LVAX",LEFT(K5306,6)="MV15AX",LEFT(K5306,4)="CTAX",LEFT(K5306,2)="W|"),2*N5306*O5306,0)</f>
        <v/>
      </c>
      <c r="Z5306" s="12" t="inlineStr">
        <is>
          <t>VD 2.1 %</t>
        </is>
      </c>
      <c r="AA5306" s="12">
        <f>N5306*O5306</f>
        <v/>
      </c>
    </row>
    <row r="5307">
      <c r="A5307" s="12" t="inlineStr">
        <is>
          <t>I-P-0139</t>
        </is>
      </c>
      <c r="B5307" s="12" t="inlineStr">
        <is>
          <t>I</t>
        </is>
      </c>
      <c r="C5307" s="12" t="inlineStr">
        <is>
          <t>Modular / portable power</t>
        </is>
      </c>
      <c r="D5307" s="12" t="inlineStr">
        <is>
          <t>Motor 3 of 5, 30 kW (VFD output)</t>
        </is>
      </c>
      <c r="E5307" s="12" t="inlineStr"/>
      <c r="F5307" s="12" t="inlineStr">
        <is>
          <t>PCM: power control module</t>
        </is>
      </c>
      <c r="G5307" s="12" t="inlineStr"/>
      <c r="H5307" s="12" t="inlineStr">
        <is>
          <t>RICE 5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178</v>
      </c>
      <c r="V5307" s="15">
        <f>ROUNDUP((T5307+U5307+2*'Read Me'!$B$13)*(1+'Read Me'!$B$12),-1)</f>
        <v/>
      </c>
      <c r="W5307" s="15">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I-P-0140</t>
        </is>
      </c>
      <c r="B5308" s="12" t="inlineStr">
        <is>
          <t>I</t>
        </is>
      </c>
      <c r="C5308" s="12" t="inlineStr">
        <is>
          <t>Modular / portable power</t>
        </is>
      </c>
      <c r="D5308" s="12" t="inlineStr">
        <is>
          <t>Motor 4 of 5, 30 kW (VFD output)</t>
        </is>
      </c>
      <c r="E5308" s="12" t="inlineStr"/>
      <c r="F5308" s="12" t="inlineStr">
        <is>
          <t>PCM: power control module</t>
        </is>
      </c>
      <c r="G5308" s="12" t="inlineStr"/>
      <c r="H5308" s="12" t="inlineStr">
        <is>
          <t>RICE 5 radiators (5)</t>
        </is>
      </c>
      <c r="I5308" s="12" t="inlineStr">
        <is>
          <t>LV 600 V</t>
        </is>
      </c>
      <c r="J5308" s="12" t="inlineStr">
        <is>
          <t>VFD cable 600 V 3/C Cu XHHW-2, 3 symmetrical grounds, overall Cu tape shield, TC-ER</t>
        </is>
      </c>
      <c r="K5308" s="12" t="inlineStr">
        <is>
          <t>VFD|3/C+3G|6</t>
        </is>
      </c>
      <c r="L5308" s="12" t="inlineStr">
        <is>
          <t>3/C+3G</t>
        </is>
      </c>
      <c r="M5308" s="12" t="inlineStr">
        <is>
          <t>6</t>
        </is>
      </c>
      <c r="N5308" s="12" t="n">
        <v>1</v>
      </c>
      <c r="O5308" s="12" t="n">
        <v>1</v>
      </c>
      <c r="P5308" s="12" t="n">
        <v>480</v>
      </c>
      <c r="Q5308" s="12" t="n">
        <v>30</v>
      </c>
      <c r="R5308" s="12" t="n">
        <v>42</v>
      </c>
      <c r="S5308" s="12" t="inlineStr">
        <is>
          <t>Tray</t>
        </is>
      </c>
      <c r="T5308" s="15" t="n">
        <v>80</v>
      </c>
      <c r="U5308" s="15" t="n">
        <v>178</v>
      </c>
      <c r="V5308" s="15">
        <f>ROUNDUP((T5308+U5308+2*'Read Me'!$B$13)*(1+'Read Me'!$B$12),-1)</f>
        <v/>
      </c>
      <c r="W5308" s="15">
        <f>V5308*N5308*O5308</f>
        <v/>
      </c>
      <c r="X5308" s="12">
        <f>IF(LEFT(I5308,2)="MV",2*N5308*IF(L5308="1/C",O5308,1),0)</f>
        <v/>
      </c>
      <c r="Y5308" s="12">
        <f>IF(OR(LEFT(K5308,4)="LVAX",LEFT(K5308,6)="MV15AX",LEFT(K5308,4)="CTAX",LEFT(K5308,2)="W|"),2*N5308*O5308,0)</f>
        <v/>
      </c>
      <c r="Z5308" s="12" t="inlineStr">
        <is>
          <t>VD 2.1 %</t>
        </is>
      </c>
      <c r="AA5308" s="12">
        <f>N5308*O5308</f>
        <v/>
      </c>
    </row>
    <row r="5309">
      <c r="A5309" s="12" t="inlineStr">
        <is>
          <t>I-P-0141</t>
        </is>
      </c>
      <c r="B5309" s="12" t="inlineStr">
        <is>
          <t>I</t>
        </is>
      </c>
      <c r="C5309" s="12" t="inlineStr">
        <is>
          <t>Modular / portable power</t>
        </is>
      </c>
      <c r="D5309" s="12" t="inlineStr">
        <is>
          <t>Motor 5 of 5, 30 kW (VFD output)</t>
        </is>
      </c>
      <c r="E5309" s="12" t="inlineStr"/>
      <c r="F5309" s="12" t="inlineStr">
        <is>
          <t>PCM: power control module</t>
        </is>
      </c>
      <c r="G5309" s="12" t="inlineStr"/>
      <c r="H5309" s="12" t="inlineStr">
        <is>
          <t>RICE 5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178</v>
      </c>
      <c r="V5309" s="15">
        <f>ROUNDUP((T5309+U5309+2*'Read Me'!$B$13)*(1+'Read Me'!$B$12),-1)</f>
        <v/>
      </c>
      <c r="W5309" s="15">
        <f>V5309*N5309*O5309</f>
        <v/>
      </c>
      <c r="X5309" s="12">
        <f>IF(LEFT(I5309,2)="MV",2*N5309*IF(L5309="1/C",O5309,1),0)</f>
        <v/>
      </c>
      <c r="Y5309" s="12">
        <f>IF(OR(LEFT(K5309,4)="LVAX",LEFT(K5309,6)="MV15AX",LEFT(K5309,4)="CTAX",LEFT(K5309,2)="W|"),2*N5309*O5309,0)</f>
        <v/>
      </c>
      <c r="Z5309" s="12" t="inlineStr">
        <is>
          <t>VD 2.1 %</t>
        </is>
      </c>
      <c r="AA5309" s="12">
        <f>N5309*O5309</f>
        <v/>
      </c>
    </row>
    <row r="5310">
      <c r="A5310" s="12" t="inlineStr">
        <is>
          <t>I-P-0142</t>
        </is>
      </c>
      <c r="B5310" s="12" t="inlineStr">
        <is>
          <t>I</t>
        </is>
      </c>
      <c r="C5310" s="12" t="inlineStr">
        <is>
          <t>Modular / portable power</t>
        </is>
      </c>
      <c r="D5310" s="12" t="inlineStr">
        <is>
          <t>Motor 1 of 1, 15 kW</t>
        </is>
      </c>
      <c r="E5310" s="12" t="inlineStr"/>
      <c r="F5310" s="12" t="inlineStr">
        <is>
          <t>PCM: power control module</t>
        </is>
      </c>
      <c r="G5310" s="12" t="inlineStr"/>
      <c r="H5310" s="12" t="inlineStr">
        <is>
          <t>RICE 6 SCR + oxidation catalyst and stack</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15</v>
      </c>
      <c r="R5310" s="12" t="n">
        <v>21.2</v>
      </c>
      <c r="S5310" s="12" t="inlineStr">
        <is>
          <t>Duct bank</t>
        </is>
      </c>
      <c r="T5310" s="15" t="n">
        <v>153</v>
      </c>
      <c r="U5310" s="15" t="n">
        <v>136</v>
      </c>
      <c r="V5310" s="15">
        <f>ROUNDUP((T5310+U5310+2*'Read Me'!$B$13)*(1+'Read Me'!$B$12),-1)</f>
        <v/>
      </c>
      <c r="W5310" s="15">
        <f>V5310*N5310*O5310</f>
        <v/>
      </c>
      <c r="X5310" s="12">
        <f>IF(LEFT(I5310,2)="MV",2*N5310*IF(L5310="1/C",O5310,1),0)</f>
        <v/>
      </c>
      <c r="Y5310" s="12">
        <f>IF(OR(LEFT(K5310,4)="LVAX",LEFT(K5310,6)="MV15AX",LEFT(K5310,4)="CTAX",LEFT(K5310,2)="W|"),2*N5310*O5310,0)</f>
        <v/>
      </c>
      <c r="Z5310" s="12" t="inlineStr">
        <is>
          <t>VD 2.9 %</t>
        </is>
      </c>
      <c r="AA5310" s="12">
        <f>N5310*O5310</f>
        <v/>
      </c>
    </row>
    <row r="5311">
      <c r="A5311" s="12" t="inlineStr">
        <is>
          <t>I-P-0143</t>
        </is>
      </c>
      <c r="B5311" s="12" t="inlineStr">
        <is>
          <t>I</t>
        </is>
      </c>
      <c r="C5311" s="12" t="inlineStr">
        <is>
          <t>Modular / portable power</t>
        </is>
      </c>
      <c r="D5311" s="12" t="inlineStr">
        <is>
          <t>Area / platform lighting circuit 1 (6 fixtures)</t>
        </is>
      </c>
      <c r="E5311" s="12" t="inlineStr"/>
      <c r="F5311" s="12" t="inlineStr">
        <is>
          <t>PCM: power control module</t>
        </is>
      </c>
      <c r="G5311" s="12" t="inlineStr"/>
      <c r="H5311" s="12" t="inlineStr">
        <is>
          <t>RICE 6 SCR + oxidation catalyst and stack</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3</v>
      </c>
      <c r="R5311" s="12" t="n">
        <v>5</v>
      </c>
      <c r="S5311" s="12" t="inlineStr">
        <is>
          <t>Duct bank</t>
        </is>
      </c>
      <c r="T5311" s="15" t="n">
        <v>453</v>
      </c>
      <c r="U5311" s="15" t="n">
        <v>136</v>
      </c>
      <c r="V5311" s="15">
        <f>ROUNDUP((T5311+U5311+2*'Read Me'!$B$13)*(1+'Read Me'!$B$12),-1)</f>
        <v/>
      </c>
      <c r="W5311" s="15">
        <f>V5311*N5311*O5311</f>
        <v/>
      </c>
      <c r="X5311" s="12">
        <f>IF(LEFT(I5311,2)="MV",2*N5311*IF(L5311="1/C",O5311,1),0)</f>
        <v/>
      </c>
      <c r="Y5311" s="12">
        <f>IF(OR(LEFT(K5311,4)="LVAX",LEFT(K5311,6)="MV15AX",LEFT(K5311,4)="CTAX",LEFT(K5311,2)="W|"),2*N5311*O5311,0)</f>
        <v/>
      </c>
      <c r="Z5311" s="12" t="inlineStr">
        <is>
          <t>fixture-to-fixture run included</t>
        </is>
      </c>
      <c r="AA5311" s="12">
        <f>N5311*O5311</f>
        <v/>
      </c>
    </row>
    <row r="5312">
      <c r="A5312" s="12" t="inlineStr">
        <is>
          <t>I-P-0144</t>
        </is>
      </c>
      <c r="B5312" s="12" t="inlineStr">
        <is>
          <t>I</t>
        </is>
      </c>
      <c r="C5312" s="12" t="inlineStr">
        <is>
          <t>Modular / portable power</t>
        </is>
      </c>
      <c r="D5312" s="12" t="inlineStr">
        <is>
          <t>Motor 1 of 5, 30 kW (VFD output)</t>
        </is>
      </c>
      <c r="E5312" s="12" t="inlineStr"/>
      <c r="F5312" s="12" t="inlineStr">
        <is>
          <t>PCM: power control module</t>
        </is>
      </c>
      <c r="G5312" s="12" t="inlineStr"/>
      <c r="H5312" s="12" t="inlineStr">
        <is>
          <t>RICE 6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150</v>
      </c>
      <c r="V5312" s="15">
        <f>ROUNDUP((T5312+U5312+2*'Read Me'!$B$13)*(1+'Read Me'!$B$12),-1)</f>
        <v/>
      </c>
      <c r="W5312" s="15">
        <f>V5312*N5312*O5312</f>
        <v/>
      </c>
      <c r="X5312" s="12">
        <f>IF(LEFT(I5312,2)="MV",2*N5312*IF(L5312="1/C",O5312,1),0)</f>
        <v/>
      </c>
      <c r="Y5312" s="12">
        <f>IF(OR(LEFT(K5312,4)="LVAX",LEFT(K5312,6)="MV15AX",LEFT(K5312,4)="CTAX",LEFT(K5312,2)="W|"),2*N5312*O5312,0)</f>
        <v/>
      </c>
      <c r="Z5312" s="12" t="inlineStr">
        <is>
          <t>VD 1.9 %</t>
        </is>
      </c>
      <c r="AA5312" s="12">
        <f>N5312*O5312</f>
        <v/>
      </c>
    </row>
    <row r="5313">
      <c r="A5313" s="12" t="inlineStr">
        <is>
          <t>I-P-0145</t>
        </is>
      </c>
      <c r="B5313" s="12" t="inlineStr">
        <is>
          <t>I</t>
        </is>
      </c>
      <c r="C5313" s="12" t="inlineStr">
        <is>
          <t>Modular / portable power</t>
        </is>
      </c>
      <c r="D5313" s="12" t="inlineStr">
        <is>
          <t>Motor 2 of 5, 30 kW (VFD output)</t>
        </is>
      </c>
      <c r="E5313" s="12" t="inlineStr"/>
      <c r="F5313" s="12" t="inlineStr">
        <is>
          <t>PCM: power control module</t>
        </is>
      </c>
      <c r="G5313" s="12" t="inlineStr"/>
      <c r="H5313" s="12" t="inlineStr">
        <is>
          <t>RICE 6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150</v>
      </c>
      <c r="V5313" s="15">
        <f>ROUNDUP((T5313+U5313+2*'Read Me'!$B$13)*(1+'Read Me'!$B$12),-1)</f>
        <v/>
      </c>
      <c r="W5313" s="15">
        <f>V5313*N5313*O5313</f>
        <v/>
      </c>
      <c r="X5313" s="12">
        <f>IF(LEFT(I5313,2)="MV",2*N5313*IF(L5313="1/C",O5313,1),0)</f>
        <v/>
      </c>
      <c r="Y5313" s="12">
        <f>IF(OR(LEFT(K5313,4)="LVAX",LEFT(K5313,6)="MV15AX",LEFT(K5313,4)="CTAX",LEFT(K5313,2)="W|"),2*N5313*O5313,0)</f>
        <v/>
      </c>
      <c r="Z5313" s="12" t="inlineStr">
        <is>
          <t>VD 1.9 %</t>
        </is>
      </c>
      <c r="AA5313" s="12">
        <f>N5313*O5313</f>
        <v/>
      </c>
    </row>
    <row r="5314">
      <c r="A5314" s="12" t="inlineStr">
        <is>
          <t>I-P-0146</t>
        </is>
      </c>
      <c r="B5314" s="12" t="inlineStr">
        <is>
          <t>I</t>
        </is>
      </c>
      <c r="C5314" s="12" t="inlineStr">
        <is>
          <t>Modular / portable power</t>
        </is>
      </c>
      <c r="D5314" s="12" t="inlineStr">
        <is>
          <t>Motor 3 of 5, 30 kW (VFD output)</t>
        </is>
      </c>
      <c r="E5314" s="12" t="inlineStr"/>
      <c r="F5314" s="12" t="inlineStr">
        <is>
          <t>PCM: power control module</t>
        </is>
      </c>
      <c r="G5314" s="12" t="inlineStr"/>
      <c r="H5314" s="12" t="inlineStr">
        <is>
          <t>RICE 6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150</v>
      </c>
      <c r="V5314" s="15">
        <f>ROUNDUP((T5314+U5314+2*'Read Me'!$B$13)*(1+'Read Me'!$B$12),-1)</f>
        <v/>
      </c>
      <c r="W5314" s="15">
        <f>V5314*N5314*O5314</f>
        <v/>
      </c>
      <c r="X5314" s="12">
        <f>IF(LEFT(I5314,2)="MV",2*N5314*IF(L5314="1/C",O5314,1),0)</f>
        <v/>
      </c>
      <c r="Y5314" s="12">
        <f>IF(OR(LEFT(K5314,4)="LVAX",LEFT(K5314,6)="MV15AX",LEFT(K5314,4)="CTAX",LEFT(K5314,2)="W|"),2*N5314*O5314,0)</f>
        <v/>
      </c>
      <c r="Z5314" s="12" t="inlineStr">
        <is>
          <t>VD 1.9 %</t>
        </is>
      </c>
      <c r="AA5314" s="12">
        <f>N5314*O5314</f>
        <v/>
      </c>
    </row>
    <row r="5315">
      <c r="A5315" s="12" t="inlineStr">
        <is>
          <t>I-P-0147</t>
        </is>
      </c>
      <c r="B5315" s="12" t="inlineStr">
        <is>
          <t>I</t>
        </is>
      </c>
      <c r="C5315" s="12" t="inlineStr">
        <is>
          <t>Modular / portable power</t>
        </is>
      </c>
      <c r="D5315" s="12" t="inlineStr">
        <is>
          <t>Motor 4 of 5, 30 kW (VFD output)</t>
        </is>
      </c>
      <c r="E5315" s="12" t="inlineStr"/>
      <c r="F5315" s="12" t="inlineStr">
        <is>
          <t>PCM: power control module</t>
        </is>
      </c>
      <c r="G5315" s="12" t="inlineStr"/>
      <c r="H5315" s="12" t="inlineStr">
        <is>
          <t>RICE 6 radiators (5)</t>
        </is>
      </c>
      <c r="I5315" s="12" t="inlineStr">
        <is>
          <t>LV 600 V</t>
        </is>
      </c>
      <c r="J5315" s="12" t="inlineStr">
        <is>
          <t>VFD cable 600 V 3/C Cu XHHW-2, 3 symmetrical grounds, overall Cu tape shield, TC-ER</t>
        </is>
      </c>
      <c r="K5315" s="12" t="inlineStr">
        <is>
          <t>VFD|3/C+3G|6</t>
        </is>
      </c>
      <c r="L5315" s="12" t="inlineStr">
        <is>
          <t>3/C+3G</t>
        </is>
      </c>
      <c r="M5315" s="12" t="inlineStr">
        <is>
          <t>6</t>
        </is>
      </c>
      <c r="N5315" s="12" t="n">
        <v>1</v>
      </c>
      <c r="O5315" s="12" t="n">
        <v>1</v>
      </c>
      <c r="P5315" s="12" t="n">
        <v>480</v>
      </c>
      <c r="Q5315" s="12" t="n">
        <v>30</v>
      </c>
      <c r="R5315" s="12" t="n">
        <v>42</v>
      </c>
      <c r="S5315" s="12" t="inlineStr">
        <is>
          <t>Tray</t>
        </is>
      </c>
      <c r="T5315" s="15" t="n">
        <v>80</v>
      </c>
      <c r="U5315" s="15" t="n">
        <v>150</v>
      </c>
      <c r="V5315" s="15">
        <f>ROUNDUP((T5315+U5315+2*'Read Me'!$B$13)*(1+'Read Me'!$B$12),-1)</f>
        <v/>
      </c>
      <c r="W5315" s="15">
        <f>V5315*N5315*O5315</f>
        <v/>
      </c>
      <c r="X5315" s="12">
        <f>IF(LEFT(I5315,2)="MV",2*N5315*IF(L5315="1/C",O5315,1),0)</f>
        <v/>
      </c>
      <c r="Y5315" s="12">
        <f>IF(OR(LEFT(K5315,4)="LVAX",LEFT(K5315,6)="MV15AX",LEFT(K5315,4)="CTAX",LEFT(K5315,2)="W|"),2*N5315*O5315,0)</f>
        <v/>
      </c>
      <c r="Z5315" s="12" t="inlineStr">
        <is>
          <t>VD 1.9 %</t>
        </is>
      </c>
      <c r="AA5315" s="12">
        <f>N5315*O5315</f>
        <v/>
      </c>
    </row>
    <row r="5316">
      <c r="A5316" s="12" t="inlineStr">
        <is>
          <t>I-P-0148</t>
        </is>
      </c>
      <c r="B5316" s="12" t="inlineStr">
        <is>
          <t>I</t>
        </is>
      </c>
      <c r="C5316" s="12" t="inlineStr">
        <is>
          <t>Modular / portable power</t>
        </is>
      </c>
      <c r="D5316" s="12" t="inlineStr">
        <is>
          <t>Motor 5 of 5, 30 kW (VFD output)</t>
        </is>
      </c>
      <c r="E5316" s="12" t="inlineStr"/>
      <c r="F5316" s="12" t="inlineStr">
        <is>
          <t>PCM: power control module</t>
        </is>
      </c>
      <c r="G5316" s="12" t="inlineStr"/>
      <c r="H5316" s="12" t="inlineStr">
        <is>
          <t>RICE 6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150</v>
      </c>
      <c r="V5316" s="15">
        <f>ROUNDUP((T5316+U5316+2*'Read Me'!$B$13)*(1+'Read Me'!$B$12),-1)</f>
        <v/>
      </c>
      <c r="W5316" s="15">
        <f>V5316*N5316*O5316</f>
        <v/>
      </c>
      <c r="X5316" s="12">
        <f>IF(LEFT(I5316,2)="MV",2*N5316*IF(L5316="1/C",O5316,1),0)</f>
        <v/>
      </c>
      <c r="Y5316" s="12">
        <f>IF(OR(LEFT(K5316,4)="LVAX",LEFT(K5316,6)="MV15AX",LEFT(K5316,4)="CTAX",LEFT(K5316,2)="W|"),2*N5316*O5316,0)</f>
        <v/>
      </c>
      <c r="Z5316" s="12" t="inlineStr">
        <is>
          <t>VD 1.9 %</t>
        </is>
      </c>
      <c r="AA5316" s="12">
        <f>N5316*O5316</f>
        <v/>
      </c>
    </row>
    <row r="5317">
      <c r="A5317" s="12" t="inlineStr">
        <is>
          <t>I-P-0149</t>
        </is>
      </c>
      <c r="B5317" s="12" t="inlineStr">
        <is>
          <t>I</t>
        </is>
      </c>
      <c r="C5317" s="12" t="inlineStr">
        <is>
          <t>Modular / portable power</t>
        </is>
      </c>
      <c r="D5317" s="12" t="inlineStr">
        <is>
          <t>Motor 1 of 1, 15 kW</t>
        </is>
      </c>
      <c r="E5317" s="12" t="inlineStr"/>
      <c r="F5317" s="12" t="inlineStr">
        <is>
          <t>PCM: power control module</t>
        </is>
      </c>
      <c r="G5317" s="12" t="inlineStr"/>
      <c r="H5317" s="12" t="inlineStr">
        <is>
          <t>RICE 7 SCR + oxidation catalyst and stack</t>
        </is>
      </c>
      <c r="I5317" s="12" t="inlineStr">
        <is>
          <t>LV 600 V</t>
        </is>
      </c>
      <c r="J5317" s="12" t="inlineStr">
        <is>
          <t>Type TC-ER 600 V 3/C Cu XHHW-2 + ground, PVC jacket</t>
        </is>
      </c>
      <c r="K5317" s="12" t="inlineStr">
        <is>
          <t>LV|3/C+G|10</t>
        </is>
      </c>
      <c r="L5317" s="12" t="inlineStr">
        <is>
          <t>3/C+G</t>
        </is>
      </c>
      <c r="M5317" s="12" t="inlineStr">
        <is>
          <t>10</t>
        </is>
      </c>
      <c r="N5317" s="12" t="n">
        <v>1</v>
      </c>
      <c r="O5317" s="12" t="n">
        <v>1</v>
      </c>
      <c r="P5317" s="12" t="n">
        <v>480</v>
      </c>
      <c r="Q5317" s="12" t="n">
        <v>15</v>
      </c>
      <c r="R5317" s="12" t="n">
        <v>21.2</v>
      </c>
      <c r="S5317" s="12" t="inlineStr">
        <is>
          <t>Duct bank</t>
        </is>
      </c>
      <c r="T5317" s="15" t="n">
        <v>153</v>
      </c>
      <c r="U5317" s="15" t="n">
        <v>108</v>
      </c>
      <c r="V5317" s="15">
        <f>ROUNDUP((T5317+U5317+2*'Read Me'!$B$13)*(1+'Read Me'!$B$12),-1)</f>
        <v/>
      </c>
      <c r="W5317" s="15">
        <f>V5317*N5317*O5317</f>
        <v/>
      </c>
      <c r="X5317" s="12">
        <f>IF(LEFT(I5317,2)="MV",2*N5317*IF(L5317="1/C",O5317,1),0)</f>
        <v/>
      </c>
      <c r="Y5317" s="12">
        <f>IF(OR(LEFT(K5317,4)="LVAX",LEFT(K5317,6)="MV15AX",LEFT(K5317,4)="CTAX",LEFT(K5317,2)="W|"),2*N5317*O5317,0)</f>
        <v/>
      </c>
      <c r="Z5317" s="12" t="inlineStr">
        <is>
          <t>VD 2.7 %</t>
        </is>
      </c>
      <c r="AA5317" s="12">
        <f>N5317*O5317</f>
        <v/>
      </c>
    </row>
    <row r="5318">
      <c r="A5318" s="12" t="inlineStr">
        <is>
          <t>I-P-0150</t>
        </is>
      </c>
      <c r="B5318" s="12" t="inlineStr">
        <is>
          <t>I</t>
        </is>
      </c>
      <c r="C5318" s="12" t="inlineStr">
        <is>
          <t>Modular / portable power</t>
        </is>
      </c>
      <c r="D5318" s="12" t="inlineStr">
        <is>
          <t>Area / platform lighting circuit 1 (6 fixtures)</t>
        </is>
      </c>
      <c r="E5318" s="12" t="inlineStr"/>
      <c r="F5318" s="12" t="inlineStr">
        <is>
          <t>PCM: power control module</t>
        </is>
      </c>
      <c r="G5318" s="12" t="inlineStr"/>
      <c r="H5318" s="12" t="inlineStr">
        <is>
          <t>RICE 7 SCR + oxidation catalyst and stack</t>
        </is>
      </c>
      <c r="I5318" s="12" t="inlineStr">
        <is>
          <t>LV 600 V</t>
        </is>
      </c>
      <c r="J5318" s="12" t="inlineStr">
        <is>
          <t>Type TC-ER 600 V 3/C Cu XHHW-2 + ground, PVC jacket</t>
        </is>
      </c>
      <c r="K5318" s="12" t="inlineStr">
        <is>
          <t>LV|3/C+G|10</t>
        </is>
      </c>
      <c r="L5318" s="12" t="inlineStr">
        <is>
          <t>3/C+G</t>
        </is>
      </c>
      <c r="M5318" s="12" t="inlineStr">
        <is>
          <t>10</t>
        </is>
      </c>
      <c r="N5318" s="12" t="n">
        <v>1</v>
      </c>
      <c r="O5318" s="12" t="n">
        <v>1</v>
      </c>
      <c r="P5318" s="12" t="n">
        <v>480</v>
      </c>
      <c r="Q5318" s="12" t="n">
        <v>3</v>
      </c>
      <c r="R5318" s="12" t="n">
        <v>5</v>
      </c>
      <c r="S5318" s="12" t="inlineStr">
        <is>
          <t>Duct bank</t>
        </is>
      </c>
      <c r="T5318" s="15" t="n">
        <v>453</v>
      </c>
      <c r="U5318" s="15" t="n">
        <v>108</v>
      </c>
      <c r="V5318" s="15">
        <f>ROUNDUP((T5318+U5318+2*'Read Me'!$B$13)*(1+'Read Me'!$B$12),-1)</f>
        <v/>
      </c>
      <c r="W5318" s="15">
        <f>V5318*N5318*O5318</f>
        <v/>
      </c>
      <c r="X5318" s="12">
        <f>IF(LEFT(I5318,2)="MV",2*N5318*IF(L5318="1/C",O5318,1),0)</f>
        <v/>
      </c>
      <c r="Y5318" s="12">
        <f>IF(OR(LEFT(K5318,4)="LVAX",LEFT(K5318,6)="MV15AX",LEFT(K5318,4)="CTAX",LEFT(K5318,2)="W|"),2*N5318*O5318,0)</f>
        <v/>
      </c>
      <c r="Z5318" s="12" t="inlineStr">
        <is>
          <t>fixture-to-fixture run included</t>
        </is>
      </c>
      <c r="AA5318" s="12">
        <f>N5318*O5318</f>
        <v/>
      </c>
    </row>
    <row r="5319">
      <c r="A5319" s="12" t="inlineStr">
        <is>
          <t>I-P-0151</t>
        </is>
      </c>
      <c r="B5319" s="12" t="inlineStr">
        <is>
          <t>I</t>
        </is>
      </c>
      <c r="C5319" s="12" t="inlineStr">
        <is>
          <t>Modular / portable power</t>
        </is>
      </c>
      <c r="D5319" s="12" t="inlineStr">
        <is>
          <t>Motor 1 of 5, 30 kW (VFD output)</t>
        </is>
      </c>
      <c r="E5319" s="12" t="inlineStr"/>
      <c r="F5319" s="12" t="inlineStr">
        <is>
          <t>PCM: power control module</t>
        </is>
      </c>
      <c r="G5319" s="12" t="inlineStr"/>
      <c r="H5319" s="12" t="inlineStr">
        <is>
          <t>RICE 7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122</v>
      </c>
      <c r="V5319" s="15">
        <f>ROUNDUP((T5319+U5319+2*'Read Me'!$B$13)*(1+'Read Me'!$B$12),-1)</f>
        <v/>
      </c>
      <c r="W5319" s="15">
        <f>V5319*N5319*O5319</f>
        <v/>
      </c>
      <c r="X5319" s="12">
        <f>IF(LEFT(I5319,2)="MV",2*N5319*IF(L5319="1/C",O5319,1),0)</f>
        <v/>
      </c>
      <c r="Y5319" s="12">
        <f>IF(OR(LEFT(K5319,4)="LVAX",LEFT(K5319,6)="MV15AX",LEFT(K5319,4)="CTAX",LEFT(K5319,2)="W|"),2*N5319*O5319,0)</f>
        <v/>
      </c>
      <c r="Z5319" s="12" t="inlineStr">
        <is>
          <t>VD 1.7 %</t>
        </is>
      </c>
      <c r="AA5319" s="12">
        <f>N5319*O5319</f>
        <v/>
      </c>
    </row>
    <row r="5320">
      <c r="A5320" s="12" t="inlineStr">
        <is>
          <t>I-P-0152</t>
        </is>
      </c>
      <c r="B5320" s="12" t="inlineStr">
        <is>
          <t>I</t>
        </is>
      </c>
      <c r="C5320" s="12" t="inlineStr">
        <is>
          <t>Modular / portable power</t>
        </is>
      </c>
      <c r="D5320" s="12" t="inlineStr">
        <is>
          <t>Motor 2 of 5, 30 kW (VFD output)</t>
        </is>
      </c>
      <c r="E5320" s="12" t="inlineStr"/>
      <c r="F5320" s="12" t="inlineStr">
        <is>
          <t>PCM: power control module</t>
        </is>
      </c>
      <c r="G5320" s="12" t="inlineStr"/>
      <c r="H5320" s="12" t="inlineStr">
        <is>
          <t>RICE 7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122</v>
      </c>
      <c r="V5320" s="15">
        <f>ROUNDUP((T5320+U5320+2*'Read Me'!$B$13)*(1+'Read Me'!$B$12),-1)</f>
        <v/>
      </c>
      <c r="W5320" s="15">
        <f>V5320*N5320*O5320</f>
        <v/>
      </c>
      <c r="X5320" s="12">
        <f>IF(LEFT(I5320,2)="MV",2*N5320*IF(L5320="1/C",O5320,1),0)</f>
        <v/>
      </c>
      <c r="Y5320" s="12">
        <f>IF(OR(LEFT(K5320,4)="LVAX",LEFT(K5320,6)="MV15AX",LEFT(K5320,4)="CTAX",LEFT(K5320,2)="W|"),2*N5320*O5320,0)</f>
        <v/>
      </c>
      <c r="Z5320" s="12" t="inlineStr">
        <is>
          <t>VD 1.7 %</t>
        </is>
      </c>
      <c r="AA5320" s="12">
        <f>N5320*O5320</f>
        <v/>
      </c>
    </row>
    <row r="5321">
      <c r="A5321" s="12" t="inlineStr">
        <is>
          <t>I-P-0153</t>
        </is>
      </c>
      <c r="B5321" s="12" t="inlineStr">
        <is>
          <t>I</t>
        </is>
      </c>
      <c r="C5321" s="12" t="inlineStr">
        <is>
          <t>Modular / portable power</t>
        </is>
      </c>
      <c r="D5321" s="12" t="inlineStr">
        <is>
          <t>Motor 3 of 5, 30 kW (VFD output)</t>
        </is>
      </c>
      <c r="E5321" s="12" t="inlineStr"/>
      <c r="F5321" s="12" t="inlineStr">
        <is>
          <t>PCM: power control module</t>
        </is>
      </c>
      <c r="G5321" s="12" t="inlineStr"/>
      <c r="H5321" s="12" t="inlineStr">
        <is>
          <t>RICE 7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122</v>
      </c>
      <c r="V5321" s="15">
        <f>ROUNDUP((T5321+U5321+2*'Read Me'!$B$13)*(1+'Read Me'!$B$12),-1)</f>
        <v/>
      </c>
      <c r="W5321" s="15">
        <f>V5321*N5321*O5321</f>
        <v/>
      </c>
      <c r="X5321" s="12">
        <f>IF(LEFT(I5321,2)="MV",2*N5321*IF(L5321="1/C",O5321,1),0)</f>
        <v/>
      </c>
      <c r="Y5321" s="12">
        <f>IF(OR(LEFT(K5321,4)="LVAX",LEFT(K5321,6)="MV15AX",LEFT(K5321,4)="CTAX",LEFT(K5321,2)="W|"),2*N5321*O5321,0)</f>
        <v/>
      </c>
      <c r="Z5321" s="12" t="inlineStr">
        <is>
          <t>VD 1.7 %</t>
        </is>
      </c>
      <c r="AA5321" s="12">
        <f>N5321*O5321</f>
        <v/>
      </c>
    </row>
    <row r="5322">
      <c r="A5322" s="12" t="inlineStr">
        <is>
          <t>I-P-0154</t>
        </is>
      </c>
      <c r="B5322" s="12" t="inlineStr">
        <is>
          <t>I</t>
        </is>
      </c>
      <c r="C5322" s="12" t="inlineStr">
        <is>
          <t>Modular / portable power</t>
        </is>
      </c>
      <c r="D5322" s="12" t="inlineStr">
        <is>
          <t>Motor 4 of 5, 30 kW (VFD output)</t>
        </is>
      </c>
      <c r="E5322" s="12" t="inlineStr"/>
      <c r="F5322" s="12" t="inlineStr">
        <is>
          <t>PCM: power control module</t>
        </is>
      </c>
      <c r="G5322" s="12" t="inlineStr"/>
      <c r="H5322" s="12" t="inlineStr">
        <is>
          <t>RICE 7 radiators (5)</t>
        </is>
      </c>
      <c r="I5322" s="12" t="inlineStr">
        <is>
          <t>LV 600 V</t>
        </is>
      </c>
      <c r="J5322" s="12" t="inlineStr">
        <is>
          <t>VFD cable 600 V 3/C Cu XHHW-2, 3 symmetrical grounds, overall Cu tape shield, TC-ER</t>
        </is>
      </c>
      <c r="K5322" s="12" t="inlineStr">
        <is>
          <t>VFD|3/C+3G|6</t>
        </is>
      </c>
      <c r="L5322" s="12" t="inlineStr">
        <is>
          <t>3/C+3G</t>
        </is>
      </c>
      <c r="M5322" s="12" t="inlineStr">
        <is>
          <t>6</t>
        </is>
      </c>
      <c r="N5322" s="12" t="n">
        <v>1</v>
      </c>
      <c r="O5322" s="12" t="n">
        <v>1</v>
      </c>
      <c r="P5322" s="12" t="n">
        <v>480</v>
      </c>
      <c r="Q5322" s="12" t="n">
        <v>30</v>
      </c>
      <c r="R5322" s="12" t="n">
        <v>42</v>
      </c>
      <c r="S5322" s="12" t="inlineStr">
        <is>
          <t>Tray</t>
        </is>
      </c>
      <c r="T5322" s="15" t="n">
        <v>80</v>
      </c>
      <c r="U5322" s="15" t="n">
        <v>122</v>
      </c>
      <c r="V5322" s="15">
        <f>ROUNDUP((T5322+U5322+2*'Read Me'!$B$13)*(1+'Read Me'!$B$12),-1)</f>
        <v/>
      </c>
      <c r="W5322" s="15">
        <f>V5322*N5322*O5322</f>
        <v/>
      </c>
      <c r="X5322" s="12">
        <f>IF(LEFT(I5322,2)="MV",2*N5322*IF(L5322="1/C",O5322,1),0)</f>
        <v/>
      </c>
      <c r="Y5322" s="12">
        <f>IF(OR(LEFT(K5322,4)="LVAX",LEFT(K5322,6)="MV15AX",LEFT(K5322,4)="CTAX",LEFT(K5322,2)="W|"),2*N5322*O5322,0)</f>
        <v/>
      </c>
      <c r="Z5322" s="12" t="inlineStr">
        <is>
          <t>VD 1.7 %</t>
        </is>
      </c>
      <c r="AA5322" s="12">
        <f>N5322*O5322</f>
        <v/>
      </c>
    </row>
    <row r="5323">
      <c r="A5323" s="12" t="inlineStr">
        <is>
          <t>I-P-0155</t>
        </is>
      </c>
      <c r="B5323" s="12" t="inlineStr">
        <is>
          <t>I</t>
        </is>
      </c>
      <c r="C5323" s="12" t="inlineStr">
        <is>
          <t>Modular / portable power</t>
        </is>
      </c>
      <c r="D5323" s="12" t="inlineStr">
        <is>
          <t>Motor 5 of 5, 30 kW (VFD output)</t>
        </is>
      </c>
      <c r="E5323" s="12" t="inlineStr"/>
      <c r="F5323" s="12" t="inlineStr">
        <is>
          <t>PCM: power control module</t>
        </is>
      </c>
      <c r="G5323" s="12" t="inlineStr"/>
      <c r="H5323" s="12" t="inlineStr">
        <is>
          <t>RICE 7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122</v>
      </c>
      <c r="V5323" s="15">
        <f>ROUNDUP((T5323+U5323+2*'Read Me'!$B$13)*(1+'Read Me'!$B$12),-1)</f>
        <v/>
      </c>
      <c r="W5323" s="15">
        <f>V5323*N5323*O5323</f>
        <v/>
      </c>
      <c r="X5323" s="12">
        <f>IF(LEFT(I5323,2)="MV",2*N5323*IF(L5323="1/C",O5323,1),0)</f>
        <v/>
      </c>
      <c r="Y5323" s="12">
        <f>IF(OR(LEFT(K5323,4)="LVAX",LEFT(K5323,6)="MV15AX",LEFT(K5323,4)="CTAX",LEFT(K5323,2)="W|"),2*N5323*O5323,0)</f>
        <v/>
      </c>
      <c r="Z5323" s="12" t="inlineStr">
        <is>
          <t>VD 1.7 %</t>
        </is>
      </c>
      <c r="AA5323" s="12">
        <f>N5323*O5323</f>
        <v/>
      </c>
    </row>
    <row r="5324">
      <c r="A5324" s="12" t="inlineStr">
        <is>
          <t>I-P-0156</t>
        </is>
      </c>
      <c r="B5324" s="12" t="inlineStr">
        <is>
          <t>I</t>
        </is>
      </c>
      <c r="C5324" s="12" t="inlineStr">
        <is>
          <t>Modular / portable power</t>
        </is>
      </c>
      <c r="D5324" s="12" t="inlineStr">
        <is>
          <t>Motor 1 of 1, 15 kW</t>
        </is>
      </c>
      <c r="E5324" s="12" t="inlineStr"/>
      <c r="F5324" s="12" t="inlineStr">
        <is>
          <t>PCM: power control module</t>
        </is>
      </c>
      <c r="G5324" s="12" t="inlineStr"/>
      <c r="H5324" s="12" t="inlineStr">
        <is>
          <t>RICE 8 SCR + oxidation catalyst and stack</t>
        </is>
      </c>
      <c r="I5324" s="12" t="inlineStr">
        <is>
          <t>LV 600 V</t>
        </is>
      </c>
      <c r="J5324" s="12" t="inlineStr">
        <is>
          <t>Type TC-ER 600 V 3/C Cu XHHW-2 + ground, PVC jacket</t>
        </is>
      </c>
      <c r="K5324" s="12" t="inlineStr">
        <is>
          <t>LV|3/C+G|10</t>
        </is>
      </c>
      <c r="L5324" s="12" t="inlineStr">
        <is>
          <t>3/C+G</t>
        </is>
      </c>
      <c r="M5324" s="12" t="inlineStr">
        <is>
          <t>10</t>
        </is>
      </c>
      <c r="N5324" s="12" t="n">
        <v>1</v>
      </c>
      <c r="O5324" s="12" t="n">
        <v>1</v>
      </c>
      <c r="P5324" s="12" t="n">
        <v>480</v>
      </c>
      <c r="Q5324" s="12" t="n">
        <v>15</v>
      </c>
      <c r="R5324" s="12" t="n">
        <v>21.2</v>
      </c>
      <c r="S5324" s="12" t="inlineStr">
        <is>
          <t>Duct bank</t>
        </is>
      </c>
      <c r="T5324" s="15" t="n">
        <v>104</v>
      </c>
      <c r="U5324" s="15" t="n">
        <v>104</v>
      </c>
      <c r="V5324" s="15">
        <f>ROUNDUP((T5324+U5324+2*'Read Me'!$B$13)*(1+'Read Me'!$B$12),-1)</f>
        <v/>
      </c>
      <c r="W5324" s="15">
        <f>V5324*N5324*O5324</f>
        <v/>
      </c>
      <c r="X5324" s="12">
        <f>IF(LEFT(I5324,2)="MV",2*N5324*IF(L5324="1/C",O5324,1),0)</f>
        <v/>
      </c>
      <c r="Y5324" s="12">
        <f>IF(OR(LEFT(K5324,4)="LVAX",LEFT(K5324,6)="MV15AX",LEFT(K5324,4)="CTAX",LEFT(K5324,2)="W|"),2*N5324*O5324,0)</f>
        <v/>
      </c>
      <c r="Z5324" s="12" t="inlineStr">
        <is>
          <t>VD 2.1 %</t>
        </is>
      </c>
      <c r="AA5324" s="12">
        <f>N5324*O5324</f>
        <v/>
      </c>
    </row>
    <row r="5325">
      <c r="A5325" s="12" t="inlineStr">
        <is>
          <t>I-P-0157</t>
        </is>
      </c>
      <c r="B5325" s="12" t="inlineStr">
        <is>
          <t>I</t>
        </is>
      </c>
      <c r="C5325" s="12" t="inlineStr">
        <is>
          <t>Modular / portable power</t>
        </is>
      </c>
      <c r="D5325" s="12" t="inlineStr">
        <is>
          <t>Area / platform lighting circuit 1 (6 fixtures)</t>
        </is>
      </c>
      <c r="E5325" s="12" t="inlineStr"/>
      <c r="F5325" s="12" t="inlineStr">
        <is>
          <t>PCM: power control module</t>
        </is>
      </c>
      <c r="G5325" s="12" t="inlineStr"/>
      <c r="H5325" s="12" t="inlineStr">
        <is>
          <t>RICE 8 SCR + oxidation catalyst and stack</t>
        </is>
      </c>
      <c r="I5325" s="12" t="inlineStr">
        <is>
          <t>LV 600 V</t>
        </is>
      </c>
      <c r="J5325" s="12" t="inlineStr">
        <is>
          <t>Type TC-ER 600 V 3/C Cu XHHW-2 + ground, PVC jacket</t>
        </is>
      </c>
      <c r="K5325" s="12" t="inlineStr">
        <is>
          <t>LV|3/C+G|10</t>
        </is>
      </c>
      <c r="L5325" s="12" t="inlineStr">
        <is>
          <t>3/C+G</t>
        </is>
      </c>
      <c r="M5325" s="12" t="inlineStr">
        <is>
          <t>10</t>
        </is>
      </c>
      <c r="N5325" s="12" t="n">
        <v>1</v>
      </c>
      <c r="O5325" s="12" t="n">
        <v>1</v>
      </c>
      <c r="P5325" s="12" t="n">
        <v>480</v>
      </c>
      <c r="Q5325" s="12" t="n">
        <v>3</v>
      </c>
      <c r="R5325" s="12" t="n">
        <v>5</v>
      </c>
      <c r="S5325" s="12" t="inlineStr">
        <is>
          <t>Duct bank</t>
        </is>
      </c>
      <c r="T5325" s="15" t="n">
        <v>404</v>
      </c>
      <c r="U5325" s="15" t="n">
        <v>104</v>
      </c>
      <c r="V5325" s="15">
        <f>ROUNDUP((T5325+U5325+2*'Read Me'!$B$13)*(1+'Read Me'!$B$12),-1)</f>
        <v/>
      </c>
      <c r="W5325" s="15">
        <f>V5325*N5325*O5325</f>
        <v/>
      </c>
      <c r="X5325" s="12">
        <f>IF(LEFT(I5325,2)="MV",2*N5325*IF(L5325="1/C",O5325,1),0)</f>
        <v/>
      </c>
      <c r="Y5325" s="12">
        <f>IF(OR(LEFT(K5325,4)="LVAX",LEFT(K5325,6)="MV15AX",LEFT(K5325,4)="CTAX",LEFT(K5325,2)="W|"),2*N5325*O5325,0)</f>
        <v/>
      </c>
      <c r="Z5325" s="12" t="inlineStr">
        <is>
          <t>fixture-to-fixture run included</t>
        </is>
      </c>
      <c r="AA5325" s="12">
        <f>N5325*O5325</f>
        <v/>
      </c>
    </row>
    <row r="5326">
      <c r="A5326" s="12" t="inlineStr">
        <is>
          <t>I-P-0158</t>
        </is>
      </c>
      <c r="B5326" s="12" t="inlineStr">
        <is>
          <t>I</t>
        </is>
      </c>
      <c r="C5326" s="12" t="inlineStr">
        <is>
          <t>Modular / portable power</t>
        </is>
      </c>
      <c r="D5326" s="12" t="inlineStr">
        <is>
          <t>Motor 1 of 5, 30 kW (VFD output)</t>
        </is>
      </c>
      <c r="E5326" s="12" t="inlineStr"/>
      <c r="F5326" s="12" t="inlineStr">
        <is>
          <t>PCM: power control module</t>
        </is>
      </c>
      <c r="G5326" s="12" t="inlineStr"/>
      <c r="H5326" s="12" t="inlineStr">
        <is>
          <t>RICE 8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94</v>
      </c>
      <c r="V5326" s="15">
        <f>ROUNDUP((T5326+U5326+2*'Read Me'!$B$13)*(1+'Read Me'!$B$12),-1)</f>
        <v/>
      </c>
      <c r="W5326" s="15">
        <f>V5326*N5326*O5326</f>
        <v/>
      </c>
      <c r="X5326" s="12">
        <f>IF(LEFT(I5326,2)="MV",2*N5326*IF(L5326="1/C",O5326,1),0)</f>
        <v/>
      </c>
      <c r="Y5326" s="12">
        <f>IF(OR(LEFT(K5326,4)="LVAX",LEFT(K5326,6)="MV15AX",LEFT(K5326,4)="CTAX",LEFT(K5326,2)="W|"),2*N5326*O5326,0)</f>
        <v/>
      </c>
      <c r="Z5326" s="12" t="inlineStr">
        <is>
          <t>VD 1.4 %</t>
        </is>
      </c>
      <c r="AA5326" s="12">
        <f>N5326*O5326</f>
        <v/>
      </c>
    </row>
    <row r="5327">
      <c r="A5327" s="12" t="inlineStr">
        <is>
          <t>I-P-0159</t>
        </is>
      </c>
      <c r="B5327" s="12" t="inlineStr">
        <is>
          <t>I</t>
        </is>
      </c>
      <c r="C5327" s="12" t="inlineStr">
        <is>
          <t>Modular / portable power</t>
        </is>
      </c>
      <c r="D5327" s="12" t="inlineStr">
        <is>
          <t>Motor 2 of 5, 30 kW (VFD output)</t>
        </is>
      </c>
      <c r="E5327" s="12" t="inlineStr"/>
      <c r="F5327" s="12" t="inlineStr">
        <is>
          <t>PCM: power control module</t>
        </is>
      </c>
      <c r="G5327" s="12" t="inlineStr"/>
      <c r="H5327" s="12" t="inlineStr">
        <is>
          <t>RICE 8 radiators (5)</t>
        </is>
      </c>
      <c r="I5327" s="12" t="inlineStr">
        <is>
          <t>LV 600 V</t>
        </is>
      </c>
      <c r="J5327" s="12" t="inlineStr">
        <is>
          <t>VFD cable 600 V 3/C Cu XHHW-2, 3 symmetrical grounds, overall Cu tape shield, TC-ER</t>
        </is>
      </c>
      <c r="K5327" s="12" t="inlineStr">
        <is>
          <t>VFD|3/C+3G|6</t>
        </is>
      </c>
      <c r="L5327" s="12" t="inlineStr">
        <is>
          <t>3/C+3G</t>
        </is>
      </c>
      <c r="M5327" s="12" t="inlineStr">
        <is>
          <t>6</t>
        </is>
      </c>
      <c r="N5327" s="12" t="n">
        <v>1</v>
      </c>
      <c r="O5327" s="12" t="n">
        <v>1</v>
      </c>
      <c r="P5327" s="12" t="n">
        <v>480</v>
      </c>
      <c r="Q5327" s="12" t="n">
        <v>30</v>
      </c>
      <c r="R5327" s="12" t="n">
        <v>42</v>
      </c>
      <c r="S5327" s="12" t="inlineStr">
        <is>
          <t>Tray</t>
        </is>
      </c>
      <c r="T5327" s="15" t="n">
        <v>80</v>
      </c>
      <c r="U5327" s="15" t="n">
        <v>94</v>
      </c>
      <c r="V5327" s="15">
        <f>ROUNDUP((T5327+U5327+2*'Read Me'!$B$13)*(1+'Read Me'!$B$12),-1)</f>
        <v/>
      </c>
      <c r="W5327" s="15">
        <f>V5327*N5327*O5327</f>
        <v/>
      </c>
      <c r="X5327" s="12">
        <f>IF(LEFT(I5327,2)="MV",2*N5327*IF(L5327="1/C",O5327,1),0)</f>
        <v/>
      </c>
      <c r="Y5327" s="12">
        <f>IF(OR(LEFT(K5327,4)="LVAX",LEFT(K5327,6)="MV15AX",LEFT(K5327,4)="CTAX",LEFT(K5327,2)="W|"),2*N5327*O5327,0)</f>
        <v/>
      </c>
      <c r="Z5327" s="12" t="inlineStr">
        <is>
          <t>VD 1.4 %</t>
        </is>
      </c>
      <c r="AA5327" s="12">
        <f>N5327*O5327</f>
        <v/>
      </c>
    </row>
    <row r="5328">
      <c r="A5328" s="12" t="inlineStr">
        <is>
          <t>I-P-0160</t>
        </is>
      </c>
      <c r="B5328" s="12" t="inlineStr">
        <is>
          <t>I</t>
        </is>
      </c>
      <c r="C5328" s="12" t="inlineStr">
        <is>
          <t>Modular / portable power</t>
        </is>
      </c>
      <c r="D5328" s="12" t="inlineStr">
        <is>
          <t>Motor 3 of 5, 30 kW (VFD output)</t>
        </is>
      </c>
      <c r="E5328" s="12" t="inlineStr"/>
      <c r="F5328" s="12" t="inlineStr">
        <is>
          <t>PCM: power control module</t>
        </is>
      </c>
      <c r="G5328" s="12" t="inlineStr"/>
      <c r="H5328" s="12" t="inlineStr">
        <is>
          <t>RICE 8 radiators (5)</t>
        </is>
      </c>
      <c r="I5328" s="12" t="inlineStr">
        <is>
          <t>LV 600 V</t>
        </is>
      </c>
      <c r="J5328" s="12" t="inlineStr">
        <is>
          <t>VFD cable 600 V 3/C Cu XHHW-2, 3 symmetrical grounds, overall Cu tape shield, TC-ER</t>
        </is>
      </c>
      <c r="K5328" s="12" t="inlineStr">
        <is>
          <t>VFD|3/C+3G|6</t>
        </is>
      </c>
      <c r="L5328" s="12" t="inlineStr">
        <is>
          <t>3/C+3G</t>
        </is>
      </c>
      <c r="M5328" s="12" t="inlineStr">
        <is>
          <t>6</t>
        </is>
      </c>
      <c r="N5328" s="12" t="n">
        <v>1</v>
      </c>
      <c r="O5328" s="12" t="n">
        <v>1</v>
      </c>
      <c r="P5328" s="12" t="n">
        <v>480</v>
      </c>
      <c r="Q5328" s="12" t="n">
        <v>30</v>
      </c>
      <c r="R5328" s="12" t="n">
        <v>42</v>
      </c>
      <c r="S5328" s="12" t="inlineStr">
        <is>
          <t>Tray</t>
        </is>
      </c>
      <c r="T5328" s="15" t="n">
        <v>80</v>
      </c>
      <c r="U5328" s="15" t="n">
        <v>94</v>
      </c>
      <c r="V5328" s="15">
        <f>ROUNDUP((T5328+U5328+2*'Read Me'!$B$13)*(1+'Read Me'!$B$12),-1)</f>
        <v/>
      </c>
      <c r="W5328" s="15">
        <f>V5328*N5328*O5328</f>
        <v/>
      </c>
      <c r="X5328" s="12">
        <f>IF(LEFT(I5328,2)="MV",2*N5328*IF(L5328="1/C",O5328,1),0)</f>
        <v/>
      </c>
      <c r="Y5328" s="12">
        <f>IF(OR(LEFT(K5328,4)="LVAX",LEFT(K5328,6)="MV15AX",LEFT(K5328,4)="CTAX",LEFT(K5328,2)="W|"),2*N5328*O5328,0)</f>
        <v/>
      </c>
      <c r="Z5328" s="12" t="inlineStr">
        <is>
          <t>VD 1.4 %</t>
        </is>
      </c>
      <c r="AA5328" s="12">
        <f>N5328*O5328</f>
        <v/>
      </c>
    </row>
    <row r="5329">
      <c r="A5329" s="12" t="inlineStr">
        <is>
          <t>I-P-0161</t>
        </is>
      </c>
      <c r="B5329" s="12" t="inlineStr">
        <is>
          <t>I</t>
        </is>
      </c>
      <c r="C5329" s="12" t="inlineStr">
        <is>
          <t>Modular / portable power</t>
        </is>
      </c>
      <c r="D5329" s="12" t="inlineStr">
        <is>
          <t>Motor 4 of 5, 30 kW (VFD output)</t>
        </is>
      </c>
      <c r="E5329" s="12" t="inlineStr"/>
      <c r="F5329" s="12" t="inlineStr">
        <is>
          <t>PCM: power control module</t>
        </is>
      </c>
      <c r="G5329" s="12" t="inlineStr"/>
      <c r="H5329" s="12" t="inlineStr">
        <is>
          <t>RICE 8 radiators (5)</t>
        </is>
      </c>
      <c r="I5329" s="12" t="inlineStr">
        <is>
          <t>LV 600 V</t>
        </is>
      </c>
      <c r="J5329" s="12" t="inlineStr">
        <is>
          <t>VFD cable 600 V 3/C Cu XHHW-2, 3 symmetrical grounds, overall Cu tape shield, TC-ER</t>
        </is>
      </c>
      <c r="K5329" s="12" t="inlineStr">
        <is>
          <t>VFD|3/C+3G|6</t>
        </is>
      </c>
      <c r="L5329" s="12" t="inlineStr">
        <is>
          <t>3/C+3G</t>
        </is>
      </c>
      <c r="M5329" s="12" t="inlineStr">
        <is>
          <t>6</t>
        </is>
      </c>
      <c r="N5329" s="12" t="n">
        <v>1</v>
      </c>
      <c r="O5329" s="12" t="n">
        <v>1</v>
      </c>
      <c r="P5329" s="12" t="n">
        <v>480</v>
      </c>
      <c r="Q5329" s="12" t="n">
        <v>30</v>
      </c>
      <c r="R5329" s="12" t="n">
        <v>42</v>
      </c>
      <c r="S5329" s="12" t="inlineStr">
        <is>
          <t>Tray</t>
        </is>
      </c>
      <c r="T5329" s="15" t="n">
        <v>80</v>
      </c>
      <c r="U5329" s="15" t="n">
        <v>94</v>
      </c>
      <c r="V5329" s="15">
        <f>ROUNDUP((T5329+U5329+2*'Read Me'!$B$13)*(1+'Read Me'!$B$12),-1)</f>
        <v/>
      </c>
      <c r="W5329" s="15">
        <f>V5329*N5329*O5329</f>
        <v/>
      </c>
      <c r="X5329" s="12">
        <f>IF(LEFT(I5329,2)="MV",2*N5329*IF(L5329="1/C",O5329,1),0)</f>
        <v/>
      </c>
      <c r="Y5329" s="12">
        <f>IF(OR(LEFT(K5329,4)="LVAX",LEFT(K5329,6)="MV15AX",LEFT(K5329,4)="CTAX",LEFT(K5329,2)="W|"),2*N5329*O5329,0)</f>
        <v/>
      </c>
      <c r="Z5329" s="12" t="inlineStr">
        <is>
          <t>VD 1.4 %</t>
        </is>
      </c>
      <c r="AA5329" s="12">
        <f>N5329*O5329</f>
        <v/>
      </c>
    </row>
    <row r="5330">
      <c r="A5330" s="12" t="inlineStr">
        <is>
          <t>I-P-0162</t>
        </is>
      </c>
      <c r="B5330" s="12" t="inlineStr">
        <is>
          <t>I</t>
        </is>
      </c>
      <c r="C5330" s="12" t="inlineStr">
        <is>
          <t>Modular / portable power</t>
        </is>
      </c>
      <c r="D5330" s="12" t="inlineStr">
        <is>
          <t>Motor 5 of 5, 30 kW (VFD output)</t>
        </is>
      </c>
      <c r="E5330" s="12" t="inlineStr"/>
      <c r="F5330" s="12" t="inlineStr">
        <is>
          <t>PCM: power control module</t>
        </is>
      </c>
      <c r="G5330" s="12" t="inlineStr"/>
      <c r="H5330" s="12" t="inlineStr">
        <is>
          <t>RICE 8 radiators (5)</t>
        </is>
      </c>
      <c r="I5330" s="12" t="inlineStr">
        <is>
          <t>LV 600 V</t>
        </is>
      </c>
      <c r="J5330" s="12" t="inlineStr">
        <is>
          <t>VFD cable 600 V 3/C Cu XHHW-2, 3 symmetrical grounds, overall Cu tape shield, TC-ER</t>
        </is>
      </c>
      <c r="K5330" s="12" t="inlineStr">
        <is>
          <t>VFD|3/C+3G|6</t>
        </is>
      </c>
      <c r="L5330" s="12" t="inlineStr">
        <is>
          <t>3/C+3G</t>
        </is>
      </c>
      <c r="M5330" s="12" t="inlineStr">
        <is>
          <t>6</t>
        </is>
      </c>
      <c r="N5330" s="12" t="n">
        <v>1</v>
      </c>
      <c r="O5330" s="12" t="n">
        <v>1</v>
      </c>
      <c r="P5330" s="12" t="n">
        <v>480</v>
      </c>
      <c r="Q5330" s="12" t="n">
        <v>30</v>
      </c>
      <c r="R5330" s="12" t="n">
        <v>42</v>
      </c>
      <c r="S5330" s="12" t="inlineStr">
        <is>
          <t>Tray</t>
        </is>
      </c>
      <c r="T5330" s="15" t="n">
        <v>80</v>
      </c>
      <c r="U5330" s="15" t="n">
        <v>94</v>
      </c>
      <c r="V5330" s="15">
        <f>ROUNDUP((T5330+U5330+2*'Read Me'!$B$13)*(1+'Read Me'!$B$12),-1)</f>
        <v/>
      </c>
      <c r="W5330" s="15">
        <f>V5330*N5330*O5330</f>
        <v/>
      </c>
      <c r="X5330" s="12">
        <f>IF(LEFT(I5330,2)="MV",2*N5330*IF(L5330="1/C",O5330,1),0)</f>
        <v/>
      </c>
      <c r="Y5330" s="12">
        <f>IF(OR(LEFT(K5330,4)="LVAX",LEFT(K5330,6)="MV15AX",LEFT(K5330,4)="CTAX",LEFT(K5330,2)="W|"),2*N5330*O5330,0)</f>
        <v/>
      </c>
      <c r="Z5330" s="12" t="inlineStr">
        <is>
          <t>VD 1.4 %</t>
        </is>
      </c>
      <c r="AA5330" s="12">
        <f>N5330*O5330</f>
        <v/>
      </c>
    </row>
    <row r="5331">
      <c r="A5331" s="12" t="inlineStr">
        <is>
          <t>I-P-0163</t>
        </is>
      </c>
      <c r="B5331" s="12" t="inlineStr">
        <is>
          <t>I</t>
        </is>
      </c>
      <c r="C5331" s="12" t="inlineStr">
        <is>
          <t>Modular / portable power</t>
        </is>
      </c>
      <c r="D5331" s="12" t="inlineStr">
        <is>
          <t>LV panel / distribution feeder</t>
        </is>
      </c>
      <c r="E5331" s="12" t="inlineStr"/>
      <c r="F5331" s="12" t="inlineStr">
        <is>
          <t>PCM: power control module</t>
        </is>
      </c>
      <c r="G5331" s="12" t="inlineStr"/>
      <c r="H5331" s="12" t="inlineStr">
        <is>
          <t>RICE CEMS</t>
        </is>
      </c>
      <c r="I5331" s="12" t="inlineStr">
        <is>
          <t>LV 600 V</t>
        </is>
      </c>
      <c r="J5331" s="12" t="inlineStr">
        <is>
          <t>Type TC-ER 600 V 3/C Cu XHHW-2 + ground, PVC jacket</t>
        </is>
      </c>
      <c r="K5331" s="12" t="inlineStr">
        <is>
          <t>LV|3/C+G|6</t>
        </is>
      </c>
      <c r="L5331" s="12" t="inlineStr">
        <is>
          <t>3/C+G</t>
        </is>
      </c>
      <c r="M5331" s="12" t="inlineStr">
        <is>
          <t>6</t>
        </is>
      </c>
      <c r="N5331" s="12" t="n">
        <v>1</v>
      </c>
      <c r="O5331" s="12" t="n">
        <v>1</v>
      </c>
      <c r="P5331" s="12" t="n">
        <v>480</v>
      </c>
      <c r="Q5331" s="12" t="n">
        <v>30</v>
      </c>
      <c r="R5331" s="12" t="n">
        <v>42.5</v>
      </c>
      <c r="S5331" s="12" t="inlineStr">
        <is>
          <t>Duct bank</t>
        </is>
      </c>
      <c r="T5331" s="15" t="n">
        <v>153</v>
      </c>
      <c r="U5331" s="15" t="n">
        <v>32</v>
      </c>
      <c r="V5331" s="15">
        <f>ROUNDUP((T5331+U5331+2*'Read Me'!$B$13)*(1+'Read Me'!$B$12),-1)</f>
        <v/>
      </c>
      <c r="W5331" s="15">
        <f>V5331*N5331*O5331</f>
        <v/>
      </c>
      <c r="X5331" s="12">
        <f>IF(LEFT(I5331,2)="MV",2*N5331*IF(L5331="1/C",O5331,1),0)</f>
        <v/>
      </c>
      <c r="Y5331" s="12">
        <f>IF(OR(LEFT(K5331,4)="LVAX",LEFT(K5331,6)="MV15AX",LEFT(K5331,4)="CTAX",LEFT(K5331,2)="W|"),2*N5331*O5331,0)</f>
        <v/>
      </c>
      <c r="Z5331" s="12" t="inlineStr">
        <is>
          <t>VD 1.5 %</t>
        </is>
      </c>
      <c r="AA5331" s="12">
        <f>N5331*O5331</f>
        <v/>
      </c>
    </row>
    <row r="5332">
      <c r="A5332" s="12" t="inlineStr">
        <is>
          <t>I-P-0164</t>
        </is>
      </c>
      <c r="B5332" s="12" t="inlineStr">
        <is>
          <t>I</t>
        </is>
      </c>
      <c r="C5332" s="12" t="inlineStr">
        <is>
          <t>Modular / portable power</t>
        </is>
      </c>
      <c r="D5332" s="12" t="inlineStr">
        <is>
          <t>LV power feeder</t>
        </is>
      </c>
      <c r="E5332" s="12" t="inlineStr"/>
      <c r="F5332" s="12" t="inlineStr">
        <is>
          <t>PCM: power control module</t>
        </is>
      </c>
      <c r="G5332" s="12" t="inlineStr">
        <is>
          <t>RICE</t>
        </is>
      </c>
      <c r="H5332" s="12" t="inlineStr">
        <is>
          <t>RICE engine hall (8 engines)</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15</v>
      </c>
      <c r="R5332" s="12" t="n">
        <v>21.2</v>
      </c>
      <c r="S5332" s="12" t="inlineStr">
        <is>
          <t>Duct bank</t>
        </is>
      </c>
      <c r="T5332" s="15" t="n">
        <v>26</v>
      </c>
      <c r="U5332" s="15" t="n">
        <v>83</v>
      </c>
      <c r="V5332" s="15">
        <f>ROUNDUP((T5332+U5332+2*'Read Me'!$B$13)*(1+'Read Me'!$B$12),-1)</f>
        <v/>
      </c>
      <c r="W5332" s="15">
        <f>V5332*N5332*O5332</f>
        <v/>
      </c>
      <c r="X5332" s="12">
        <f>IF(LEFT(I5332,2)="MV",2*N5332*IF(L5332="1/C",O5332,1),0)</f>
        <v/>
      </c>
      <c r="Y5332" s="12">
        <f>IF(OR(LEFT(K5332,4)="LVAX",LEFT(K5332,6)="MV15AX",LEFT(K5332,4)="CTAX",LEFT(K5332,2)="W|"),2*N5332*O5332,0)</f>
        <v/>
      </c>
      <c r="Z5332" s="12" t="inlineStr">
        <is>
          <t>VD 1.1 %</t>
        </is>
      </c>
      <c r="AA5332" s="12">
        <f>N5332*O5332</f>
        <v/>
      </c>
    </row>
    <row r="5333">
      <c r="A5333" s="12" t="inlineStr">
        <is>
          <t>I-P-0165</t>
        </is>
      </c>
      <c r="B5333" s="12" t="inlineStr">
        <is>
          <t>I</t>
        </is>
      </c>
      <c r="C5333" s="12" t="inlineStr">
        <is>
          <t>Modular / portable power</t>
        </is>
      </c>
      <c r="D5333" s="12" t="inlineStr">
        <is>
          <t>Motor 1 of 6, 22 kW</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LV|3/C+G|4</t>
        </is>
      </c>
      <c r="L5333" s="12" t="inlineStr">
        <is>
          <t>3/C+G</t>
        </is>
      </c>
      <c r="M5333" s="12" t="inlineStr">
        <is>
          <t>4</t>
        </is>
      </c>
      <c r="N5333" s="12" t="n">
        <v>1</v>
      </c>
      <c r="O5333" s="12" t="n">
        <v>1</v>
      </c>
      <c r="P5333" s="12" t="n">
        <v>480</v>
      </c>
      <c r="Q5333" s="12" t="n">
        <v>22</v>
      </c>
      <c r="R5333" s="12" t="n">
        <v>31.1</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2.5 %</t>
        </is>
      </c>
      <c r="AA5333" s="12">
        <f>N5333*O5333</f>
        <v/>
      </c>
    </row>
    <row r="5334">
      <c r="A5334" s="12" t="inlineStr">
        <is>
          <t>I-P-0166</t>
        </is>
      </c>
      <c r="B5334" s="12" t="inlineStr">
        <is>
          <t>I</t>
        </is>
      </c>
      <c r="C5334" s="12" t="inlineStr">
        <is>
          <t>Modular / portable power</t>
        </is>
      </c>
      <c r="D5334" s="12" t="inlineStr">
        <is>
          <t>Motor 2 of 6, 22 kW</t>
        </is>
      </c>
      <c r="E5334" s="12" t="inlineStr"/>
      <c r="F5334" s="12" t="inlineStr">
        <is>
          <t>PCM: power control module</t>
        </is>
      </c>
      <c r="G5334" s="12" t="inlineStr">
        <is>
          <t>RICE-1</t>
        </is>
      </c>
      <c r="H5334" s="12" t="inlineStr">
        <is>
          <t>RICE engine-generator 1</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137</v>
      </c>
      <c r="V5334" s="15">
        <f>ROUNDUP((T5334+U5334+2*'Read Me'!$B$13)*(1+'Read Me'!$B$12),-1)</f>
        <v/>
      </c>
      <c r="W5334" s="15">
        <f>V5334*N5334*O5334</f>
        <v/>
      </c>
      <c r="X5334" s="12">
        <f>IF(LEFT(I5334,2)="MV",2*N5334*IF(L5334="1/C",O5334,1),0)</f>
        <v/>
      </c>
      <c r="Y5334" s="12">
        <f>IF(OR(LEFT(K5334,4)="LVAX",LEFT(K5334,6)="MV15AX",LEFT(K5334,4)="CTAX",LEFT(K5334,2)="W|"),2*N5334*O5334,0)</f>
        <v/>
      </c>
      <c r="Z5334" s="12" t="inlineStr">
        <is>
          <t>VD 2.5 %</t>
        </is>
      </c>
      <c r="AA5334" s="12">
        <f>N5334*O5334</f>
        <v/>
      </c>
    </row>
    <row r="5335">
      <c r="A5335" s="12" t="inlineStr">
        <is>
          <t>I-P-0167</t>
        </is>
      </c>
      <c r="B5335" s="12" t="inlineStr">
        <is>
          <t>I</t>
        </is>
      </c>
      <c r="C5335" s="12" t="inlineStr">
        <is>
          <t>Modular / portable power</t>
        </is>
      </c>
      <c r="D5335" s="12" t="inlineStr">
        <is>
          <t>Motor 3 of 6, 22 kW</t>
        </is>
      </c>
      <c r="E5335" s="12" t="inlineStr"/>
      <c r="F5335" s="12" t="inlineStr">
        <is>
          <t>PCM: power control module</t>
        </is>
      </c>
      <c r="G5335" s="12" t="inlineStr">
        <is>
          <t>RICE-1</t>
        </is>
      </c>
      <c r="H5335" s="12" t="inlineStr">
        <is>
          <t>RICE engine-generator 1</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137</v>
      </c>
      <c r="V5335" s="15">
        <f>ROUNDUP((T5335+U5335+2*'Read Me'!$B$13)*(1+'Read Me'!$B$12),-1)</f>
        <v/>
      </c>
      <c r="W5335" s="15">
        <f>V5335*N5335*O5335</f>
        <v/>
      </c>
      <c r="X5335" s="12">
        <f>IF(LEFT(I5335,2)="MV",2*N5335*IF(L5335="1/C",O5335,1),0)</f>
        <v/>
      </c>
      <c r="Y5335" s="12">
        <f>IF(OR(LEFT(K5335,4)="LVAX",LEFT(K5335,6)="MV15AX",LEFT(K5335,4)="CTAX",LEFT(K5335,2)="W|"),2*N5335*O5335,0)</f>
        <v/>
      </c>
      <c r="Z5335" s="12" t="inlineStr">
        <is>
          <t>VD 2.5 %</t>
        </is>
      </c>
      <c r="AA5335" s="12">
        <f>N5335*O5335</f>
        <v/>
      </c>
    </row>
    <row r="5336">
      <c r="A5336" s="12" t="inlineStr">
        <is>
          <t>I-P-0168</t>
        </is>
      </c>
      <c r="B5336" s="12" t="inlineStr">
        <is>
          <t>I</t>
        </is>
      </c>
      <c r="C5336" s="12" t="inlineStr">
        <is>
          <t>Modular / portable power</t>
        </is>
      </c>
      <c r="D5336" s="12" t="inlineStr">
        <is>
          <t>Motor 4 of 6, 22 kW</t>
        </is>
      </c>
      <c r="E5336" s="12" t="inlineStr"/>
      <c r="F5336" s="12" t="inlineStr">
        <is>
          <t>PCM: power control module</t>
        </is>
      </c>
      <c r="G5336" s="12" t="inlineStr">
        <is>
          <t>RICE-1</t>
        </is>
      </c>
      <c r="H5336" s="12" t="inlineStr">
        <is>
          <t>RICE engine-generator 1</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137</v>
      </c>
      <c r="V5336" s="15">
        <f>ROUNDUP((T5336+U5336+2*'Read Me'!$B$13)*(1+'Read Me'!$B$12),-1)</f>
        <v/>
      </c>
      <c r="W5336" s="15">
        <f>V5336*N5336*O5336</f>
        <v/>
      </c>
      <c r="X5336" s="12">
        <f>IF(LEFT(I5336,2)="MV",2*N5336*IF(L5336="1/C",O5336,1),0)</f>
        <v/>
      </c>
      <c r="Y5336" s="12">
        <f>IF(OR(LEFT(K5336,4)="LVAX",LEFT(K5336,6)="MV15AX",LEFT(K5336,4)="CTAX",LEFT(K5336,2)="W|"),2*N5336*O5336,0)</f>
        <v/>
      </c>
      <c r="Z5336" s="12" t="inlineStr">
        <is>
          <t>VD 2.5 %</t>
        </is>
      </c>
      <c r="AA5336" s="12">
        <f>N5336*O5336</f>
        <v/>
      </c>
    </row>
    <row r="5337">
      <c r="A5337" s="12" t="inlineStr">
        <is>
          <t>I-P-0169</t>
        </is>
      </c>
      <c r="B5337" s="12" t="inlineStr">
        <is>
          <t>I</t>
        </is>
      </c>
      <c r="C5337" s="12" t="inlineStr">
        <is>
          <t>Modular / portable power</t>
        </is>
      </c>
      <c r="D5337" s="12" t="inlineStr">
        <is>
          <t>Motor 5 of 6, 22 kW</t>
        </is>
      </c>
      <c r="E5337" s="12" t="inlineStr"/>
      <c r="F5337" s="12" t="inlineStr">
        <is>
          <t>PCM: power control module</t>
        </is>
      </c>
      <c r="G5337" s="12" t="inlineStr">
        <is>
          <t>RICE-1</t>
        </is>
      </c>
      <c r="H5337" s="12" t="inlineStr">
        <is>
          <t>RICE engine-generator 1</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137</v>
      </c>
      <c r="V5337" s="15">
        <f>ROUNDUP((T5337+U5337+2*'Read Me'!$B$13)*(1+'Read Me'!$B$12),-1)</f>
        <v/>
      </c>
      <c r="W5337" s="15">
        <f>V5337*N5337*O5337</f>
        <v/>
      </c>
      <c r="X5337" s="12">
        <f>IF(LEFT(I5337,2)="MV",2*N5337*IF(L5337="1/C",O5337,1),0)</f>
        <v/>
      </c>
      <c r="Y5337" s="12">
        <f>IF(OR(LEFT(K5337,4)="LVAX",LEFT(K5337,6)="MV15AX",LEFT(K5337,4)="CTAX",LEFT(K5337,2)="W|"),2*N5337*O5337,0)</f>
        <v/>
      </c>
      <c r="Z5337" s="12" t="inlineStr">
        <is>
          <t>VD 2.5 %</t>
        </is>
      </c>
      <c r="AA5337" s="12">
        <f>N5337*O5337</f>
        <v/>
      </c>
    </row>
    <row r="5338">
      <c r="A5338" s="12" t="inlineStr">
        <is>
          <t>I-P-0170</t>
        </is>
      </c>
      <c r="B5338" s="12" t="inlineStr">
        <is>
          <t>I</t>
        </is>
      </c>
      <c r="C5338" s="12" t="inlineStr">
        <is>
          <t>Modular / portable power</t>
        </is>
      </c>
      <c r="D5338" s="12" t="inlineStr">
        <is>
          <t>Motor 6 of 6, 22 kW</t>
        </is>
      </c>
      <c r="E5338" s="12" t="inlineStr"/>
      <c r="F5338" s="12" t="inlineStr">
        <is>
          <t>PCM: power control module</t>
        </is>
      </c>
      <c r="G5338" s="12" t="inlineStr">
        <is>
          <t>RICE-1</t>
        </is>
      </c>
      <c r="H5338" s="12" t="inlineStr">
        <is>
          <t>RICE engine-generator 1</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137</v>
      </c>
      <c r="V5338" s="15">
        <f>ROUNDUP((T5338+U5338+2*'Read Me'!$B$13)*(1+'Read Me'!$B$12),-1)</f>
        <v/>
      </c>
      <c r="W5338" s="15">
        <f>V5338*N5338*O5338</f>
        <v/>
      </c>
      <c r="X5338" s="12">
        <f>IF(LEFT(I5338,2)="MV",2*N5338*IF(L5338="1/C",O5338,1),0)</f>
        <v/>
      </c>
      <c r="Y5338" s="12">
        <f>IF(OR(LEFT(K5338,4)="LVAX",LEFT(K5338,6)="MV15AX",LEFT(K5338,4)="CTAX",LEFT(K5338,2)="W|"),2*N5338*O5338,0)</f>
        <v/>
      </c>
      <c r="Z5338" s="12" t="inlineStr">
        <is>
          <t>VD 2.5 %</t>
        </is>
      </c>
      <c r="AA5338" s="12">
        <f>N5338*O5338</f>
        <v/>
      </c>
    </row>
    <row r="5339">
      <c r="A5339" s="12" t="inlineStr">
        <is>
          <t>I-P-0171</t>
        </is>
      </c>
      <c r="B5339" s="12" t="inlineStr">
        <is>
          <t>I</t>
        </is>
      </c>
      <c r="C5339" s="12" t="inlineStr">
        <is>
          <t>Modular / portable power</t>
        </is>
      </c>
      <c r="D5339" s="12" t="inlineStr">
        <is>
          <t>480 V welding receptacle 1</t>
        </is>
      </c>
      <c r="E5339" s="12" t="inlineStr"/>
      <c r="F5339" s="12" t="inlineStr">
        <is>
          <t>PCM: power control module</t>
        </is>
      </c>
      <c r="G5339" s="12" t="inlineStr">
        <is>
          <t>RICE-1</t>
        </is>
      </c>
      <c r="H5339" s="12" t="inlineStr">
        <is>
          <t>RICE engine-generator 1</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60</v>
      </c>
      <c r="R5339" s="12" t="n">
        <v>76</v>
      </c>
      <c r="S5339" s="12" t="inlineStr">
        <is>
          <t>Duct bank</t>
        </is>
      </c>
      <c r="T5339" s="15" t="n">
        <v>516</v>
      </c>
      <c r="U5339" s="15" t="n">
        <v>137</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I-P-0172</t>
        </is>
      </c>
      <c r="B5340" s="12" t="inlineStr">
        <is>
          <t>I</t>
        </is>
      </c>
      <c r="C5340" s="12" t="inlineStr">
        <is>
          <t>Modular / portable power</t>
        </is>
      </c>
      <c r="D5340" s="12" t="inlineStr">
        <is>
          <t>480 V welding receptacle 2</t>
        </is>
      </c>
      <c r="E5340" s="12" t="inlineStr"/>
      <c r="F5340" s="12" t="inlineStr">
        <is>
          <t>PCM: power control module</t>
        </is>
      </c>
      <c r="G5340" s="12" t="inlineStr">
        <is>
          <t>RICE-1</t>
        </is>
      </c>
      <c r="H5340" s="12" t="inlineStr">
        <is>
          <t>RICE engine-generator 1</t>
        </is>
      </c>
      <c r="I5340" s="12" t="inlineStr">
        <is>
          <t>LV 600 V</t>
        </is>
      </c>
      <c r="J5340" s="12" t="inlineStr">
        <is>
          <t>Type TC-ER 600 V 3/C Cu XHHW-2 + ground, PVC jacket</t>
        </is>
      </c>
      <c r="K5340" s="12" t="inlineStr">
        <is>
          <t>LV|3/C+G|1/0</t>
        </is>
      </c>
      <c r="L5340" s="12" t="inlineStr">
        <is>
          <t>3/C+G</t>
        </is>
      </c>
      <c r="M5340" s="12" t="inlineStr">
        <is>
          <t>1/0</t>
        </is>
      </c>
      <c r="N5340" s="12" t="n">
        <v>1</v>
      </c>
      <c r="O5340" s="12" t="n">
        <v>1</v>
      </c>
      <c r="P5340" s="12" t="n">
        <v>480</v>
      </c>
      <c r="Q5340" s="12" t="n">
        <v>60</v>
      </c>
      <c r="R5340" s="12" t="n">
        <v>76</v>
      </c>
      <c r="S5340" s="12" t="inlineStr">
        <is>
          <t>Duct bank</t>
        </is>
      </c>
      <c r="T5340" s="15" t="n">
        <v>516</v>
      </c>
      <c r="U5340" s="15" t="n">
        <v>137</v>
      </c>
      <c r="V5340" s="15">
        <f>ROUNDUP((T5340+U5340+2*'Read Me'!$B$13)*(1+'Read Me'!$B$12),-1)</f>
        <v/>
      </c>
      <c r="W5340" s="15">
        <f>V5340*N5340*O5340</f>
        <v/>
      </c>
      <c r="X5340" s="12">
        <f>IF(LEFT(I5340,2)="MV",2*N5340*IF(L5340="1/C",O5340,1),0)</f>
        <v/>
      </c>
      <c r="Y5340" s="12">
        <f>IF(OR(LEFT(K5340,4)="LVAX",LEFT(K5340,6)="MV15AX",LEFT(K5340,4)="CTAX",LEFT(K5340,2)="W|"),2*N5340*O5340,0)</f>
        <v/>
      </c>
      <c r="Z5340" s="12" t="inlineStr">
        <is>
          <t>VD 2.4 %</t>
        </is>
      </c>
      <c r="AA5340" s="12">
        <f>N5340*O5340</f>
        <v/>
      </c>
    </row>
    <row r="5341">
      <c r="A5341" s="12" t="inlineStr">
        <is>
          <t>I-P-0173</t>
        </is>
      </c>
      <c r="B5341" s="12" t="inlineStr">
        <is>
          <t>I</t>
        </is>
      </c>
      <c r="C5341" s="12" t="inlineStr">
        <is>
          <t>Modular / portable power</t>
        </is>
      </c>
      <c r="D5341" s="12" t="inlineStr">
        <is>
          <t>480 V welding receptacle 3</t>
        </is>
      </c>
      <c r="E5341" s="12" t="inlineStr"/>
      <c r="F5341" s="12" t="inlineStr">
        <is>
          <t>PCM: power control module</t>
        </is>
      </c>
      <c r="G5341" s="12" t="inlineStr">
        <is>
          <t>RICE-1</t>
        </is>
      </c>
      <c r="H5341" s="12" t="inlineStr">
        <is>
          <t>RICE engine-generator 1</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60</v>
      </c>
      <c r="R5341" s="12" t="n">
        <v>76</v>
      </c>
      <c r="S5341" s="12" t="inlineStr">
        <is>
          <t>Duct bank</t>
        </is>
      </c>
      <c r="T5341" s="15" t="n">
        <v>516</v>
      </c>
      <c r="U5341" s="15" t="n">
        <v>137</v>
      </c>
      <c r="V5341" s="15">
        <f>ROUNDUP((T5341+U5341+2*'Read Me'!$B$13)*(1+'Read Me'!$B$12),-1)</f>
        <v/>
      </c>
      <c r="W5341" s="15">
        <f>V5341*N5341*O5341</f>
        <v/>
      </c>
      <c r="X5341" s="12">
        <f>IF(LEFT(I5341,2)="MV",2*N5341*IF(L5341="1/C",O5341,1),0)</f>
        <v/>
      </c>
      <c r="Y5341" s="12">
        <f>IF(OR(LEFT(K5341,4)="LVAX",LEFT(K5341,6)="MV15AX",LEFT(K5341,4)="CTAX",LEFT(K5341,2)="W|"),2*N5341*O5341,0)</f>
        <v/>
      </c>
      <c r="Z5341" s="12" t="inlineStr">
        <is>
          <t>VD 2.4 %</t>
        </is>
      </c>
      <c r="AA5341" s="12">
        <f>N5341*O5341</f>
        <v/>
      </c>
    </row>
    <row r="5342">
      <c r="A5342" s="12" t="inlineStr">
        <is>
          <t>I-P-0174</t>
        </is>
      </c>
      <c r="B5342" s="12" t="inlineStr">
        <is>
          <t>I</t>
        </is>
      </c>
      <c r="C5342" s="12" t="inlineStr">
        <is>
          <t>Modular / portable power</t>
        </is>
      </c>
      <c r="D5342" s="12" t="inlineStr">
        <is>
          <t>480 V welding receptacle 4</t>
        </is>
      </c>
      <c r="E5342" s="12" t="inlineStr"/>
      <c r="F5342" s="12" t="inlineStr">
        <is>
          <t>PCM: power control module</t>
        </is>
      </c>
      <c r="G5342" s="12" t="inlineStr">
        <is>
          <t>RICE-1</t>
        </is>
      </c>
      <c r="H5342" s="12" t="inlineStr">
        <is>
          <t>RICE engine-generator 1</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60</v>
      </c>
      <c r="R5342" s="12" t="n">
        <v>76</v>
      </c>
      <c r="S5342" s="12" t="inlineStr">
        <is>
          <t>Duct bank</t>
        </is>
      </c>
      <c r="T5342" s="15" t="n">
        <v>516</v>
      </c>
      <c r="U5342" s="15" t="n">
        <v>137</v>
      </c>
      <c r="V5342" s="15">
        <f>ROUNDUP((T5342+U5342+2*'Read Me'!$B$13)*(1+'Read Me'!$B$12),-1)</f>
        <v/>
      </c>
      <c r="W5342" s="15">
        <f>V5342*N5342*O5342</f>
        <v/>
      </c>
      <c r="X5342" s="12">
        <f>IF(LEFT(I5342,2)="MV",2*N5342*IF(L5342="1/C",O5342,1),0)</f>
        <v/>
      </c>
      <c r="Y5342" s="12">
        <f>IF(OR(LEFT(K5342,4)="LVAX",LEFT(K5342,6)="MV15AX",LEFT(K5342,4)="CTAX",LEFT(K5342,2)="W|"),2*N5342*O5342,0)</f>
        <v/>
      </c>
      <c r="Z5342" s="12" t="inlineStr">
        <is>
          <t>VD 2.4 %</t>
        </is>
      </c>
      <c r="AA5342" s="12">
        <f>N5342*O5342</f>
        <v/>
      </c>
    </row>
    <row r="5343">
      <c r="A5343" s="12" t="inlineStr">
        <is>
          <t>I-P-0175</t>
        </is>
      </c>
      <c r="B5343" s="12" t="inlineStr">
        <is>
          <t>I</t>
        </is>
      </c>
      <c r="C5343" s="12" t="inlineStr">
        <is>
          <t>Modular / portable power</t>
        </is>
      </c>
      <c r="D5343" s="12" t="inlineStr">
        <is>
          <t>Motor 1 of 6, 22 kW</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LV|3/C+G|4</t>
        </is>
      </c>
      <c r="L5343" s="12" t="inlineStr">
        <is>
          <t>3/C+G</t>
        </is>
      </c>
      <c r="M5343" s="12" t="inlineStr">
        <is>
          <t>4</t>
        </is>
      </c>
      <c r="N5343" s="12" t="n">
        <v>1</v>
      </c>
      <c r="O5343" s="12" t="n">
        <v>1</v>
      </c>
      <c r="P5343" s="12" t="n">
        <v>480</v>
      </c>
      <c r="Q5343" s="12" t="n">
        <v>22</v>
      </c>
      <c r="R5343" s="12" t="n">
        <v>31.1</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2.4 %</t>
        </is>
      </c>
      <c r="AA5343" s="12">
        <f>N5343*O5343</f>
        <v/>
      </c>
    </row>
    <row r="5344">
      <c r="A5344" s="12" t="inlineStr">
        <is>
          <t>I-P-0176</t>
        </is>
      </c>
      <c r="B5344" s="12" t="inlineStr">
        <is>
          <t>I</t>
        </is>
      </c>
      <c r="C5344" s="12" t="inlineStr">
        <is>
          <t>Modular / portable power</t>
        </is>
      </c>
      <c r="D5344" s="12" t="inlineStr">
        <is>
          <t>Motor 2 of 6, 22 kW</t>
        </is>
      </c>
      <c r="E5344" s="12" t="inlineStr"/>
      <c r="F5344" s="12" t="inlineStr">
        <is>
          <t>PCM: power control module</t>
        </is>
      </c>
      <c r="G5344" s="12" t="inlineStr">
        <is>
          <t>RICE-2</t>
        </is>
      </c>
      <c r="H5344" s="12" t="inlineStr">
        <is>
          <t>RICE engine-generator 2</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109</v>
      </c>
      <c r="V5344" s="15">
        <f>ROUNDUP((T5344+U5344+2*'Read Me'!$B$13)*(1+'Read Me'!$B$12),-1)</f>
        <v/>
      </c>
      <c r="W5344" s="15">
        <f>V5344*N5344*O5344</f>
        <v/>
      </c>
      <c r="X5344" s="12">
        <f>IF(LEFT(I5344,2)="MV",2*N5344*IF(L5344="1/C",O5344,1),0)</f>
        <v/>
      </c>
      <c r="Y5344" s="12">
        <f>IF(OR(LEFT(K5344,4)="LVAX",LEFT(K5344,6)="MV15AX",LEFT(K5344,4)="CTAX",LEFT(K5344,2)="W|"),2*N5344*O5344,0)</f>
        <v/>
      </c>
      <c r="Z5344" s="12" t="inlineStr">
        <is>
          <t>VD 2.4 %</t>
        </is>
      </c>
      <c r="AA5344" s="12">
        <f>N5344*O5344</f>
        <v/>
      </c>
    </row>
    <row r="5345">
      <c r="A5345" s="12" t="inlineStr">
        <is>
          <t>I-P-0177</t>
        </is>
      </c>
      <c r="B5345" s="12" t="inlineStr">
        <is>
          <t>I</t>
        </is>
      </c>
      <c r="C5345" s="12" t="inlineStr">
        <is>
          <t>Modular / portable power</t>
        </is>
      </c>
      <c r="D5345" s="12" t="inlineStr">
        <is>
          <t>Motor 3 of 6, 22 kW</t>
        </is>
      </c>
      <c r="E5345" s="12" t="inlineStr"/>
      <c r="F5345" s="12" t="inlineStr">
        <is>
          <t>PCM: power control module</t>
        </is>
      </c>
      <c r="G5345" s="12" t="inlineStr">
        <is>
          <t>RICE-2</t>
        </is>
      </c>
      <c r="H5345" s="12" t="inlineStr">
        <is>
          <t>RICE engine-generator 2</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109</v>
      </c>
      <c r="V5345" s="15">
        <f>ROUNDUP((T5345+U5345+2*'Read Me'!$B$13)*(1+'Read Me'!$B$12),-1)</f>
        <v/>
      </c>
      <c r="W5345" s="15">
        <f>V5345*N5345*O5345</f>
        <v/>
      </c>
      <c r="X5345" s="12">
        <f>IF(LEFT(I5345,2)="MV",2*N5345*IF(L5345="1/C",O5345,1),0)</f>
        <v/>
      </c>
      <c r="Y5345" s="12">
        <f>IF(OR(LEFT(K5345,4)="LVAX",LEFT(K5345,6)="MV15AX",LEFT(K5345,4)="CTAX",LEFT(K5345,2)="W|"),2*N5345*O5345,0)</f>
        <v/>
      </c>
      <c r="Z5345" s="12" t="inlineStr">
        <is>
          <t>VD 2.4 %</t>
        </is>
      </c>
      <c r="AA5345" s="12">
        <f>N5345*O5345</f>
        <v/>
      </c>
    </row>
    <row r="5346">
      <c r="A5346" s="12" t="inlineStr">
        <is>
          <t>I-P-0178</t>
        </is>
      </c>
      <c r="B5346" s="12" t="inlineStr">
        <is>
          <t>I</t>
        </is>
      </c>
      <c r="C5346" s="12" t="inlineStr">
        <is>
          <t>Modular / portable power</t>
        </is>
      </c>
      <c r="D5346" s="12" t="inlineStr">
        <is>
          <t>Motor 4 of 6, 22 kW</t>
        </is>
      </c>
      <c r="E5346" s="12" t="inlineStr"/>
      <c r="F5346" s="12" t="inlineStr">
        <is>
          <t>PCM: power control module</t>
        </is>
      </c>
      <c r="G5346" s="12" t="inlineStr">
        <is>
          <t>RICE-2</t>
        </is>
      </c>
      <c r="H5346" s="12" t="inlineStr">
        <is>
          <t>RICE engine-generator 2</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109</v>
      </c>
      <c r="V5346" s="15">
        <f>ROUNDUP((T5346+U5346+2*'Read Me'!$B$13)*(1+'Read Me'!$B$12),-1)</f>
        <v/>
      </c>
      <c r="W5346" s="15">
        <f>V5346*N5346*O5346</f>
        <v/>
      </c>
      <c r="X5346" s="12">
        <f>IF(LEFT(I5346,2)="MV",2*N5346*IF(L5346="1/C",O5346,1),0)</f>
        <v/>
      </c>
      <c r="Y5346" s="12">
        <f>IF(OR(LEFT(K5346,4)="LVAX",LEFT(K5346,6)="MV15AX",LEFT(K5346,4)="CTAX",LEFT(K5346,2)="W|"),2*N5346*O5346,0)</f>
        <v/>
      </c>
      <c r="Z5346" s="12" t="inlineStr">
        <is>
          <t>VD 2.4 %</t>
        </is>
      </c>
      <c r="AA5346" s="12">
        <f>N5346*O5346</f>
        <v/>
      </c>
    </row>
    <row r="5347">
      <c r="A5347" s="12" t="inlineStr">
        <is>
          <t>I-P-0179</t>
        </is>
      </c>
      <c r="B5347" s="12" t="inlineStr">
        <is>
          <t>I</t>
        </is>
      </c>
      <c r="C5347" s="12" t="inlineStr">
        <is>
          <t>Modular / portable power</t>
        </is>
      </c>
      <c r="D5347" s="12" t="inlineStr">
        <is>
          <t>Motor 5 of 6, 22 kW</t>
        </is>
      </c>
      <c r="E5347" s="12" t="inlineStr"/>
      <c r="F5347" s="12" t="inlineStr">
        <is>
          <t>PCM: power control module</t>
        </is>
      </c>
      <c r="G5347" s="12" t="inlineStr">
        <is>
          <t>RICE-2</t>
        </is>
      </c>
      <c r="H5347" s="12" t="inlineStr">
        <is>
          <t>RICE engine-generator 2</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109</v>
      </c>
      <c r="V5347" s="15">
        <f>ROUNDUP((T5347+U5347+2*'Read Me'!$B$13)*(1+'Read Me'!$B$12),-1)</f>
        <v/>
      </c>
      <c r="W5347" s="15">
        <f>V5347*N5347*O5347</f>
        <v/>
      </c>
      <c r="X5347" s="12">
        <f>IF(LEFT(I5347,2)="MV",2*N5347*IF(L5347="1/C",O5347,1),0)</f>
        <v/>
      </c>
      <c r="Y5347" s="12">
        <f>IF(OR(LEFT(K5347,4)="LVAX",LEFT(K5347,6)="MV15AX",LEFT(K5347,4)="CTAX",LEFT(K5347,2)="W|"),2*N5347*O5347,0)</f>
        <v/>
      </c>
      <c r="Z5347" s="12" t="inlineStr">
        <is>
          <t>VD 2.4 %</t>
        </is>
      </c>
      <c r="AA5347" s="12">
        <f>N5347*O5347</f>
        <v/>
      </c>
    </row>
    <row r="5348">
      <c r="A5348" s="12" t="inlineStr">
        <is>
          <t>I-P-0180</t>
        </is>
      </c>
      <c r="B5348" s="12" t="inlineStr">
        <is>
          <t>I</t>
        </is>
      </c>
      <c r="C5348" s="12" t="inlineStr">
        <is>
          <t>Modular / portable power</t>
        </is>
      </c>
      <c r="D5348" s="12" t="inlineStr">
        <is>
          <t>Motor 6 of 6, 22 kW</t>
        </is>
      </c>
      <c r="E5348" s="12" t="inlineStr"/>
      <c r="F5348" s="12" t="inlineStr">
        <is>
          <t>PCM: power control module</t>
        </is>
      </c>
      <c r="G5348" s="12" t="inlineStr">
        <is>
          <t>RICE-2</t>
        </is>
      </c>
      <c r="H5348" s="12" t="inlineStr">
        <is>
          <t>RICE engine-generator 2</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109</v>
      </c>
      <c r="V5348" s="15">
        <f>ROUNDUP((T5348+U5348+2*'Read Me'!$B$13)*(1+'Read Me'!$B$12),-1)</f>
        <v/>
      </c>
      <c r="W5348" s="15">
        <f>V5348*N5348*O5348</f>
        <v/>
      </c>
      <c r="X5348" s="12">
        <f>IF(LEFT(I5348,2)="MV",2*N5348*IF(L5348="1/C",O5348,1),0)</f>
        <v/>
      </c>
      <c r="Y5348" s="12">
        <f>IF(OR(LEFT(K5348,4)="LVAX",LEFT(K5348,6)="MV15AX",LEFT(K5348,4)="CTAX",LEFT(K5348,2)="W|"),2*N5348*O5348,0)</f>
        <v/>
      </c>
      <c r="Z5348" s="12" t="inlineStr">
        <is>
          <t>VD 2.4 %</t>
        </is>
      </c>
      <c r="AA5348" s="12">
        <f>N5348*O5348</f>
        <v/>
      </c>
    </row>
    <row r="5349">
      <c r="A5349" s="12" t="inlineStr">
        <is>
          <t>I-P-0181</t>
        </is>
      </c>
      <c r="B5349" s="12" t="inlineStr">
        <is>
          <t>I</t>
        </is>
      </c>
      <c r="C5349" s="12" t="inlineStr">
        <is>
          <t>Modular / portable power</t>
        </is>
      </c>
      <c r="D5349" s="12" t="inlineStr">
        <is>
          <t>480 V welding receptacle 1</t>
        </is>
      </c>
      <c r="E5349" s="12" t="inlineStr"/>
      <c r="F5349" s="12" t="inlineStr">
        <is>
          <t>PCM: power control module</t>
        </is>
      </c>
      <c r="G5349" s="12" t="inlineStr">
        <is>
          <t>RICE-2</t>
        </is>
      </c>
      <c r="H5349" s="12" t="inlineStr">
        <is>
          <t>RICE engine-generator 2</t>
        </is>
      </c>
      <c r="I5349" s="12" t="inlineStr">
        <is>
          <t>LV 600 V</t>
        </is>
      </c>
      <c r="J5349" s="12" t="inlineStr">
        <is>
          <t>Type TC-ER 600 V 3/C Cu XHHW-2 + ground, PVC jacket</t>
        </is>
      </c>
      <c r="K5349" s="12" t="inlineStr">
        <is>
          <t>LV|3/C+G|1</t>
        </is>
      </c>
      <c r="L5349" s="12" t="inlineStr">
        <is>
          <t>3/C+G</t>
        </is>
      </c>
      <c r="M5349" s="12" t="inlineStr">
        <is>
          <t>1</t>
        </is>
      </c>
      <c r="N5349" s="12" t="n">
        <v>1</v>
      </c>
      <c r="O5349" s="12" t="n">
        <v>1</v>
      </c>
      <c r="P5349" s="12" t="n">
        <v>480</v>
      </c>
      <c r="Q5349" s="12" t="n">
        <v>60</v>
      </c>
      <c r="R5349" s="12" t="n">
        <v>76</v>
      </c>
      <c r="S5349" s="12" t="inlineStr">
        <is>
          <t>Duct bank</t>
        </is>
      </c>
      <c r="T5349" s="15" t="n">
        <v>516</v>
      </c>
      <c r="U5349" s="15" t="n">
        <v>109</v>
      </c>
      <c r="V5349" s="15">
        <f>ROUNDUP((T5349+U5349+2*'Read Me'!$B$13)*(1+'Read Me'!$B$12),-1)</f>
        <v/>
      </c>
      <c r="W5349" s="15">
        <f>V5349*N5349*O5349</f>
        <v/>
      </c>
      <c r="X5349" s="12">
        <f>IF(LEFT(I5349,2)="MV",2*N5349*IF(L5349="1/C",O5349,1),0)</f>
        <v/>
      </c>
      <c r="Y5349" s="12">
        <f>IF(OR(LEFT(K5349,4)="LVAX",LEFT(K5349,6)="MV15AX",LEFT(K5349,4)="CTAX",LEFT(K5349,2)="W|"),2*N5349*O5349,0)</f>
        <v/>
      </c>
      <c r="Z5349" s="12" t="inlineStr">
        <is>
          <t>VD 2.9 %</t>
        </is>
      </c>
      <c r="AA5349" s="12">
        <f>N5349*O5349</f>
        <v/>
      </c>
    </row>
    <row r="5350">
      <c r="A5350" s="12" t="inlineStr">
        <is>
          <t>I-P-0182</t>
        </is>
      </c>
      <c r="B5350" s="12" t="inlineStr">
        <is>
          <t>I</t>
        </is>
      </c>
      <c r="C5350" s="12" t="inlineStr">
        <is>
          <t>Modular / portable power</t>
        </is>
      </c>
      <c r="D5350" s="12" t="inlineStr">
        <is>
          <t>480 V welding receptacle 2</t>
        </is>
      </c>
      <c r="E5350" s="12" t="inlineStr"/>
      <c r="F5350" s="12" t="inlineStr">
        <is>
          <t>PCM: power control module</t>
        </is>
      </c>
      <c r="G5350" s="12" t="inlineStr">
        <is>
          <t>RICE-2</t>
        </is>
      </c>
      <c r="H5350" s="12" t="inlineStr">
        <is>
          <t>RICE engine-generator 2</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109</v>
      </c>
      <c r="V5350" s="15">
        <f>ROUNDUP((T5350+U5350+2*'Read Me'!$B$13)*(1+'Read Me'!$B$12),-1)</f>
        <v/>
      </c>
      <c r="W5350" s="15">
        <f>V5350*N5350*O5350</f>
        <v/>
      </c>
      <c r="X5350" s="12">
        <f>IF(LEFT(I5350,2)="MV",2*N5350*IF(L5350="1/C",O5350,1),0)</f>
        <v/>
      </c>
      <c r="Y5350" s="12">
        <f>IF(OR(LEFT(K5350,4)="LVAX",LEFT(K5350,6)="MV15AX",LEFT(K5350,4)="CTAX",LEFT(K5350,2)="W|"),2*N5350*O5350,0)</f>
        <v/>
      </c>
      <c r="Z5350" s="12" t="inlineStr">
        <is>
          <t>VD 2.9 %</t>
        </is>
      </c>
      <c r="AA5350" s="12">
        <f>N5350*O5350</f>
        <v/>
      </c>
    </row>
    <row r="5351">
      <c r="A5351" s="12" t="inlineStr">
        <is>
          <t>I-P-0183</t>
        </is>
      </c>
      <c r="B5351" s="12" t="inlineStr">
        <is>
          <t>I</t>
        </is>
      </c>
      <c r="C5351" s="12" t="inlineStr">
        <is>
          <t>Modular / portable power</t>
        </is>
      </c>
      <c r="D5351" s="12" t="inlineStr">
        <is>
          <t>480 V welding receptacle 3</t>
        </is>
      </c>
      <c r="E5351" s="12" t="inlineStr"/>
      <c r="F5351" s="12" t="inlineStr">
        <is>
          <t>PCM: power control module</t>
        </is>
      </c>
      <c r="G5351" s="12" t="inlineStr">
        <is>
          <t>RICE-2</t>
        </is>
      </c>
      <c r="H5351" s="12" t="inlineStr">
        <is>
          <t>RICE engine-generator 2</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109</v>
      </c>
      <c r="V5351" s="15">
        <f>ROUNDUP((T5351+U5351+2*'Read Me'!$B$13)*(1+'Read Me'!$B$12),-1)</f>
        <v/>
      </c>
      <c r="W5351" s="15">
        <f>V5351*N5351*O5351</f>
        <v/>
      </c>
      <c r="X5351" s="12">
        <f>IF(LEFT(I5351,2)="MV",2*N5351*IF(L5351="1/C",O5351,1),0)</f>
        <v/>
      </c>
      <c r="Y5351" s="12">
        <f>IF(OR(LEFT(K5351,4)="LVAX",LEFT(K5351,6)="MV15AX",LEFT(K5351,4)="CTAX",LEFT(K5351,2)="W|"),2*N5351*O5351,0)</f>
        <v/>
      </c>
      <c r="Z5351" s="12" t="inlineStr">
        <is>
          <t>VD 2.9 %</t>
        </is>
      </c>
      <c r="AA5351" s="12">
        <f>N5351*O5351</f>
        <v/>
      </c>
    </row>
    <row r="5352">
      <c r="A5352" s="12" t="inlineStr">
        <is>
          <t>I-P-0184</t>
        </is>
      </c>
      <c r="B5352" s="12" t="inlineStr">
        <is>
          <t>I</t>
        </is>
      </c>
      <c r="C5352" s="12" t="inlineStr">
        <is>
          <t>Modular / portable power</t>
        </is>
      </c>
      <c r="D5352" s="12" t="inlineStr">
        <is>
          <t>480 V welding receptacle 4</t>
        </is>
      </c>
      <c r="E5352" s="12" t="inlineStr"/>
      <c r="F5352" s="12" t="inlineStr">
        <is>
          <t>PCM: power control module</t>
        </is>
      </c>
      <c r="G5352" s="12" t="inlineStr">
        <is>
          <t>RICE-2</t>
        </is>
      </c>
      <c r="H5352" s="12" t="inlineStr">
        <is>
          <t>RICE engine-generator 2</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109</v>
      </c>
      <c r="V5352" s="15">
        <f>ROUNDUP((T5352+U5352+2*'Read Me'!$B$13)*(1+'Read Me'!$B$12),-1)</f>
        <v/>
      </c>
      <c r="W5352" s="15">
        <f>V5352*N5352*O5352</f>
        <v/>
      </c>
      <c r="X5352" s="12">
        <f>IF(LEFT(I5352,2)="MV",2*N5352*IF(L5352="1/C",O5352,1),0)</f>
        <v/>
      </c>
      <c r="Y5352" s="12">
        <f>IF(OR(LEFT(K5352,4)="LVAX",LEFT(K5352,6)="MV15AX",LEFT(K5352,4)="CTAX",LEFT(K5352,2)="W|"),2*N5352*O5352,0)</f>
        <v/>
      </c>
      <c r="Z5352" s="12" t="inlineStr">
        <is>
          <t>VD 2.9 %</t>
        </is>
      </c>
      <c r="AA5352" s="12">
        <f>N5352*O5352</f>
        <v/>
      </c>
    </row>
    <row r="5353">
      <c r="A5353" s="12" t="inlineStr">
        <is>
          <t>I-P-0185</t>
        </is>
      </c>
      <c r="B5353" s="12" t="inlineStr">
        <is>
          <t>I</t>
        </is>
      </c>
      <c r="C5353" s="12" t="inlineStr">
        <is>
          <t>Modular / portable power</t>
        </is>
      </c>
      <c r="D5353" s="12" t="inlineStr">
        <is>
          <t>Motor 1 of 6, 22 kW</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LV|3/C+G|4</t>
        </is>
      </c>
      <c r="L5353" s="12" t="inlineStr">
        <is>
          <t>3/C+G</t>
        </is>
      </c>
      <c r="M5353" s="12" t="inlineStr">
        <is>
          <t>4</t>
        </is>
      </c>
      <c r="N5353" s="12" t="n">
        <v>1</v>
      </c>
      <c r="O5353" s="12" t="n">
        <v>1</v>
      </c>
      <c r="P5353" s="12" t="n">
        <v>480</v>
      </c>
      <c r="Q5353" s="12" t="n">
        <v>22</v>
      </c>
      <c r="R5353" s="12" t="n">
        <v>31.1</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2.3 %</t>
        </is>
      </c>
      <c r="AA5353" s="12">
        <f>N5353*O5353</f>
        <v/>
      </c>
    </row>
    <row r="5354">
      <c r="A5354" s="12" t="inlineStr">
        <is>
          <t>I-P-0186</t>
        </is>
      </c>
      <c r="B5354" s="12" t="inlineStr">
        <is>
          <t>I</t>
        </is>
      </c>
      <c r="C5354" s="12" t="inlineStr">
        <is>
          <t>Modular / portable power</t>
        </is>
      </c>
      <c r="D5354" s="12" t="inlineStr">
        <is>
          <t>Motor 2 of 6, 22 kW</t>
        </is>
      </c>
      <c r="E5354" s="12" t="inlineStr"/>
      <c r="F5354" s="12" t="inlineStr">
        <is>
          <t>PCM: power control module</t>
        </is>
      </c>
      <c r="G5354" s="12" t="inlineStr">
        <is>
          <t>RICE-3</t>
        </is>
      </c>
      <c r="H5354" s="12" t="inlineStr">
        <is>
          <t>RICE engine-generator 3</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81</v>
      </c>
      <c r="V5354" s="15">
        <f>ROUNDUP((T5354+U5354+2*'Read Me'!$B$13)*(1+'Read Me'!$B$12),-1)</f>
        <v/>
      </c>
      <c r="W5354" s="15">
        <f>V5354*N5354*O5354</f>
        <v/>
      </c>
      <c r="X5354" s="12">
        <f>IF(LEFT(I5354,2)="MV",2*N5354*IF(L5354="1/C",O5354,1),0)</f>
        <v/>
      </c>
      <c r="Y5354" s="12">
        <f>IF(OR(LEFT(K5354,4)="LVAX",LEFT(K5354,6)="MV15AX",LEFT(K5354,4)="CTAX",LEFT(K5354,2)="W|"),2*N5354*O5354,0)</f>
        <v/>
      </c>
      <c r="Z5354" s="12" t="inlineStr">
        <is>
          <t>VD 2.3 %</t>
        </is>
      </c>
      <c r="AA5354" s="12">
        <f>N5354*O5354</f>
        <v/>
      </c>
    </row>
    <row r="5355">
      <c r="A5355" s="12" t="inlineStr">
        <is>
          <t>I-P-0187</t>
        </is>
      </c>
      <c r="B5355" s="12" t="inlineStr">
        <is>
          <t>I</t>
        </is>
      </c>
      <c r="C5355" s="12" t="inlineStr">
        <is>
          <t>Modular / portable power</t>
        </is>
      </c>
      <c r="D5355" s="12" t="inlineStr">
        <is>
          <t>Motor 3 of 6, 22 kW</t>
        </is>
      </c>
      <c r="E5355" s="12" t="inlineStr"/>
      <c r="F5355" s="12" t="inlineStr">
        <is>
          <t>PCM: power control module</t>
        </is>
      </c>
      <c r="G5355" s="12" t="inlineStr">
        <is>
          <t>RICE-3</t>
        </is>
      </c>
      <c r="H5355" s="12" t="inlineStr">
        <is>
          <t>RICE engine-generator 3</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81</v>
      </c>
      <c r="V5355" s="15">
        <f>ROUNDUP((T5355+U5355+2*'Read Me'!$B$13)*(1+'Read Me'!$B$12),-1)</f>
        <v/>
      </c>
      <c r="W5355" s="15">
        <f>V5355*N5355*O5355</f>
        <v/>
      </c>
      <c r="X5355" s="12">
        <f>IF(LEFT(I5355,2)="MV",2*N5355*IF(L5355="1/C",O5355,1),0)</f>
        <v/>
      </c>
      <c r="Y5355" s="12">
        <f>IF(OR(LEFT(K5355,4)="LVAX",LEFT(K5355,6)="MV15AX",LEFT(K5355,4)="CTAX",LEFT(K5355,2)="W|"),2*N5355*O5355,0)</f>
        <v/>
      </c>
      <c r="Z5355" s="12" t="inlineStr">
        <is>
          <t>VD 2.3 %</t>
        </is>
      </c>
      <c r="AA5355" s="12">
        <f>N5355*O5355</f>
        <v/>
      </c>
    </row>
    <row r="5356">
      <c r="A5356" s="12" t="inlineStr">
        <is>
          <t>I-P-0188</t>
        </is>
      </c>
      <c r="B5356" s="12" t="inlineStr">
        <is>
          <t>I</t>
        </is>
      </c>
      <c r="C5356" s="12" t="inlineStr">
        <is>
          <t>Modular / portable power</t>
        </is>
      </c>
      <c r="D5356" s="12" t="inlineStr">
        <is>
          <t>Motor 4 of 6, 22 kW</t>
        </is>
      </c>
      <c r="E5356" s="12" t="inlineStr"/>
      <c r="F5356" s="12" t="inlineStr">
        <is>
          <t>PCM: power control module</t>
        </is>
      </c>
      <c r="G5356" s="12" t="inlineStr">
        <is>
          <t>RICE-3</t>
        </is>
      </c>
      <c r="H5356" s="12" t="inlineStr">
        <is>
          <t>RICE engine-generator 3</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81</v>
      </c>
      <c r="V5356" s="15">
        <f>ROUNDUP((T5356+U5356+2*'Read Me'!$B$13)*(1+'Read Me'!$B$12),-1)</f>
        <v/>
      </c>
      <c r="W5356" s="15">
        <f>V5356*N5356*O5356</f>
        <v/>
      </c>
      <c r="X5356" s="12">
        <f>IF(LEFT(I5356,2)="MV",2*N5356*IF(L5356="1/C",O5356,1),0)</f>
        <v/>
      </c>
      <c r="Y5356" s="12">
        <f>IF(OR(LEFT(K5356,4)="LVAX",LEFT(K5356,6)="MV15AX",LEFT(K5356,4)="CTAX",LEFT(K5356,2)="W|"),2*N5356*O5356,0)</f>
        <v/>
      </c>
      <c r="Z5356" s="12" t="inlineStr">
        <is>
          <t>VD 2.3 %</t>
        </is>
      </c>
      <c r="AA5356" s="12">
        <f>N5356*O5356</f>
        <v/>
      </c>
    </row>
    <row r="5357">
      <c r="A5357" s="12" t="inlineStr">
        <is>
          <t>I-P-0189</t>
        </is>
      </c>
      <c r="B5357" s="12" t="inlineStr">
        <is>
          <t>I</t>
        </is>
      </c>
      <c r="C5357" s="12" t="inlineStr">
        <is>
          <t>Modular / portable power</t>
        </is>
      </c>
      <c r="D5357" s="12" t="inlineStr">
        <is>
          <t>Motor 5 of 6, 22 kW</t>
        </is>
      </c>
      <c r="E5357" s="12" t="inlineStr"/>
      <c r="F5357" s="12" t="inlineStr">
        <is>
          <t>PCM: power control module</t>
        </is>
      </c>
      <c r="G5357" s="12" t="inlineStr">
        <is>
          <t>RICE-3</t>
        </is>
      </c>
      <c r="H5357" s="12" t="inlineStr">
        <is>
          <t>RICE engine-generator 3</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81</v>
      </c>
      <c r="V5357" s="15">
        <f>ROUNDUP((T5357+U5357+2*'Read Me'!$B$13)*(1+'Read Me'!$B$12),-1)</f>
        <v/>
      </c>
      <c r="W5357" s="15">
        <f>V5357*N5357*O5357</f>
        <v/>
      </c>
      <c r="X5357" s="12">
        <f>IF(LEFT(I5357,2)="MV",2*N5357*IF(L5357="1/C",O5357,1),0)</f>
        <v/>
      </c>
      <c r="Y5357" s="12">
        <f>IF(OR(LEFT(K5357,4)="LVAX",LEFT(K5357,6)="MV15AX",LEFT(K5357,4)="CTAX",LEFT(K5357,2)="W|"),2*N5357*O5357,0)</f>
        <v/>
      </c>
      <c r="Z5357" s="12" t="inlineStr">
        <is>
          <t>VD 2.3 %</t>
        </is>
      </c>
      <c r="AA5357" s="12">
        <f>N5357*O5357</f>
        <v/>
      </c>
    </row>
    <row r="5358">
      <c r="A5358" s="12" t="inlineStr">
        <is>
          <t>I-P-0190</t>
        </is>
      </c>
      <c r="B5358" s="12" t="inlineStr">
        <is>
          <t>I</t>
        </is>
      </c>
      <c r="C5358" s="12" t="inlineStr">
        <is>
          <t>Modular / portable power</t>
        </is>
      </c>
      <c r="D5358" s="12" t="inlineStr">
        <is>
          <t>Motor 6 of 6, 22 kW</t>
        </is>
      </c>
      <c r="E5358" s="12" t="inlineStr"/>
      <c r="F5358" s="12" t="inlineStr">
        <is>
          <t>PCM: power control module</t>
        </is>
      </c>
      <c r="G5358" s="12" t="inlineStr">
        <is>
          <t>RICE-3</t>
        </is>
      </c>
      <c r="H5358" s="12" t="inlineStr">
        <is>
          <t>RICE engine-generator 3</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81</v>
      </c>
      <c r="V5358" s="15">
        <f>ROUNDUP((T5358+U5358+2*'Read Me'!$B$13)*(1+'Read Me'!$B$12),-1)</f>
        <v/>
      </c>
      <c r="W5358" s="15">
        <f>V5358*N5358*O5358</f>
        <v/>
      </c>
      <c r="X5358" s="12">
        <f>IF(LEFT(I5358,2)="MV",2*N5358*IF(L5358="1/C",O5358,1),0)</f>
        <v/>
      </c>
      <c r="Y5358" s="12">
        <f>IF(OR(LEFT(K5358,4)="LVAX",LEFT(K5358,6)="MV15AX",LEFT(K5358,4)="CTAX",LEFT(K5358,2)="W|"),2*N5358*O5358,0)</f>
        <v/>
      </c>
      <c r="Z5358" s="12" t="inlineStr">
        <is>
          <t>VD 2.3 %</t>
        </is>
      </c>
      <c r="AA5358" s="12">
        <f>N5358*O5358</f>
        <v/>
      </c>
    </row>
    <row r="5359">
      <c r="A5359" s="12" t="inlineStr">
        <is>
          <t>I-P-0191</t>
        </is>
      </c>
      <c r="B5359" s="12" t="inlineStr">
        <is>
          <t>I</t>
        </is>
      </c>
      <c r="C5359" s="12" t="inlineStr">
        <is>
          <t>Modular / portable power</t>
        </is>
      </c>
      <c r="D5359" s="12" t="inlineStr">
        <is>
          <t>480 V welding receptacle 1</t>
        </is>
      </c>
      <c r="E5359" s="12" t="inlineStr"/>
      <c r="F5359" s="12" t="inlineStr">
        <is>
          <t>PCM: power control module</t>
        </is>
      </c>
      <c r="G5359" s="12" t="inlineStr">
        <is>
          <t>RICE-3</t>
        </is>
      </c>
      <c r="H5359" s="12" t="inlineStr">
        <is>
          <t>RICE engine-generator 3</t>
        </is>
      </c>
      <c r="I5359" s="12" t="inlineStr">
        <is>
          <t>LV 600 V</t>
        </is>
      </c>
      <c r="J5359" s="12" t="inlineStr">
        <is>
          <t>Type TC-ER 600 V 3/C Cu XHHW-2 + ground, PVC jacket</t>
        </is>
      </c>
      <c r="K5359" s="12" t="inlineStr">
        <is>
          <t>LV|3/C+G|1</t>
        </is>
      </c>
      <c r="L5359" s="12" t="inlineStr">
        <is>
          <t>3/C+G</t>
        </is>
      </c>
      <c r="M5359" s="12" t="inlineStr">
        <is>
          <t>1</t>
        </is>
      </c>
      <c r="N5359" s="12" t="n">
        <v>1</v>
      </c>
      <c r="O5359" s="12" t="n">
        <v>1</v>
      </c>
      <c r="P5359" s="12" t="n">
        <v>480</v>
      </c>
      <c r="Q5359" s="12" t="n">
        <v>60</v>
      </c>
      <c r="R5359" s="12" t="n">
        <v>76</v>
      </c>
      <c r="S5359" s="12" t="inlineStr">
        <is>
          <t>Duct bank</t>
        </is>
      </c>
      <c r="T5359" s="15" t="n">
        <v>516</v>
      </c>
      <c r="U5359" s="15" t="n">
        <v>81</v>
      </c>
      <c r="V5359" s="15">
        <f>ROUNDUP((T5359+U5359+2*'Read Me'!$B$13)*(1+'Read Me'!$B$12),-1)</f>
        <v/>
      </c>
      <c r="W5359" s="15">
        <f>V5359*N5359*O5359</f>
        <v/>
      </c>
      <c r="X5359" s="12">
        <f>IF(LEFT(I5359,2)="MV",2*N5359*IF(L5359="1/C",O5359,1),0)</f>
        <v/>
      </c>
      <c r="Y5359" s="12">
        <f>IF(OR(LEFT(K5359,4)="LVAX",LEFT(K5359,6)="MV15AX",LEFT(K5359,4)="CTAX",LEFT(K5359,2)="W|"),2*N5359*O5359,0)</f>
        <v/>
      </c>
      <c r="Z5359" s="12" t="inlineStr">
        <is>
          <t>VD 2.8 %</t>
        </is>
      </c>
      <c r="AA5359" s="12">
        <f>N5359*O5359</f>
        <v/>
      </c>
    </row>
    <row r="5360">
      <c r="A5360" s="12" t="inlineStr">
        <is>
          <t>I-P-0192</t>
        </is>
      </c>
      <c r="B5360" s="12" t="inlineStr">
        <is>
          <t>I</t>
        </is>
      </c>
      <c r="C5360" s="12" t="inlineStr">
        <is>
          <t>Modular / portable power</t>
        </is>
      </c>
      <c r="D5360" s="12" t="inlineStr">
        <is>
          <t>480 V welding receptacle 2</t>
        </is>
      </c>
      <c r="E5360" s="12" t="inlineStr"/>
      <c r="F5360" s="12" t="inlineStr">
        <is>
          <t>PCM: power control module</t>
        </is>
      </c>
      <c r="G5360" s="12" t="inlineStr">
        <is>
          <t>RICE-3</t>
        </is>
      </c>
      <c r="H5360" s="12" t="inlineStr">
        <is>
          <t>RICE engine-generator 3</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81</v>
      </c>
      <c r="V5360" s="15">
        <f>ROUNDUP((T5360+U5360+2*'Read Me'!$B$13)*(1+'Read Me'!$B$12),-1)</f>
        <v/>
      </c>
      <c r="W5360" s="15">
        <f>V5360*N5360*O5360</f>
        <v/>
      </c>
      <c r="X5360" s="12">
        <f>IF(LEFT(I5360,2)="MV",2*N5360*IF(L5360="1/C",O5360,1),0)</f>
        <v/>
      </c>
      <c r="Y5360" s="12">
        <f>IF(OR(LEFT(K5360,4)="LVAX",LEFT(K5360,6)="MV15AX",LEFT(K5360,4)="CTAX",LEFT(K5360,2)="W|"),2*N5360*O5360,0)</f>
        <v/>
      </c>
      <c r="Z5360" s="12" t="inlineStr">
        <is>
          <t>VD 2.8 %</t>
        </is>
      </c>
      <c r="AA5360" s="12">
        <f>N5360*O5360</f>
        <v/>
      </c>
    </row>
    <row r="5361">
      <c r="A5361" s="12" t="inlineStr">
        <is>
          <t>I-P-0193</t>
        </is>
      </c>
      <c r="B5361" s="12" t="inlineStr">
        <is>
          <t>I</t>
        </is>
      </c>
      <c r="C5361" s="12" t="inlineStr">
        <is>
          <t>Modular / portable power</t>
        </is>
      </c>
      <c r="D5361" s="12" t="inlineStr">
        <is>
          <t>480 V welding receptacle 3</t>
        </is>
      </c>
      <c r="E5361" s="12" t="inlineStr"/>
      <c r="F5361" s="12" t="inlineStr">
        <is>
          <t>PCM: power control module</t>
        </is>
      </c>
      <c r="G5361" s="12" t="inlineStr">
        <is>
          <t>RICE-3</t>
        </is>
      </c>
      <c r="H5361" s="12" t="inlineStr">
        <is>
          <t>RICE engine-generator 3</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81</v>
      </c>
      <c r="V5361" s="15">
        <f>ROUNDUP((T5361+U5361+2*'Read Me'!$B$13)*(1+'Read Me'!$B$12),-1)</f>
        <v/>
      </c>
      <c r="W5361" s="15">
        <f>V5361*N5361*O5361</f>
        <v/>
      </c>
      <c r="X5361" s="12">
        <f>IF(LEFT(I5361,2)="MV",2*N5361*IF(L5361="1/C",O5361,1),0)</f>
        <v/>
      </c>
      <c r="Y5361" s="12">
        <f>IF(OR(LEFT(K5361,4)="LVAX",LEFT(K5361,6)="MV15AX",LEFT(K5361,4)="CTAX",LEFT(K5361,2)="W|"),2*N5361*O5361,0)</f>
        <v/>
      </c>
      <c r="Z5361" s="12" t="inlineStr">
        <is>
          <t>VD 2.8 %</t>
        </is>
      </c>
      <c r="AA5361" s="12">
        <f>N5361*O5361</f>
        <v/>
      </c>
    </row>
    <row r="5362">
      <c r="A5362" s="12" t="inlineStr">
        <is>
          <t>I-P-0194</t>
        </is>
      </c>
      <c r="B5362" s="12" t="inlineStr">
        <is>
          <t>I</t>
        </is>
      </c>
      <c r="C5362" s="12" t="inlineStr">
        <is>
          <t>Modular / portable power</t>
        </is>
      </c>
      <c r="D5362" s="12" t="inlineStr">
        <is>
          <t>480 V welding receptacle 4</t>
        </is>
      </c>
      <c r="E5362" s="12" t="inlineStr"/>
      <c r="F5362" s="12" t="inlineStr">
        <is>
          <t>PCM: power control module</t>
        </is>
      </c>
      <c r="G5362" s="12" t="inlineStr">
        <is>
          <t>RICE-3</t>
        </is>
      </c>
      <c r="H5362" s="12" t="inlineStr">
        <is>
          <t>RICE engine-generator 3</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81</v>
      </c>
      <c r="V5362" s="15">
        <f>ROUNDUP((T5362+U5362+2*'Read Me'!$B$13)*(1+'Read Me'!$B$12),-1)</f>
        <v/>
      </c>
      <c r="W5362" s="15">
        <f>V5362*N5362*O5362</f>
        <v/>
      </c>
      <c r="X5362" s="12">
        <f>IF(LEFT(I5362,2)="MV",2*N5362*IF(L5362="1/C",O5362,1),0)</f>
        <v/>
      </c>
      <c r="Y5362" s="12">
        <f>IF(OR(LEFT(K5362,4)="LVAX",LEFT(K5362,6)="MV15AX",LEFT(K5362,4)="CTAX",LEFT(K5362,2)="W|"),2*N5362*O5362,0)</f>
        <v/>
      </c>
      <c r="Z5362" s="12" t="inlineStr">
        <is>
          <t>VD 2.8 %</t>
        </is>
      </c>
      <c r="AA5362" s="12">
        <f>N5362*O5362</f>
        <v/>
      </c>
    </row>
    <row r="5363">
      <c r="A5363" s="12" t="inlineStr">
        <is>
          <t>I-P-0195</t>
        </is>
      </c>
      <c r="B5363" s="12" t="inlineStr">
        <is>
          <t>I</t>
        </is>
      </c>
      <c r="C5363" s="12" t="inlineStr">
        <is>
          <t>Modular / portable power</t>
        </is>
      </c>
      <c r="D5363" s="12" t="inlineStr">
        <is>
          <t>Motor 1 of 6, 22 kW</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LV|3/C+G|4</t>
        </is>
      </c>
      <c r="L5363" s="12" t="inlineStr">
        <is>
          <t>3/C+G</t>
        </is>
      </c>
      <c r="M5363" s="12" t="inlineStr">
        <is>
          <t>4</t>
        </is>
      </c>
      <c r="N5363" s="12" t="n">
        <v>1</v>
      </c>
      <c r="O5363" s="12" t="n">
        <v>1</v>
      </c>
      <c r="P5363" s="12" t="n">
        <v>480</v>
      </c>
      <c r="Q5363" s="12" t="n">
        <v>22</v>
      </c>
      <c r="R5363" s="12" t="n">
        <v>31.1</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2.2 %</t>
        </is>
      </c>
      <c r="AA5363" s="12">
        <f>N5363*O5363</f>
        <v/>
      </c>
    </row>
    <row r="5364">
      <c r="A5364" s="12" t="inlineStr">
        <is>
          <t>I-P-0196</t>
        </is>
      </c>
      <c r="B5364" s="12" t="inlineStr">
        <is>
          <t>I</t>
        </is>
      </c>
      <c r="C5364" s="12" t="inlineStr">
        <is>
          <t>Modular / portable power</t>
        </is>
      </c>
      <c r="D5364" s="12" t="inlineStr">
        <is>
          <t>Motor 2 of 6, 22 kW</t>
        </is>
      </c>
      <c r="E5364" s="12" t="inlineStr"/>
      <c r="F5364" s="12" t="inlineStr">
        <is>
          <t>PCM: power control module</t>
        </is>
      </c>
      <c r="G5364" s="12" t="inlineStr">
        <is>
          <t>RICE-4</t>
        </is>
      </c>
      <c r="H5364" s="12" t="inlineStr">
        <is>
          <t>RICE engine-generator 4</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53</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I-P-0197</t>
        </is>
      </c>
      <c r="B5365" s="12" t="inlineStr">
        <is>
          <t>I</t>
        </is>
      </c>
      <c r="C5365" s="12" t="inlineStr">
        <is>
          <t>Modular / portable power</t>
        </is>
      </c>
      <c r="D5365" s="12" t="inlineStr">
        <is>
          <t>Motor 3 of 6, 22 kW</t>
        </is>
      </c>
      <c r="E5365" s="12" t="inlineStr"/>
      <c r="F5365" s="12" t="inlineStr">
        <is>
          <t>PCM: power control module</t>
        </is>
      </c>
      <c r="G5365" s="12" t="inlineStr">
        <is>
          <t>RICE-4</t>
        </is>
      </c>
      <c r="H5365" s="12" t="inlineStr">
        <is>
          <t>RICE engine-generator 4</t>
        </is>
      </c>
      <c r="I5365" s="12" t="inlineStr">
        <is>
          <t>LV 600 V</t>
        </is>
      </c>
      <c r="J5365" s="12" t="inlineStr">
        <is>
          <t>Type TC-ER 600 V 3/C Cu XHHW-2 + ground, PVC jacket</t>
        </is>
      </c>
      <c r="K5365" s="12" t="inlineStr">
        <is>
          <t>LV|3/C+G|4</t>
        </is>
      </c>
      <c r="L5365" s="12" t="inlineStr">
        <is>
          <t>3/C+G</t>
        </is>
      </c>
      <c r="M5365" s="12" t="inlineStr">
        <is>
          <t>4</t>
        </is>
      </c>
      <c r="N5365" s="12" t="n">
        <v>1</v>
      </c>
      <c r="O5365" s="12" t="n">
        <v>1</v>
      </c>
      <c r="P5365" s="12" t="n">
        <v>480</v>
      </c>
      <c r="Q5365" s="12" t="n">
        <v>22</v>
      </c>
      <c r="R5365" s="12" t="n">
        <v>31.1</v>
      </c>
      <c r="S5365" s="12" t="inlineStr">
        <is>
          <t>Duct bank</t>
        </is>
      </c>
      <c r="T5365" s="15" t="n">
        <v>516</v>
      </c>
      <c r="U5365" s="15" t="n">
        <v>53</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I-P-0198</t>
        </is>
      </c>
      <c r="B5366" s="12" t="inlineStr">
        <is>
          <t>I</t>
        </is>
      </c>
      <c r="C5366" s="12" t="inlineStr">
        <is>
          <t>Modular / portable power</t>
        </is>
      </c>
      <c r="D5366" s="12" t="inlineStr">
        <is>
          <t>Motor 4 of 6, 22 kW</t>
        </is>
      </c>
      <c r="E5366" s="12" t="inlineStr"/>
      <c r="F5366" s="12" t="inlineStr">
        <is>
          <t>PCM: power control module</t>
        </is>
      </c>
      <c r="G5366" s="12" t="inlineStr">
        <is>
          <t>RICE-4</t>
        </is>
      </c>
      <c r="H5366" s="12" t="inlineStr">
        <is>
          <t>RICE engine-generator 4</t>
        </is>
      </c>
      <c r="I5366" s="12" t="inlineStr">
        <is>
          <t>LV 600 V</t>
        </is>
      </c>
      <c r="J5366" s="12" t="inlineStr">
        <is>
          <t>Type TC-ER 600 V 3/C Cu XHHW-2 + ground, PVC jacket</t>
        </is>
      </c>
      <c r="K5366" s="12" t="inlineStr">
        <is>
          <t>LV|3/C+G|4</t>
        </is>
      </c>
      <c r="L5366" s="12" t="inlineStr">
        <is>
          <t>3/C+G</t>
        </is>
      </c>
      <c r="M5366" s="12" t="inlineStr">
        <is>
          <t>4</t>
        </is>
      </c>
      <c r="N5366" s="12" t="n">
        <v>1</v>
      </c>
      <c r="O5366" s="12" t="n">
        <v>1</v>
      </c>
      <c r="P5366" s="12" t="n">
        <v>480</v>
      </c>
      <c r="Q5366" s="12" t="n">
        <v>22</v>
      </c>
      <c r="R5366" s="12" t="n">
        <v>31.1</v>
      </c>
      <c r="S5366" s="12" t="inlineStr">
        <is>
          <t>Duct bank</t>
        </is>
      </c>
      <c r="T5366" s="15" t="n">
        <v>516</v>
      </c>
      <c r="U5366" s="15" t="n">
        <v>53</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I-P-0199</t>
        </is>
      </c>
      <c r="B5367" s="12" t="inlineStr">
        <is>
          <t>I</t>
        </is>
      </c>
      <c r="C5367" s="12" t="inlineStr">
        <is>
          <t>Modular / portable power</t>
        </is>
      </c>
      <c r="D5367" s="12" t="inlineStr">
        <is>
          <t>Motor 5 of 6, 22 kW</t>
        </is>
      </c>
      <c r="E5367" s="12" t="inlineStr"/>
      <c r="F5367" s="12" t="inlineStr">
        <is>
          <t>PCM: power control module</t>
        </is>
      </c>
      <c r="G5367" s="12" t="inlineStr">
        <is>
          <t>RICE-4</t>
        </is>
      </c>
      <c r="H5367" s="12" t="inlineStr">
        <is>
          <t>RICE engine-generator 4</t>
        </is>
      </c>
      <c r="I5367" s="12" t="inlineStr">
        <is>
          <t>LV 600 V</t>
        </is>
      </c>
      <c r="J5367" s="12" t="inlineStr">
        <is>
          <t>Type TC-ER 600 V 3/C Cu XHHW-2 + ground, PVC jacket</t>
        </is>
      </c>
      <c r="K5367" s="12" t="inlineStr">
        <is>
          <t>LV|3/C+G|4</t>
        </is>
      </c>
      <c r="L5367" s="12" t="inlineStr">
        <is>
          <t>3/C+G</t>
        </is>
      </c>
      <c r="M5367" s="12" t="inlineStr">
        <is>
          <t>4</t>
        </is>
      </c>
      <c r="N5367" s="12" t="n">
        <v>1</v>
      </c>
      <c r="O5367" s="12" t="n">
        <v>1</v>
      </c>
      <c r="P5367" s="12" t="n">
        <v>480</v>
      </c>
      <c r="Q5367" s="12" t="n">
        <v>22</v>
      </c>
      <c r="R5367" s="12" t="n">
        <v>31.1</v>
      </c>
      <c r="S5367" s="12" t="inlineStr">
        <is>
          <t>Duct bank</t>
        </is>
      </c>
      <c r="T5367" s="15" t="n">
        <v>516</v>
      </c>
      <c r="U5367" s="15" t="n">
        <v>53</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I-P-0200</t>
        </is>
      </c>
      <c r="B5368" s="12" t="inlineStr">
        <is>
          <t>I</t>
        </is>
      </c>
      <c r="C5368" s="12" t="inlineStr">
        <is>
          <t>Modular / portable power</t>
        </is>
      </c>
      <c r="D5368" s="12" t="inlineStr">
        <is>
          <t>Motor 6 of 6, 22 kW</t>
        </is>
      </c>
      <c r="E5368" s="12" t="inlineStr"/>
      <c r="F5368" s="12" t="inlineStr">
        <is>
          <t>PCM: power control module</t>
        </is>
      </c>
      <c r="G5368" s="12" t="inlineStr">
        <is>
          <t>RICE-4</t>
        </is>
      </c>
      <c r="H5368" s="12" t="inlineStr">
        <is>
          <t>RICE engine-generator 4</t>
        </is>
      </c>
      <c r="I5368" s="12" t="inlineStr">
        <is>
          <t>LV 600 V</t>
        </is>
      </c>
      <c r="J5368" s="12" t="inlineStr">
        <is>
          <t>Type TC-ER 600 V 3/C Cu XHHW-2 + ground, PVC jacket</t>
        </is>
      </c>
      <c r="K5368" s="12" t="inlineStr">
        <is>
          <t>LV|3/C+G|4</t>
        </is>
      </c>
      <c r="L5368" s="12" t="inlineStr">
        <is>
          <t>3/C+G</t>
        </is>
      </c>
      <c r="M5368" s="12" t="inlineStr">
        <is>
          <t>4</t>
        </is>
      </c>
      <c r="N5368" s="12" t="n">
        <v>1</v>
      </c>
      <c r="O5368" s="12" t="n">
        <v>1</v>
      </c>
      <c r="P5368" s="12" t="n">
        <v>480</v>
      </c>
      <c r="Q5368" s="12" t="n">
        <v>22</v>
      </c>
      <c r="R5368" s="12" t="n">
        <v>31.1</v>
      </c>
      <c r="S5368" s="12" t="inlineStr">
        <is>
          <t>Duct bank</t>
        </is>
      </c>
      <c r="T5368" s="15" t="n">
        <v>516</v>
      </c>
      <c r="U5368" s="15" t="n">
        <v>53</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I-P-0201</t>
        </is>
      </c>
      <c r="B5369" s="12" t="inlineStr">
        <is>
          <t>I</t>
        </is>
      </c>
      <c r="C5369" s="12" t="inlineStr">
        <is>
          <t>Modular / portable power</t>
        </is>
      </c>
      <c r="D5369" s="12" t="inlineStr">
        <is>
          <t>480 V welding receptacle 1</t>
        </is>
      </c>
      <c r="E5369" s="12" t="inlineStr"/>
      <c r="F5369" s="12" t="inlineStr">
        <is>
          <t>PCM: power control module</t>
        </is>
      </c>
      <c r="G5369" s="12" t="inlineStr">
        <is>
          <t>RICE-4</t>
        </is>
      </c>
      <c r="H5369" s="12" t="inlineStr">
        <is>
          <t>RICE engine-generator 4</t>
        </is>
      </c>
      <c r="I5369" s="12" t="inlineStr">
        <is>
          <t>LV 600 V</t>
        </is>
      </c>
      <c r="J5369" s="12" t="inlineStr">
        <is>
          <t>Type TC-ER 600 V 3/C Cu XHHW-2 + ground, PVC jacket</t>
        </is>
      </c>
      <c r="K5369" s="12" t="inlineStr">
        <is>
          <t>LV|3/C+G|1</t>
        </is>
      </c>
      <c r="L5369" s="12" t="inlineStr">
        <is>
          <t>3/C+G</t>
        </is>
      </c>
      <c r="M5369" s="12" t="inlineStr">
        <is>
          <t>1</t>
        </is>
      </c>
      <c r="N5369" s="12" t="n">
        <v>1</v>
      </c>
      <c r="O5369" s="12" t="n">
        <v>1</v>
      </c>
      <c r="P5369" s="12" t="n">
        <v>480</v>
      </c>
      <c r="Q5369" s="12" t="n">
        <v>60</v>
      </c>
      <c r="R5369" s="12" t="n">
        <v>76</v>
      </c>
      <c r="S5369" s="12" t="inlineStr">
        <is>
          <t>Duct bank</t>
        </is>
      </c>
      <c r="T5369" s="15" t="n">
        <v>516</v>
      </c>
      <c r="U5369" s="15" t="n">
        <v>53</v>
      </c>
      <c r="V5369" s="15">
        <f>ROUNDUP((T5369+U5369+2*'Read Me'!$B$13)*(1+'Read Me'!$B$12),-1)</f>
        <v/>
      </c>
      <c r="W5369" s="15">
        <f>V5369*N5369*O5369</f>
        <v/>
      </c>
      <c r="X5369" s="12">
        <f>IF(LEFT(I5369,2)="MV",2*N5369*IF(L5369="1/C",O5369,1),0)</f>
        <v/>
      </c>
      <c r="Y5369" s="12">
        <f>IF(OR(LEFT(K5369,4)="LVAX",LEFT(K5369,6)="MV15AX",LEFT(K5369,4)="CTAX",LEFT(K5369,2)="W|"),2*N5369*O5369,0)</f>
        <v/>
      </c>
      <c r="Z5369" s="12" t="inlineStr">
        <is>
          <t>VD 2.6 %</t>
        </is>
      </c>
      <c r="AA5369" s="12">
        <f>N5369*O5369</f>
        <v/>
      </c>
    </row>
    <row r="5370">
      <c r="A5370" s="12" t="inlineStr">
        <is>
          <t>I-P-0202</t>
        </is>
      </c>
      <c r="B5370" s="12" t="inlineStr">
        <is>
          <t>I</t>
        </is>
      </c>
      <c r="C5370" s="12" t="inlineStr">
        <is>
          <t>Modular / portable power</t>
        </is>
      </c>
      <c r="D5370" s="12" t="inlineStr">
        <is>
          <t>480 V welding receptacle 2</t>
        </is>
      </c>
      <c r="E5370" s="12" t="inlineStr"/>
      <c r="F5370" s="12" t="inlineStr">
        <is>
          <t>PCM: power control module</t>
        </is>
      </c>
      <c r="G5370" s="12" t="inlineStr">
        <is>
          <t>RICE-4</t>
        </is>
      </c>
      <c r="H5370" s="12" t="inlineStr">
        <is>
          <t>RICE engine-generator 4</t>
        </is>
      </c>
      <c r="I5370" s="12" t="inlineStr">
        <is>
          <t>LV 600 V</t>
        </is>
      </c>
      <c r="J5370" s="12" t="inlineStr">
        <is>
          <t>Type TC-ER 600 V 3/C Cu XHHW-2 + ground, PVC jacket</t>
        </is>
      </c>
      <c r="K5370" s="12" t="inlineStr">
        <is>
          <t>LV|3/C+G|1</t>
        </is>
      </c>
      <c r="L5370" s="12" t="inlineStr">
        <is>
          <t>3/C+G</t>
        </is>
      </c>
      <c r="M5370" s="12" t="inlineStr">
        <is>
          <t>1</t>
        </is>
      </c>
      <c r="N5370" s="12" t="n">
        <v>1</v>
      </c>
      <c r="O5370" s="12" t="n">
        <v>1</v>
      </c>
      <c r="P5370" s="12" t="n">
        <v>480</v>
      </c>
      <c r="Q5370" s="12" t="n">
        <v>60</v>
      </c>
      <c r="R5370" s="12" t="n">
        <v>76</v>
      </c>
      <c r="S5370" s="12" t="inlineStr">
        <is>
          <t>Duct bank</t>
        </is>
      </c>
      <c r="T5370" s="15" t="n">
        <v>516</v>
      </c>
      <c r="U5370" s="15" t="n">
        <v>53</v>
      </c>
      <c r="V5370" s="15">
        <f>ROUNDUP((T5370+U5370+2*'Read Me'!$B$13)*(1+'Read Me'!$B$12),-1)</f>
        <v/>
      </c>
      <c r="W5370" s="15">
        <f>V5370*N5370*O5370</f>
        <v/>
      </c>
      <c r="X5370" s="12">
        <f>IF(LEFT(I5370,2)="MV",2*N5370*IF(L5370="1/C",O5370,1),0)</f>
        <v/>
      </c>
      <c r="Y5370" s="12">
        <f>IF(OR(LEFT(K5370,4)="LVAX",LEFT(K5370,6)="MV15AX",LEFT(K5370,4)="CTAX",LEFT(K5370,2)="W|"),2*N5370*O5370,0)</f>
        <v/>
      </c>
      <c r="Z5370" s="12" t="inlineStr">
        <is>
          <t>VD 2.6 %</t>
        </is>
      </c>
      <c r="AA5370" s="12">
        <f>N5370*O5370</f>
        <v/>
      </c>
    </row>
    <row r="5371">
      <c r="A5371" s="12" t="inlineStr">
        <is>
          <t>I-P-0203</t>
        </is>
      </c>
      <c r="B5371" s="12" t="inlineStr">
        <is>
          <t>I</t>
        </is>
      </c>
      <c r="C5371" s="12" t="inlineStr">
        <is>
          <t>Modular / portable power</t>
        </is>
      </c>
      <c r="D5371" s="12" t="inlineStr">
        <is>
          <t>480 V welding receptacle 3</t>
        </is>
      </c>
      <c r="E5371" s="12" t="inlineStr"/>
      <c r="F5371" s="12" t="inlineStr">
        <is>
          <t>PCM: power control module</t>
        </is>
      </c>
      <c r="G5371" s="12" t="inlineStr">
        <is>
          <t>RICE-4</t>
        </is>
      </c>
      <c r="H5371" s="12" t="inlineStr">
        <is>
          <t>RICE engine-generator 4</t>
        </is>
      </c>
      <c r="I5371" s="12" t="inlineStr">
        <is>
          <t>LV 600 V</t>
        </is>
      </c>
      <c r="J5371" s="12" t="inlineStr">
        <is>
          <t>Type TC-ER 600 V 3/C Cu XHHW-2 + ground, PVC jacket</t>
        </is>
      </c>
      <c r="K5371" s="12" t="inlineStr">
        <is>
          <t>LV|3/C+G|1</t>
        </is>
      </c>
      <c r="L5371" s="12" t="inlineStr">
        <is>
          <t>3/C+G</t>
        </is>
      </c>
      <c r="M5371" s="12" t="inlineStr">
        <is>
          <t>1</t>
        </is>
      </c>
      <c r="N5371" s="12" t="n">
        <v>1</v>
      </c>
      <c r="O5371" s="12" t="n">
        <v>1</v>
      </c>
      <c r="P5371" s="12" t="n">
        <v>480</v>
      </c>
      <c r="Q5371" s="12" t="n">
        <v>60</v>
      </c>
      <c r="R5371" s="12" t="n">
        <v>76</v>
      </c>
      <c r="S5371" s="12" t="inlineStr">
        <is>
          <t>Duct bank</t>
        </is>
      </c>
      <c r="T5371" s="15" t="n">
        <v>516</v>
      </c>
      <c r="U5371" s="15" t="n">
        <v>53</v>
      </c>
      <c r="V5371" s="15">
        <f>ROUNDUP((T5371+U5371+2*'Read Me'!$B$13)*(1+'Read Me'!$B$12),-1)</f>
        <v/>
      </c>
      <c r="W5371" s="15">
        <f>V5371*N5371*O5371</f>
        <v/>
      </c>
      <c r="X5371" s="12">
        <f>IF(LEFT(I5371,2)="MV",2*N5371*IF(L5371="1/C",O5371,1),0)</f>
        <v/>
      </c>
      <c r="Y5371" s="12">
        <f>IF(OR(LEFT(K5371,4)="LVAX",LEFT(K5371,6)="MV15AX",LEFT(K5371,4)="CTAX",LEFT(K5371,2)="W|"),2*N5371*O5371,0)</f>
        <v/>
      </c>
      <c r="Z5371" s="12" t="inlineStr">
        <is>
          <t>VD 2.6 %</t>
        </is>
      </c>
      <c r="AA5371" s="12">
        <f>N5371*O5371</f>
        <v/>
      </c>
    </row>
    <row r="5372">
      <c r="A5372" s="12" t="inlineStr">
        <is>
          <t>I-P-0204</t>
        </is>
      </c>
      <c r="B5372" s="12" t="inlineStr">
        <is>
          <t>I</t>
        </is>
      </c>
      <c r="C5372" s="12" t="inlineStr">
        <is>
          <t>Modular / portable power</t>
        </is>
      </c>
      <c r="D5372" s="12" t="inlineStr">
        <is>
          <t>480 V welding receptacle 4</t>
        </is>
      </c>
      <c r="E5372" s="12" t="inlineStr"/>
      <c r="F5372" s="12" t="inlineStr">
        <is>
          <t>PCM: power control module</t>
        </is>
      </c>
      <c r="G5372" s="12" t="inlineStr">
        <is>
          <t>RICE-4</t>
        </is>
      </c>
      <c r="H5372" s="12" t="inlineStr">
        <is>
          <t>RICE engine-generator 4</t>
        </is>
      </c>
      <c r="I5372" s="12" t="inlineStr">
        <is>
          <t>LV 600 V</t>
        </is>
      </c>
      <c r="J5372" s="12" t="inlineStr">
        <is>
          <t>Type TC-ER 600 V 3/C Cu XHHW-2 + ground, PVC jacket</t>
        </is>
      </c>
      <c r="K5372" s="12" t="inlineStr">
        <is>
          <t>LV|3/C+G|1</t>
        </is>
      </c>
      <c r="L5372" s="12" t="inlineStr">
        <is>
          <t>3/C+G</t>
        </is>
      </c>
      <c r="M5372" s="12" t="inlineStr">
        <is>
          <t>1</t>
        </is>
      </c>
      <c r="N5372" s="12" t="n">
        <v>1</v>
      </c>
      <c r="O5372" s="12" t="n">
        <v>1</v>
      </c>
      <c r="P5372" s="12" t="n">
        <v>480</v>
      </c>
      <c r="Q5372" s="12" t="n">
        <v>60</v>
      </c>
      <c r="R5372" s="12" t="n">
        <v>76</v>
      </c>
      <c r="S5372" s="12" t="inlineStr">
        <is>
          <t>Duct bank</t>
        </is>
      </c>
      <c r="T5372" s="15" t="n">
        <v>516</v>
      </c>
      <c r="U5372" s="15" t="n">
        <v>53</v>
      </c>
      <c r="V5372" s="15">
        <f>ROUNDUP((T5372+U5372+2*'Read Me'!$B$13)*(1+'Read Me'!$B$12),-1)</f>
        <v/>
      </c>
      <c r="W5372" s="15">
        <f>V5372*N5372*O5372</f>
        <v/>
      </c>
      <c r="X5372" s="12">
        <f>IF(LEFT(I5372,2)="MV",2*N5372*IF(L5372="1/C",O5372,1),0)</f>
        <v/>
      </c>
      <c r="Y5372" s="12">
        <f>IF(OR(LEFT(K5372,4)="LVAX",LEFT(K5372,6)="MV15AX",LEFT(K5372,4)="CTAX",LEFT(K5372,2)="W|"),2*N5372*O5372,0)</f>
        <v/>
      </c>
      <c r="Z5372" s="12" t="inlineStr">
        <is>
          <t>VD 2.6 %</t>
        </is>
      </c>
      <c r="AA5372" s="12">
        <f>N5372*O5372</f>
        <v/>
      </c>
    </row>
    <row r="5373">
      <c r="A5373" s="12" t="inlineStr">
        <is>
          <t>I-P-0205</t>
        </is>
      </c>
      <c r="B5373" s="12" t="inlineStr">
        <is>
          <t>I</t>
        </is>
      </c>
      <c r="C5373" s="12" t="inlineStr">
        <is>
          <t>Modular / portable power</t>
        </is>
      </c>
      <c r="D5373" s="12" t="inlineStr">
        <is>
          <t>Motor 1 of 6, 22 kW</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LV|3/C+G|8</t>
        </is>
      </c>
      <c r="L5373" s="12" t="inlineStr">
        <is>
          <t>3/C+G</t>
        </is>
      </c>
      <c r="M5373" s="12" t="inlineStr">
        <is>
          <t>8</t>
        </is>
      </c>
      <c r="N5373" s="12" t="n">
        <v>1</v>
      </c>
      <c r="O5373" s="12" t="n">
        <v>1</v>
      </c>
      <c r="P5373" s="12" t="n">
        <v>480</v>
      </c>
      <c r="Q5373" s="12" t="n">
        <v>22</v>
      </c>
      <c r="R5373" s="12" t="n">
        <v>31.1</v>
      </c>
      <c r="S5373" s="12" t="inlineStr">
        <is>
          <t>Duct bank</t>
        </is>
      </c>
      <c r="T5373" s="15" t="n">
        <v>52</v>
      </c>
      <c r="U5373" s="15" t="n">
        <v>182</v>
      </c>
      <c r="V5373" s="15">
        <f>ROUNDUP((T5373+U5373+2*'Read Me'!$B$13)*(1+'Read Me'!$B$12),-1)</f>
        <v/>
      </c>
      <c r="W5373" s="15">
        <f>V5373*N5373*O5373</f>
        <v/>
      </c>
      <c r="X5373" s="12">
        <f>IF(LEFT(I5373,2)="MV",2*N5373*IF(L5373="1/C",O5373,1),0)</f>
        <v/>
      </c>
      <c r="Y5373" s="12">
        <f>IF(OR(LEFT(K5373,4)="LVAX",LEFT(K5373,6)="MV15AX",LEFT(K5373,4)="CTAX",LEFT(K5373,2)="W|"),2*N5373*O5373,0)</f>
        <v/>
      </c>
      <c r="Z5373" s="12" t="inlineStr">
        <is>
          <t>VD 2.2 %</t>
        </is>
      </c>
      <c r="AA5373" s="12">
        <f>N5373*O5373</f>
        <v/>
      </c>
    </row>
    <row r="5374">
      <c r="A5374" s="12" t="inlineStr">
        <is>
          <t>I-P-0206</t>
        </is>
      </c>
      <c r="B5374" s="12" t="inlineStr">
        <is>
          <t>I</t>
        </is>
      </c>
      <c r="C5374" s="12" t="inlineStr">
        <is>
          <t>Modular / portable power</t>
        </is>
      </c>
      <c r="D5374" s="12" t="inlineStr">
        <is>
          <t>Motor 2 of 6, 22 kW</t>
        </is>
      </c>
      <c r="E5374" s="12" t="inlineStr"/>
      <c r="F5374" s="12" t="inlineStr">
        <is>
          <t>PCM: power control module</t>
        </is>
      </c>
      <c r="G5374" s="12" t="inlineStr">
        <is>
          <t>RICE-5</t>
        </is>
      </c>
      <c r="H5374" s="12" t="inlineStr">
        <is>
          <t>RICE engine-generator 5</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52</v>
      </c>
      <c r="U5374" s="15" t="n">
        <v>182</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I-P-0207</t>
        </is>
      </c>
      <c r="B5375" s="12" t="inlineStr">
        <is>
          <t>I</t>
        </is>
      </c>
      <c r="C5375" s="12" t="inlineStr">
        <is>
          <t>Modular / portable power</t>
        </is>
      </c>
      <c r="D5375" s="12" t="inlineStr">
        <is>
          <t>Motor 3 of 6, 22 kW</t>
        </is>
      </c>
      <c r="E5375" s="12" t="inlineStr"/>
      <c r="F5375" s="12" t="inlineStr">
        <is>
          <t>PCM: power control module</t>
        </is>
      </c>
      <c r="G5375" s="12" t="inlineStr">
        <is>
          <t>RICE-5</t>
        </is>
      </c>
      <c r="H5375" s="12" t="inlineStr">
        <is>
          <t>RICE engine-generator 5</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52</v>
      </c>
      <c r="U5375" s="15" t="n">
        <v>182</v>
      </c>
      <c r="V5375" s="15">
        <f>ROUNDUP((T5375+U5375+2*'Read Me'!$B$13)*(1+'Read Me'!$B$12),-1)</f>
        <v/>
      </c>
      <c r="W5375" s="15">
        <f>V5375*N5375*O5375</f>
        <v/>
      </c>
      <c r="X5375" s="12">
        <f>IF(LEFT(I5375,2)="MV",2*N5375*IF(L5375="1/C",O5375,1),0)</f>
        <v/>
      </c>
      <c r="Y5375" s="12">
        <f>IF(OR(LEFT(K5375,4)="LVAX",LEFT(K5375,6)="MV15AX",LEFT(K5375,4)="CTAX",LEFT(K5375,2)="W|"),2*N5375*O5375,0)</f>
        <v/>
      </c>
      <c r="Z5375" s="12" t="inlineStr">
        <is>
          <t>VD 2.2 %</t>
        </is>
      </c>
      <c r="AA5375" s="12">
        <f>N5375*O5375</f>
        <v/>
      </c>
    </row>
    <row r="5376">
      <c r="A5376" s="12" t="inlineStr">
        <is>
          <t>I-P-0208</t>
        </is>
      </c>
      <c r="B5376" s="12" t="inlineStr">
        <is>
          <t>I</t>
        </is>
      </c>
      <c r="C5376" s="12" t="inlineStr">
        <is>
          <t>Modular / portable power</t>
        </is>
      </c>
      <c r="D5376" s="12" t="inlineStr">
        <is>
          <t>Motor 4 of 6, 22 kW</t>
        </is>
      </c>
      <c r="E5376" s="12" t="inlineStr"/>
      <c r="F5376" s="12" t="inlineStr">
        <is>
          <t>PCM: power control module</t>
        </is>
      </c>
      <c r="G5376" s="12" t="inlineStr">
        <is>
          <t>RICE-5</t>
        </is>
      </c>
      <c r="H5376" s="12" t="inlineStr">
        <is>
          <t>RICE engine-generator 5</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52</v>
      </c>
      <c r="U5376" s="15" t="n">
        <v>182</v>
      </c>
      <c r="V5376" s="15">
        <f>ROUNDUP((T5376+U5376+2*'Read Me'!$B$13)*(1+'Read Me'!$B$12),-1)</f>
        <v/>
      </c>
      <c r="W5376" s="15">
        <f>V5376*N5376*O5376</f>
        <v/>
      </c>
      <c r="X5376" s="12">
        <f>IF(LEFT(I5376,2)="MV",2*N5376*IF(L5376="1/C",O5376,1),0)</f>
        <v/>
      </c>
      <c r="Y5376" s="12">
        <f>IF(OR(LEFT(K5376,4)="LVAX",LEFT(K5376,6)="MV15AX",LEFT(K5376,4)="CTAX",LEFT(K5376,2)="W|"),2*N5376*O5376,0)</f>
        <v/>
      </c>
      <c r="Z5376" s="12" t="inlineStr">
        <is>
          <t>VD 2.2 %</t>
        </is>
      </c>
      <c r="AA5376" s="12">
        <f>N5376*O5376</f>
        <v/>
      </c>
    </row>
    <row r="5377">
      <c r="A5377" s="12" t="inlineStr">
        <is>
          <t>I-P-0209</t>
        </is>
      </c>
      <c r="B5377" s="12" t="inlineStr">
        <is>
          <t>I</t>
        </is>
      </c>
      <c r="C5377" s="12" t="inlineStr">
        <is>
          <t>Modular / portable power</t>
        </is>
      </c>
      <c r="D5377" s="12" t="inlineStr">
        <is>
          <t>Motor 5 of 6, 22 kW</t>
        </is>
      </c>
      <c r="E5377" s="12" t="inlineStr"/>
      <c r="F5377" s="12" t="inlineStr">
        <is>
          <t>PCM: power control module</t>
        </is>
      </c>
      <c r="G5377" s="12" t="inlineStr">
        <is>
          <t>RICE-5</t>
        </is>
      </c>
      <c r="H5377" s="12" t="inlineStr">
        <is>
          <t>RICE engine-generator 5</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52</v>
      </c>
      <c r="U5377" s="15" t="n">
        <v>182</v>
      </c>
      <c r="V5377" s="15">
        <f>ROUNDUP((T5377+U5377+2*'Read Me'!$B$13)*(1+'Read Me'!$B$12),-1)</f>
        <v/>
      </c>
      <c r="W5377" s="15">
        <f>V5377*N5377*O5377</f>
        <v/>
      </c>
      <c r="X5377" s="12">
        <f>IF(LEFT(I5377,2)="MV",2*N5377*IF(L5377="1/C",O5377,1),0)</f>
        <v/>
      </c>
      <c r="Y5377" s="12">
        <f>IF(OR(LEFT(K5377,4)="LVAX",LEFT(K5377,6)="MV15AX",LEFT(K5377,4)="CTAX",LEFT(K5377,2)="W|"),2*N5377*O5377,0)</f>
        <v/>
      </c>
      <c r="Z5377" s="12" t="inlineStr">
        <is>
          <t>VD 2.2 %</t>
        </is>
      </c>
      <c r="AA5377" s="12">
        <f>N5377*O5377</f>
        <v/>
      </c>
    </row>
    <row r="5378">
      <c r="A5378" s="12" t="inlineStr">
        <is>
          <t>I-P-0210</t>
        </is>
      </c>
      <c r="B5378" s="12" t="inlineStr">
        <is>
          <t>I</t>
        </is>
      </c>
      <c r="C5378" s="12" t="inlineStr">
        <is>
          <t>Modular / portable power</t>
        </is>
      </c>
      <c r="D5378" s="12" t="inlineStr">
        <is>
          <t>Motor 6 of 6, 22 kW</t>
        </is>
      </c>
      <c r="E5378" s="12" t="inlineStr"/>
      <c r="F5378" s="12" t="inlineStr">
        <is>
          <t>PCM: power control module</t>
        </is>
      </c>
      <c r="G5378" s="12" t="inlineStr">
        <is>
          <t>RICE-5</t>
        </is>
      </c>
      <c r="H5378" s="12" t="inlineStr">
        <is>
          <t>RICE engine-generator 5</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52</v>
      </c>
      <c r="U5378" s="15" t="n">
        <v>182</v>
      </c>
      <c r="V5378" s="15">
        <f>ROUNDUP((T5378+U5378+2*'Read Me'!$B$13)*(1+'Read Me'!$B$12),-1)</f>
        <v/>
      </c>
      <c r="W5378" s="15">
        <f>V5378*N5378*O5378</f>
        <v/>
      </c>
      <c r="X5378" s="12">
        <f>IF(LEFT(I5378,2)="MV",2*N5378*IF(L5378="1/C",O5378,1),0)</f>
        <v/>
      </c>
      <c r="Y5378" s="12">
        <f>IF(OR(LEFT(K5378,4)="LVAX",LEFT(K5378,6)="MV15AX",LEFT(K5378,4)="CTAX",LEFT(K5378,2)="W|"),2*N5378*O5378,0)</f>
        <v/>
      </c>
      <c r="Z5378" s="12" t="inlineStr">
        <is>
          <t>VD 2.2 %</t>
        </is>
      </c>
      <c r="AA5378" s="12">
        <f>N5378*O5378</f>
        <v/>
      </c>
    </row>
    <row r="5379">
      <c r="A5379" s="12" t="inlineStr">
        <is>
          <t>I-P-0211</t>
        </is>
      </c>
      <c r="B5379" s="12" t="inlineStr">
        <is>
          <t>I</t>
        </is>
      </c>
      <c r="C5379" s="12" t="inlineStr">
        <is>
          <t>Modular / portable power</t>
        </is>
      </c>
      <c r="D5379" s="12" t="inlineStr">
        <is>
          <t>480 V welding receptacle 1</t>
        </is>
      </c>
      <c r="E5379" s="12" t="inlineStr"/>
      <c r="F5379" s="12" t="inlineStr">
        <is>
          <t>PCM: power control module</t>
        </is>
      </c>
      <c r="G5379" s="12" t="inlineStr">
        <is>
          <t>RICE-5</t>
        </is>
      </c>
      <c r="H5379" s="12" t="inlineStr">
        <is>
          <t>RICE engine-generator 5</t>
        </is>
      </c>
      <c r="I5379" s="12" t="inlineStr">
        <is>
          <t>LV 600 V</t>
        </is>
      </c>
      <c r="J5379" s="12" t="inlineStr">
        <is>
          <t>Type TC-ER 600 V 3/C Cu XHHW-2 + ground, PVC jacket</t>
        </is>
      </c>
      <c r="K5379" s="12" t="inlineStr">
        <is>
          <t>LV|3/C+G|2</t>
        </is>
      </c>
      <c r="L5379" s="12" t="inlineStr">
        <is>
          <t>3/C+G</t>
        </is>
      </c>
      <c r="M5379" s="12" t="inlineStr">
        <is>
          <t>2</t>
        </is>
      </c>
      <c r="N5379" s="12" t="n">
        <v>1</v>
      </c>
      <c r="O5379" s="12" t="n">
        <v>1</v>
      </c>
      <c r="P5379" s="12" t="n">
        <v>480</v>
      </c>
      <c r="Q5379" s="12" t="n">
        <v>60</v>
      </c>
      <c r="R5379" s="12" t="n">
        <v>76</v>
      </c>
      <c r="S5379" s="12" t="inlineStr">
        <is>
          <t>Duct bank</t>
        </is>
      </c>
      <c r="T5379" s="15" t="n">
        <v>52</v>
      </c>
      <c r="U5379" s="15" t="n">
        <v>182</v>
      </c>
      <c r="V5379" s="15">
        <f>ROUNDUP((T5379+U5379+2*'Read Me'!$B$13)*(1+'Read Me'!$B$12),-1)</f>
        <v/>
      </c>
      <c r="W5379" s="15">
        <f>V5379*N5379*O5379</f>
        <v/>
      </c>
      <c r="X5379" s="12">
        <f>IF(LEFT(I5379,2)="MV",2*N5379*IF(L5379="1/C",O5379,1),0)</f>
        <v/>
      </c>
      <c r="Y5379" s="12">
        <f>IF(OR(LEFT(K5379,4)="LVAX",LEFT(K5379,6)="MV15AX",LEFT(K5379,4)="CTAX",LEFT(K5379,2)="W|"),2*N5379*O5379,0)</f>
        <v/>
      </c>
      <c r="Z5379" s="12" t="inlineStr">
        <is>
          <t>VD 1.4 %</t>
        </is>
      </c>
      <c r="AA5379" s="12">
        <f>N5379*O5379</f>
        <v/>
      </c>
    </row>
    <row r="5380">
      <c r="A5380" s="12" t="inlineStr">
        <is>
          <t>I-P-0212</t>
        </is>
      </c>
      <c r="B5380" s="12" t="inlineStr">
        <is>
          <t>I</t>
        </is>
      </c>
      <c r="C5380" s="12" t="inlineStr">
        <is>
          <t>Modular / portable power</t>
        </is>
      </c>
      <c r="D5380" s="12" t="inlineStr">
        <is>
          <t>480 V welding receptacle 2</t>
        </is>
      </c>
      <c r="E5380" s="12" t="inlineStr"/>
      <c r="F5380" s="12" t="inlineStr">
        <is>
          <t>PCM: power control module</t>
        </is>
      </c>
      <c r="G5380" s="12" t="inlineStr">
        <is>
          <t>RICE-5</t>
        </is>
      </c>
      <c r="H5380" s="12" t="inlineStr">
        <is>
          <t>RICE engine-generator 5</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52</v>
      </c>
      <c r="U5380" s="15" t="n">
        <v>182</v>
      </c>
      <c r="V5380" s="15">
        <f>ROUNDUP((T5380+U5380+2*'Read Me'!$B$13)*(1+'Read Me'!$B$12),-1)</f>
        <v/>
      </c>
      <c r="W5380" s="15">
        <f>V5380*N5380*O5380</f>
        <v/>
      </c>
      <c r="X5380" s="12">
        <f>IF(LEFT(I5380,2)="MV",2*N5380*IF(L5380="1/C",O5380,1),0)</f>
        <v/>
      </c>
      <c r="Y5380" s="12">
        <f>IF(OR(LEFT(K5380,4)="LVAX",LEFT(K5380,6)="MV15AX",LEFT(K5380,4)="CTAX",LEFT(K5380,2)="W|"),2*N5380*O5380,0)</f>
        <v/>
      </c>
      <c r="Z5380" s="12" t="inlineStr">
        <is>
          <t>VD 1.4 %</t>
        </is>
      </c>
      <c r="AA5380" s="12">
        <f>N5380*O5380</f>
        <v/>
      </c>
    </row>
    <row r="5381">
      <c r="A5381" s="12" t="inlineStr">
        <is>
          <t>I-P-0213</t>
        </is>
      </c>
      <c r="B5381" s="12" t="inlineStr">
        <is>
          <t>I</t>
        </is>
      </c>
      <c r="C5381" s="12" t="inlineStr">
        <is>
          <t>Modular / portable power</t>
        </is>
      </c>
      <c r="D5381" s="12" t="inlineStr">
        <is>
          <t>480 V welding receptacle 3</t>
        </is>
      </c>
      <c r="E5381" s="12" t="inlineStr"/>
      <c r="F5381" s="12" t="inlineStr">
        <is>
          <t>PCM: power control module</t>
        </is>
      </c>
      <c r="G5381" s="12" t="inlineStr">
        <is>
          <t>RICE-5</t>
        </is>
      </c>
      <c r="H5381" s="12" t="inlineStr">
        <is>
          <t>RICE engine-generator 5</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52</v>
      </c>
      <c r="U5381" s="15" t="n">
        <v>182</v>
      </c>
      <c r="V5381" s="15">
        <f>ROUNDUP((T5381+U5381+2*'Read Me'!$B$13)*(1+'Read Me'!$B$12),-1)</f>
        <v/>
      </c>
      <c r="W5381" s="15">
        <f>V5381*N5381*O5381</f>
        <v/>
      </c>
      <c r="X5381" s="12">
        <f>IF(LEFT(I5381,2)="MV",2*N5381*IF(L5381="1/C",O5381,1),0)</f>
        <v/>
      </c>
      <c r="Y5381" s="12">
        <f>IF(OR(LEFT(K5381,4)="LVAX",LEFT(K5381,6)="MV15AX",LEFT(K5381,4)="CTAX",LEFT(K5381,2)="W|"),2*N5381*O5381,0)</f>
        <v/>
      </c>
      <c r="Z5381" s="12" t="inlineStr">
        <is>
          <t>VD 1.4 %</t>
        </is>
      </c>
      <c r="AA5381" s="12">
        <f>N5381*O5381</f>
        <v/>
      </c>
    </row>
    <row r="5382">
      <c r="A5382" s="12" t="inlineStr">
        <is>
          <t>I-P-0214</t>
        </is>
      </c>
      <c r="B5382" s="12" t="inlineStr">
        <is>
          <t>I</t>
        </is>
      </c>
      <c r="C5382" s="12" t="inlineStr">
        <is>
          <t>Modular / portable power</t>
        </is>
      </c>
      <c r="D5382" s="12" t="inlineStr">
        <is>
          <t>480 V welding receptacle 4</t>
        </is>
      </c>
      <c r="E5382" s="12" t="inlineStr"/>
      <c r="F5382" s="12" t="inlineStr">
        <is>
          <t>PCM: power control module</t>
        </is>
      </c>
      <c r="G5382" s="12" t="inlineStr">
        <is>
          <t>RICE-5</t>
        </is>
      </c>
      <c r="H5382" s="12" t="inlineStr">
        <is>
          <t>RICE engine-generator 5</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52</v>
      </c>
      <c r="U5382" s="15" t="n">
        <v>182</v>
      </c>
      <c r="V5382" s="15">
        <f>ROUNDUP((T5382+U5382+2*'Read Me'!$B$13)*(1+'Read Me'!$B$12),-1)</f>
        <v/>
      </c>
      <c r="W5382" s="15">
        <f>V5382*N5382*O5382</f>
        <v/>
      </c>
      <c r="X5382" s="12">
        <f>IF(LEFT(I5382,2)="MV",2*N5382*IF(L5382="1/C",O5382,1),0)</f>
        <v/>
      </c>
      <c r="Y5382" s="12">
        <f>IF(OR(LEFT(K5382,4)="LVAX",LEFT(K5382,6)="MV15AX",LEFT(K5382,4)="CTAX",LEFT(K5382,2)="W|"),2*N5382*O5382,0)</f>
        <v/>
      </c>
      <c r="Z5382" s="12" t="inlineStr">
        <is>
          <t>VD 1.4 %</t>
        </is>
      </c>
      <c r="AA5382" s="12">
        <f>N5382*O5382</f>
        <v/>
      </c>
    </row>
    <row r="5383">
      <c r="A5383" s="12" t="inlineStr">
        <is>
          <t>I-P-0215</t>
        </is>
      </c>
      <c r="B5383" s="12" t="inlineStr">
        <is>
          <t>I</t>
        </is>
      </c>
      <c r="C5383" s="12" t="inlineStr">
        <is>
          <t>Modular / portable power</t>
        </is>
      </c>
      <c r="D5383" s="12" t="inlineStr">
        <is>
          <t>Motor 1 of 6, 22 kW</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LV|3/C+G|8</t>
        </is>
      </c>
      <c r="L5383" s="12" t="inlineStr">
        <is>
          <t>3/C+G</t>
        </is>
      </c>
      <c r="M5383" s="12" t="inlineStr">
        <is>
          <t>8</t>
        </is>
      </c>
      <c r="N5383" s="12" t="n">
        <v>1</v>
      </c>
      <c r="O5383" s="12" t="n">
        <v>1</v>
      </c>
      <c r="P5383" s="12" t="n">
        <v>480</v>
      </c>
      <c r="Q5383" s="12" t="n">
        <v>22</v>
      </c>
      <c r="R5383" s="12" t="n">
        <v>31.1</v>
      </c>
      <c r="S5383" s="12" t="inlineStr">
        <is>
          <t>Duct bank</t>
        </is>
      </c>
      <c r="T5383" s="15" t="n">
        <v>52</v>
      </c>
      <c r="U5383" s="15" t="n">
        <v>154</v>
      </c>
      <c r="V5383" s="15">
        <f>ROUNDUP((T5383+U5383+2*'Read Me'!$B$13)*(1+'Read Me'!$B$12),-1)</f>
        <v/>
      </c>
      <c r="W5383" s="15">
        <f>V5383*N5383*O5383</f>
        <v/>
      </c>
      <c r="X5383" s="12">
        <f>IF(LEFT(I5383,2)="MV",2*N5383*IF(L5383="1/C",O5383,1),0)</f>
        <v/>
      </c>
      <c r="Y5383" s="12">
        <f>IF(OR(LEFT(K5383,4)="LVAX",LEFT(K5383,6)="MV15AX",LEFT(K5383,4)="CTAX",LEFT(K5383,2)="W|"),2*N5383*O5383,0)</f>
        <v/>
      </c>
      <c r="Z5383" s="12" t="inlineStr">
        <is>
          <t>VD 1.9 %</t>
        </is>
      </c>
      <c r="AA5383" s="12">
        <f>N5383*O5383</f>
        <v/>
      </c>
    </row>
    <row r="5384">
      <c r="A5384" s="12" t="inlineStr">
        <is>
          <t>I-P-0216</t>
        </is>
      </c>
      <c r="B5384" s="12" t="inlineStr">
        <is>
          <t>I</t>
        </is>
      </c>
      <c r="C5384" s="12" t="inlineStr">
        <is>
          <t>Modular / portable power</t>
        </is>
      </c>
      <c r="D5384" s="12" t="inlineStr">
        <is>
          <t>Motor 2 of 6, 22 kW</t>
        </is>
      </c>
      <c r="E5384" s="12" t="inlineStr"/>
      <c r="F5384" s="12" t="inlineStr">
        <is>
          <t>PCM: power control module</t>
        </is>
      </c>
      <c r="G5384" s="12" t="inlineStr">
        <is>
          <t>RICE-6</t>
        </is>
      </c>
      <c r="H5384" s="12" t="inlineStr">
        <is>
          <t>RICE engine-generator 6</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52</v>
      </c>
      <c r="U5384" s="15" t="n">
        <v>154</v>
      </c>
      <c r="V5384" s="15">
        <f>ROUNDUP((T5384+U5384+2*'Read Me'!$B$13)*(1+'Read Me'!$B$12),-1)</f>
        <v/>
      </c>
      <c r="W5384" s="15">
        <f>V5384*N5384*O5384</f>
        <v/>
      </c>
      <c r="X5384" s="12">
        <f>IF(LEFT(I5384,2)="MV",2*N5384*IF(L5384="1/C",O5384,1),0)</f>
        <v/>
      </c>
      <c r="Y5384" s="12">
        <f>IF(OR(LEFT(K5384,4)="LVAX",LEFT(K5384,6)="MV15AX",LEFT(K5384,4)="CTAX",LEFT(K5384,2)="W|"),2*N5384*O5384,0)</f>
        <v/>
      </c>
      <c r="Z5384" s="12" t="inlineStr">
        <is>
          <t>VD 1.9 %</t>
        </is>
      </c>
      <c r="AA5384" s="12">
        <f>N5384*O5384</f>
        <v/>
      </c>
    </row>
    <row r="5385">
      <c r="A5385" s="12" t="inlineStr">
        <is>
          <t>I-P-0217</t>
        </is>
      </c>
      <c r="B5385" s="12" t="inlineStr">
        <is>
          <t>I</t>
        </is>
      </c>
      <c r="C5385" s="12" t="inlineStr">
        <is>
          <t>Modular / portable power</t>
        </is>
      </c>
      <c r="D5385" s="12" t="inlineStr">
        <is>
          <t>Motor 3 of 6, 22 kW</t>
        </is>
      </c>
      <c r="E5385" s="12" t="inlineStr"/>
      <c r="F5385" s="12" t="inlineStr">
        <is>
          <t>PCM: power control module</t>
        </is>
      </c>
      <c r="G5385" s="12" t="inlineStr">
        <is>
          <t>RICE-6</t>
        </is>
      </c>
      <c r="H5385" s="12" t="inlineStr">
        <is>
          <t>RICE engine-generator 6</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52</v>
      </c>
      <c r="U5385" s="15" t="n">
        <v>154</v>
      </c>
      <c r="V5385" s="15">
        <f>ROUNDUP((T5385+U5385+2*'Read Me'!$B$13)*(1+'Read Me'!$B$12),-1)</f>
        <v/>
      </c>
      <c r="W5385" s="15">
        <f>V5385*N5385*O5385</f>
        <v/>
      </c>
      <c r="X5385" s="12">
        <f>IF(LEFT(I5385,2)="MV",2*N5385*IF(L5385="1/C",O5385,1),0)</f>
        <v/>
      </c>
      <c r="Y5385" s="12">
        <f>IF(OR(LEFT(K5385,4)="LVAX",LEFT(K5385,6)="MV15AX",LEFT(K5385,4)="CTAX",LEFT(K5385,2)="W|"),2*N5385*O5385,0)</f>
        <v/>
      </c>
      <c r="Z5385" s="12" t="inlineStr">
        <is>
          <t>VD 1.9 %</t>
        </is>
      </c>
      <c r="AA5385" s="12">
        <f>N5385*O5385</f>
        <v/>
      </c>
    </row>
    <row r="5386">
      <c r="A5386" s="12" t="inlineStr">
        <is>
          <t>I-P-0218</t>
        </is>
      </c>
      <c r="B5386" s="12" t="inlineStr">
        <is>
          <t>I</t>
        </is>
      </c>
      <c r="C5386" s="12" t="inlineStr">
        <is>
          <t>Modular / portable power</t>
        </is>
      </c>
      <c r="D5386" s="12" t="inlineStr">
        <is>
          <t>Motor 4 of 6, 22 kW</t>
        </is>
      </c>
      <c r="E5386" s="12" t="inlineStr"/>
      <c r="F5386" s="12" t="inlineStr">
        <is>
          <t>PCM: power control module</t>
        </is>
      </c>
      <c r="G5386" s="12" t="inlineStr">
        <is>
          <t>RICE-6</t>
        </is>
      </c>
      <c r="H5386" s="12" t="inlineStr">
        <is>
          <t>RICE engine-generator 6</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52</v>
      </c>
      <c r="U5386" s="15" t="n">
        <v>154</v>
      </c>
      <c r="V5386" s="15">
        <f>ROUNDUP((T5386+U5386+2*'Read Me'!$B$13)*(1+'Read Me'!$B$12),-1)</f>
        <v/>
      </c>
      <c r="W5386" s="15">
        <f>V5386*N5386*O5386</f>
        <v/>
      </c>
      <c r="X5386" s="12">
        <f>IF(LEFT(I5386,2)="MV",2*N5386*IF(L5386="1/C",O5386,1),0)</f>
        <v/>
      </c>
      <c r="Y5386" s="12">
        <f>IF(OR(LEFT(K5386,4)="LVAX",LEFT(K5386,6)="MV15AX",LEFT(K5386,4)="CTAX",LEFT(K5386,2)="W|"),2*N5386*O5386,0)</f>
        <v/>
      </c>
      <c r="Z5386" s="12" t="inlineStr">
        <is>
          <t>VD 1.9 %</t>
        </is>
      </c>
      <c r="AA5386" s="12">
        <f>N5386*O5386</f>
        <v/>
      </c>
    </row>
    <row r="5387">
      <c r="A5387" s="12" t="inlineStr">
        <is>
          <t>I-P-0219</t>
        </is>
      </c>
      <c r="B5387" s="12" t="inlineStr">
        <is>
          <t>I</t>
        </is>
      </c>
      <c r="C5387" s="12" t="inlineStr">
        <is>
          <t>Modular / portable power</t>
        </is>
      </c>
      <c r="D5387" s="12" t="inlineStr">
        <is>
          <t>Motor 5 of 6, 22 kW</t>
        </is>
      </c>
      <c r="E5387" s="12" t="inlineStr"/>
      <c r="F5387" s="12" t="inlineStr">
        <is>
          <t>PCM: power control module</t>
        </is>
      </c>
      <c r="G5387" s="12" t="inlineStr">
        <is>
          <t>RICE-6</t>
        </is>
      </c>
      <c r="H5387" s="12" t="inlineStr">
        <is>
          <t>RICE engine-generator 6</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52</v>
      </c>
      <c r="U5387" s="15" t="n">
        <v>154</v>
      </c>
      <c r="V5387" s="15">
        <f>ROUNDUP((T5387+U5387+2*'Read Me'!$B$13)*(1+'Read Me'!$B$12),-1)</f>
        <v/>
      </c>
      <c r="W5387" s="15">
        <f>V5387*N5387*O5387</f>
        <v/>
      </c>
      <c r="X5387" s="12">
        <f>IF(LEFT(I5387,2)="MV",2*N5387*IF(L5387="1/C",O5387,1),0)</f>
        <v/>
      </c>
      <c r="Y5387" s="12">
        <f>IF(OR(LEFT(K5387,4)="LVAX",LEFT(K5387,6)="MV15AX",LEFT(K5387,4)="CTAX",LEFT(K5387,2)="W|"),2*N5387*O5387,0)</f>
        <v/>
      </c>
      <c r="Z5387" s="12" t="inlineStr">
        <is>
          <t>VD 1.9 %</t>
        </is>
      </c>
      <c r="AA5387" s="12">
        <f>N5387*O5387</f>
        <v/>
      </c>
    </row>
    <row r="5388">
      <c r="A5388" s="12" t="inlineStr">
        <is>
          <t>I-P-0220</t>
        </is>
      </c>
      <c r="B5388" s="12" t="inlineStr">
        <is>
          <t>I</t>
        </is>
      </c>
      <c r="C5388" s="12" t="inlineStr">
        <is>
          <t>Modular / portable power</t>
        </is>
      </c>
      <c r="D5388" s="12" t="inlineStr">
        <is>
          <t>Motor 6 of 6, 22 kW</t>
        </is>
      </c>
      <c r="E5388" s="12" t="inlineStr"/>
      <c r="F5388" s="12" t="inlineStr">
        <is>
          <t>PCM: power control module</t>
        </is>
      </c>
      <c r="G5388" s="12" t="inlineStr">
        <is>
          <t>RICE-6</t>
        </is>
      </c>
      <c r="H5388" s="12" t="inlineStr">
        <is>
          <t>RICE engine-generator 6</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52</v>
      </c>
      <c r="U5388" s="15" t="n">
        <v>154</v>
      </c>
      <c r="V5388" s="15">
        <f>ROUNDUP((T5388+U5388+2*'Read Me'!$B$13)*(1+'Read Me'!$B$12),-1)</f>
        <v/>
      </c>
      <c r="W5388" s="15">
        <f>V5388*N5388*O5388</f>
        <v/>
      </c>
      <c r="X5388" s="12">
        <f>IF(LEFT(I5388,2)="MV",2*N5388*IF(L5388="1/C",O5388,1),0)</f>
        <v/>
      </c>
      <c r="Y5388" s="12">
        <f>IF(OR(LEFT(K5388,4)="LVAX",LEFT(K5388,6)="MV15AX",LEFT(K5388,4)="CTAX",LEFT(K5388,2)="W|"),2*N5388*O5388,0)</f>
        <v/>
      </c>
      <c r="Z5388" s="12" t="inlineStr">
        <is>
          <t>VD 1.9 %</t>
        </is>
      </c>
      <c r="AA5388" s="12">
        <f>N5388*O5388</f>
        <v/>
      </c>
    </row>
    <row r="5389">
      <c r="A5389" s="12" t="inlineStr">
        <is>
          <t>I-P-0221</t>
        </is>
      </c>
      <c r="B5389" s="12" t="inlineStr">
        <is>
          <t>I</t>
        </is>
      </c>
      <c r="C5389" s="12" t="inlineStr">
        <is>
          <t>Modular / portable power</t>
        </is>
      </c>
      <c r="D5389" s="12" t="inlineStr">
        <is>
          <t>480 V welding receptacle 1</t>
        </is>
      </c>
      <c r="E5389" s="12" t="inlineStr"/>
      <c r="F5389" s="12" t="inlineStr">
        <is>
          <t>PCM: power control module</t>
        </is>
      </c>
      <c r="G5389" s="12" t="inlineStr">
        <is>
          <t>RICE-6</t>
        </is>
      </c>
      <c r="H5389" s="12" t="inlineStr">
        <is>
          <t>RICE engine-generator 6</t>
        </is>
      </c>
      <c r="I5389" s="12" t="inlineStr">
        <is>
          <t>LV 600 V</t>
        </is>
      </c>
      <c r="J5389" s="12" t="inlineStr">
        <is>
          <t>Type TC-ER 600 V 3/C Cu XHHW-2 + ground, PVC jacket</t>
        </is>
      </c>
      <c r="K5389" s="12" t="inlineStr">
        <is>
          <t>LV|3/C+G|2</t>
        </is>
      </c>
      <c r="L5389" s="12" t="inlineStr">
        <is>
          <t>3/C+G</t>
        </is>
      </c>
      <c r="M5389" s="12" t="inlineStr">
        <is>
          <t>2</t>
        </is>
      </c>
      <c r="N5389" s="12" t="n">
        <v>1</v>
      </c>
      <c r="O5389" s="12" t="n">
        <v>1</v>
      </c>
      <c r="P5389" s="12" t="n">
        <v>480</v>
      </c>
      <c r="Q5389" s="12" t="n">
        <v>60</v>
      </c>
      <c r="R5389" s="12" t="n">
        <v>76</v>
      </c>
      <c r="S5389" s="12" t="inlineStr">
        <is>
          <t>Duct bank</t>
        </is>
      </c>
      <c r="T5389" s="15" t="n">
        <v>52</v>
      </c>
      <c r="U5389" s="15" t="n">
        <v>154</v>
      </c>
      <c r="V5389" s="15">
        <f>ROUNDUP((T5389+U5389+2*'Read Me'!$B$13)*(1+'Read Me'!$B$12),-1)</f>
        <v/>
      </c>
      <c r="W5389" s="15">
        <f>V5389*N5389*O5389</f>
        <v/>
      </c>
      <c r="X5389" s="12">
        <f>IF(LEFT(I5389,2)="MV",2*N5389*IF(L5389="1/C",O5389,1),0)</f>
        <v/>
      </c>
      <c r="Y5389" s="12">
        <f>IF(OR(LEFT(K5389,4)="LVAX",LEFT(K5389,6)="MV15AX",LEFT(K5389,4)="CTAX",LEFT(K5389,2)="W|"),2*N5389*O5389,0)</f>
        <v/>
      </c>
      <c r="Z5389" s="12" t="inlineStr">
        <is>
          <t>VD 1.2 %</t>
        </is>
      </c>
      <c r="AA5389" s="12">
        <f>N5389*O5389</f>
        <v/>
      </c>
    </row>
    <row r="5390">
      <c r="A5390" s="12" t="inlineStr">
        <is>
          <t>I-P-0222</t>
        </is>
      </c>
      <c r="B5390" s="12" t="inlineStr">
        <is>
          <t>I</t>
        </is>
      </c>
      <c r="C5390" s="12" t="inlineStr">
        <is>
          <t>Modular / portable power</t>
        </is>
      </c>
      <c r="D5390" s="12" t="inlineStr">
        <is>
          <t>480 V welding receptacle 2</t>
        </is>
      </c>
      <c r="E5390" s="12" t="inlineStr"/>
      <c r="F5390" s="12" t="inlineStr">
        <is>
          <t>PCM: power control module</t>
        </is>
      </c>
      <c r="G5390" s="12" t="inlineStr">
        <is>
          <t>RICE-6</t>
        </is>
      </c>
      <c r="H5390" s="12" t="inlineStr">
        <is>
          <t>RICE engine-generator 6</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52</v>
      </c>
      <c r="U5390" s="15" t="n">
        <v>154</v>
      </c>
      <c r="V5390" s="15">
        <f>ROUNDUP((T5390+U5390+2*'Read Me'!$B$13)*(1+'Read Me'!$B$12),-1)</f>
        <v/>
      </c>
      <c r="W5390" s="15">
        <f>V5390*N5390*O5390</f>
        <v/>
      </c>
      <c r="X5390" s="12">
        <f>IF(LEFT(I5390,2)="MV",2*N5390*IF(L5390="1/C",O5390,1),0)</f>
        <v/>
      </c>
      <c r="Y5390" s="12">
        <f>IF(OR(LEFT(K5390,4)="LVAX",LEFT(K5390,6)="MV15AX",LEFT(K5390,4)="CTAX",LEFT(K5390,2)="W|"),2*N5390*O5390,0)</f>
        <v/>
      </c>
      <c r="Z5390" s="12" t="inlineStr">
        <is>
          <t>VD 1.2 %</t>
        </is>
      </c>
      <c r="AA5390" s="12">
        <f>N5390*O5390</f>
        <v/>
      </c>
    </row>
    <row r="5391">
      <c r="A5391" s="12" t="inlineStr">
        <is>
          <t>I-P-0223</t>
        </is>
      </c>
      <c r="B5391" s="12" t="inlineStr">
        <is>
          <t>I</t>
        </is>
      </c>
      <c r="C5391" s="12" t="inlineStr">
        <is>
          <t>Modular / portable power</t>
        </is>
      </c>
      <c r="D5391" s="12" t="inlineStr">
        <is>
          <t>480 V welding receptacle 3</t>
        </is>
      </c>
      <c r="E5391" s="12" t="inlineStr"/>
      <c r="F5391" s="12" t="inlineStr">
        <is>
          <t>PCM: power control module</t>
        </is>
      </c>
      <c r="G5391" s="12" t="inlineStr">
        <is>
          <t>RICE-6</t>
        </is>
      </c>
      <c r="H5391" s="12" t="inlineStr">
        <is>
          <t>RICE engine-generator 6</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52</v>
      </c>
      <c r="U5391" s="15" t="n">
        <v>154</v>
      </c>
      <c r="V5391" s="15">
        <f>ROUNDUP((T5391+U5391+2*'Read Me'!$B$13)*(1+'Read Me'!$B$12),-1)</f>
        <v/>
      </c>
      <c r="W5391" s="15">
        <f>V5391*N5391*O5391</f>
        <v/>
      </c>
      <c r="X5391" s="12">
        <f>IF(LEFT(I5391,2)="MV",2*N5391*IF(L5391="1/C",O5391,1),0)</f>
        <v/>
      </c>
      <c r="Y5391" s="12">
        <f>IF(OR(LEFT(K5391,4)="LVAX",LEFT(K5391,6)="MV15AX",LEFT(K5391,4)="CTAX",LEFT(K5391,2)="W|"),2*N5391*O5391,0)</f>
        <v/>
      </c>
      <c r="Z5391" s="12" t="inlineStr">
        <is>
          <t>VD 1.2 %</t>
        </is>
      </c>
      <c r="AA5391" s="12">
        <f>N5391*O5391</f>
        <v/>
      </c>
    </row>
    <row r="5392">
      <c r="A5392" s="12" t="inlineStr">
        <is>
          <t>I-P-0224</t>
        </is>
      </c>
      <c r="B5392" s="12" t="inlineStr">
        <is>
          <t>I</t>
        </is>
      </c>
      <c r="C5392" s="12" t="inlineStr">
        <is>
          <t>Modular / portable power</t>
        </is>
      </c>
      <c r="D5392" s="12" t="inlineStr">
        <is>
          <t>480 V welding receptacle 4</t>
        </is>
      </c>
      <c r="E5392" s="12" t="inlineStr"/>
      <c r="F5392" s="12" t="inlineStr">
        <is>
          <t>PCM: power control module</t>
        </is>
      </c>
      <c r="G5392" s="12" t="inlineStr">
        <is>
          <t>RICE-6</t>
        </is>
      </c>
      <c r="H5392" s="12" t="inlineStr">
        <is>
          <t>RICE engine-generator 6</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52</v>
      </c>
      <c r="U5392" s="15" t="n">
        <v>154</v>
      </c>
      <c r="V5392" s="15">
        <f>ROUNDUP((T5392+U5392+2*'Read Me'!$B$13)*(1+'Read Me'!$B$12),-1)</f>
        <v/>
      </c>
      <c r="W5392" s="15">
        <f>V5392*N5392*O5392</f>
        <v/>
      </c>
      <c r="X5392" s="12">
        <f>IF(LEFT(I5392,2)="MV",2*N5392*IF(L5392="1/C",O5392,1),0)</f>
        <v/>
      </c>
      <c r="Y5392" s="12">
        <f>IF(OR(LEFT(K5392,4)="LVAX",LEFT(K5392,6)="MV15AX",LEFT(K5392,4)="CTAX",LEFT(K5392,2)="W|"),2*N5392*O5392,0)</f>
        <v/>
      </c>
      <c r="Z5392" s="12" t="inlineStr">
        <is>
          <t>VD 1.2 %</t>
        </is>
      </c>
      <c r="AA5392" s="12">
        <f>N5392*O5392</f>
        <v/>
      </c>
    </row>
    <row r="5393">
      <c r="A5393" s="12" t="inlineStr">
        <is>
          <t>I-P-0225</t>
        </is>
      </c>
      <c r="B5393" s="12" t="inlineStr">
        <is>
          <t>I</t>
        </is>
      </c>
      <c r="C5393" s="12" t="inlineStr">
        <is>
          <t>Modular / portable power</t>
        </is>
      </c>
      <c r="D5393" s="12" t="inlineStr">
        <is>
          <t>Motor 1 of 6, 22 kW</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LV|3/C+G|8</t>
        </is>
      </c>
      <c r="L5393" s="12" t="inlineStr">
        <is>
          <t>3/C+G</t>
        </is>
      </c>
      <c r="M5393" s="12" t="inlineStr">
        <is>
          <t>8</t>
        </is>
      </c>
      <c r="N5393" s="12" t="n">
        <v>1</v>
      </c>
      <c r="O5393" s="12" t="n">
        <v>1</v>
      </c>
      <c r="P5393" s="12" t="n">
        <v>480</v>
      </c>
      <c r="Q5393" s="12" t="n">
        <v>22</v>
      </c>
      <c r="R5393" s="12" t="n">
        <v>31.1</v>
      </c>
      <c r="S5393" s="12" t="inlineStr">
        <is>
          <t>Duct bank</t>
        </is>
      </c>
      <c r="T5393" s="15" t="n">
        <v>52</v>
      </c>
      <c r="U5393" s="15" t="n">
        <v>126</v>
      </c>
      <c r="V5393" s="15">
        <f>ROUNDUP((T5393+U5393+2*'Read Me'!$B$13)*(1+'Read Me'!$B$12),-1)</f>
        <v/>
      </c>
      <c r="W5393" s="15">
        <f>V5393*N5393*O5393</f>
        <v/>
      </c>
      <c r="X5393" s="12">
        <f>IF(LEFT(I5393,2)="MV",2*N5393*IF(L5393="1/C",O5393,1),0)</f>
        <v/>
      </c>
      <c r="Y5393" s="12">
        <f>IF(OR(LEFT(K5393,4)="LVAX",LEFT(K5393,6)="MV15AX",LEFT(K5393,4)="CTAX",LEFT(K5393,2)="W|"),2*N5393*O5393,0)</f>
        <v/>
      </c>
      <c r="Z5393" s="12" t="inlineStr">
        <is>
          <t>VD 1.7 %</t>
        </is>
      </c>
      <c r="AA5393" s="12">
        <f>N5393*O5393</f>
        <v/>
      </c>
    </row>
    <row r="5394">
      <c r="A5394" s="12" t="inlineStr">
        <is>
          <t>I-P-0226</t>
        </is>
      </c>
      <c r="B5394" s="12" t="inlineStr">
        <is>
          <t>I</t>
        </is>
      </c>
      <c r="C5394" s="12" t="inlineStr">
        <is>
          <t>Modular / portable power</t>
        </is>
      </c>
      <c r="D5394" s="12" t="inlineStr">
        <is>
          <t>Motor 2 of 6, 22 kW</t>
        </is>
      </c>
      <c r="E5394" s="12" t="inlineStr"/>
      <c r="F5394" s="12" t="inlineStr">
        <is>
          <t>PCM: power control module</t>
        </is>
      </c>
      <c r="G5394" s="12" t="inlineStr">
        <is>
          <t>RICE-7</t>
        </is>
      </c>
      <c r="H5394" s="12" t="inlineStr">
        <is>
          <t>RICE engine-generator 7</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52</v>
      </c>
      <c r="U5394" s="15" t="n">
        <v>126</v>
      </c>
      <c r="V5394" s="15">
        <f>ROUNDUP((T5394+U5394+2*'Read Me'!$B$13)*(1+'Read Me'!$B$12),-1)</f>
        <v/>
      </c>
      <c r="W5394" s="15">
        <f>V5394*N5394*O5394</f>
        <v/>
      </c>
      <c r="X5394" s="12">
        <f>IF(LEFT(I5394,2)="MV",2*N5394*IF(L5394="1/C",O5394,1),0)</f>
        <v/>
      </c>
      <c r="Y5394" s="12">
        <f>IF(OR(LEFT(K5394,4)="LVAX",LEFT(K5394,6)="MV15AX",LEFT(K5394,4)="CTAX",LEFT(K5394,2)="W|"),2*N5394*O5394,0)</f>
        <v/>
      </c>
      <c r="Z5394" s="12" t="inlineStr">
        <is>
          <t>VD 1.7 %</t>
        </is>
      </c>
      <c r="AA5394" s="12">
        <f>N5394*O5394</f>
        <v/>
      </c>
    </row>
    <row r="5395">
      <c r="A5395" s="12" t="inlineStr">
        <is>
          <t>I-P-0227</t>
        </is>
      </c>
      <c r="B5395" s="12" t="inlineStr">
        <is>
          <t>I</t>
        </is>
      </c>
      <c r="C5395" s="12" t="inlineStr">
        <is>
          <t>Modular / portable power</t>
        </is>
      </c>
      <c r="D5395" s="12" t="inlineStr">
        <is>
          <t>Motor 3 of 6, 22 kW</t>
        </is>
      </c>
      <c r="E5395" s="12" t="inlineStr"/>
      <c r="F5395" s="12" t="inlineStr">
        <is>
          <t>PCM: power control module</t>
        </is>
      </c>
      <c r="G5395" s="12" t="inlineStr">
        <is>
          <t>RICE-7</t>
        </is>
      </c>
      <c r="H5395" s="12" t="inlineStr">
        <is>
          <t>RICE engine-generator 7</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52</v>
      </c>
      <c r="U5395" s="15" t="n">
        <v>126</v>
      </c>
      <c r="V5395" s="15">
        <f>ROUNDUP((T5395+U5395+2*'Read Me'!$B$13)*(1+'Read Me'!$B$12),-1)</f>
        <v/>
      </c>
      <c r="W5395" s="15">
        <f>V5395*N5395*O5395</f>
        <v/>
      </c>
      <c r="X5395" s="12">
        <f>IF(LEFT(I5395,2)="MV",2*N5395*IF(L5395="1/C",O5395,1),0)</f>
        <v/>
      </c>
      <c r="Y5395" s="12">
        <f>IF(OR(LEFT(K5395,4)="LVAX",LEFT(K5395,6)="MV15AX",LEFT(K5395,4)="CTAX",LEFT(K5395,2)="W|"),2*N5395*O5395,0)</f>
        <v/>
      </c>
      <c r="Z5395" s="12" t="inlineStr">
        <is>
          <t>VD 1.7 %</t>
        </is>
      </c>
      <c r="AA5395" s="12">
        <f>N5395*O5395</f>
        <v/>
      </c>
    </row>
    <row r="5396">
      <c r="A5396" s="12" t="inlineStr">
        <is>
          <t>I-P-0228</t>
        </is>
      </c>
      <c r="B5396" s="12" t="inlineStr">
        <is>
          <t>I</t>
        </is>
      </c>
      <c r="C5396" s="12" t="inlineStr">
        <is>
          <t>Modular / portable power</t>
        </is>
      </c>
      <c r="D5396" s="12" t="inlineStr">
        <is>
          <t>Motor 4 of 6, 22 kW</t>
        </is>
      </c>
      <c r="E5396" s="12" t="inlineStr"/>
      <c r="F5396" s="12" t="inlineStr">
        <is>
          <t>PCM: power control module</t>
        </is>
      </c>
      <c r="G5396" s="12" t="inlineStr">
        <is>
          <t>RICE-7</t>
        </is>
      </c>
      <c r="H5396" s="12" t="inlineStr">
        <is>
          <t>RICE engine-generator 7</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52</v>
      </c>
      <c r="U5396" s="15" t="n">
        <v>126</v>
      </c>
      <c r="V5396" s="15">
        <f>ROUNDUP((T5396+U5396+2*'Read Me'!$B$13)*(1+'Read Me'!$B$12),-1)</f>
        <v/>
      </c>
      <c r="W5396" s="15">
        <f>V5396*N5396*O5396</f>
        <v/>
      </c>
      <c r="X5396" s="12">
        <f>IF(LEFT(I5396,2)="MV",2*N5396*IF(L5396="1/C",O5396,1),0)</f>
        <v/>
      </c>
      <c r="Y5396" s="12">
        <f>IF(OR(LEFT(K5396,4)="LVAX",LEFT(K5396,6)="MV15AX",LEFT(K5396,4)="CTAX",LEFT(K5396,2)="W|"),2*N5396*O5396,0)</f>
        <v/>
      </c>
      <c r="Z5396" s="12" t="inlineStr">
        <is>
          <t>VD 1.7 %</t>
        </is>
      </c>
      <c r="AA5396" s="12">
        <f>N5396*O5396</f>
        <v/>
      </c>
    </row>
    <row r="5397">
      <c r="A5397" s="12" t="inlineStr">
        <is>
          <t>I-P-0229</t>
        </is>
      </c>
      <c r="B5397" s="12" t="inlineStr">
        <is>
          <t>I</t>
        </is>
      </c>
      <c r="C5397" s="12" t="inlineStr">
        <is>
          <t>Modular / portable power</t>
        </is>
      </c>
      <c r="D5397" s="12" t="inlineStr">
        <is>
          <t>Motor 5 of 6, 22 kW</t>
        </is>
      </c>
      <c r="E5397" s="12" t="inlineStr"/>
      <c r="F5397" s="12" t="inlineStr">
        <is>
          <t>PCM: power control module</t>
        </is>
      </c>
      <c r="G5397" s="12" t="inlineStr">
        <is>
          <t>RICE-7</t>
        </is>
      </c>
      <c r="H5397" s="12" t="inlineStr">
        <is>
          <t>RICE engine-generator 7</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52</v>
      </c>
      <c r="U5397" s="15" t="n">
        <v>126</v>
      </c>
      <c r="V5397" s="15">
        <f>ROUNDUP((T5397+U5397+2*'Read Me'!$B$13)*(1+'Read Me'!$B$12),-1)</f>
        <v/>
      </c>
      <c r="W5397" s="15">
        <f>V5397*N5397*O5397</f>
        <v/>
      </c>
      <c r="X5397" s="12">
        <f>IF(LEFT(I5397,2)="MV",2*N5397*IF(L5397="1/C",O5397,1),0)</f>
        <v/>
      </c>
      <c r="Y5397" s="12">
        <f>IF(OR(LEFT(K5397,4)="LVAX",LEFT(K5397,6)="MV15AX",LEFT(K5397,4)="CTAX",LEFT(K5397,2)="W|"),2*N5397*O5397,0)</f>
        <v/>
      </c>
      <c r="Z5397" s="12" t="inlineStr">
        <is>
          <t>VD 1.7 %</t>
        </is>
      </c>
      <c r="AA5397" s="12">
        <f>N5397*O5397</f>
        <v/>
      </c>
    </row>
    <row r="5398">
      <c r="A5398" s="12" t="inlineStr">
        <is>
          <t>I-P-0230</t>
        </is>
      </c>
      <c r="B5398" s="12" t="inlineStr">
        <is>
          <t>I</t>
        </is>
      </c>
      <c r="C5398" s="12" t="inlineStr">
        <is>
          <t>Modular / portable power</t>
        </is>
      </c>
      <c r="D5398" s="12" t="inlineStr">
        <is>
          <t>Motor 6 of 6, 22 kW</t>
        </is>
      </c>
      <c r="E5398" s="12" t="inlineStr"/>
      <c r="F5398" s="12" t="inlineStr">
        <is>
          <t>PCM: power control module</t>
        </is>
      </c>
      <c r="G5398" s="12" t="inlineStr">
        <is>
          <t>RICE-7</t>
        </is>
      </c>
      <c r="H5398" s="12" t="inlineStr">
        <is>
          <t>RICE engine-generator 7</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52</v>
      </c>
      <c r="U5398" s="15" t="n">
        <v>126</v>
      </c>
      <c r="V5398" s="15">
        <f>ROUNDUP((T5398+U5398+2*'Read Me'!$B$13)*(1+'Read Me'!$B$12),-1)</f>
        <v/>
      </c>
      <c r="W5398" s="15">
        <f>V5398*N5398*O5398</f>
        <v/>
      </c>
      <c r="X5398" s="12">
        <f>IF(LEFT(I5398,2)="MV",2*N5398*IF(L5398="1/C",O5398,1),0)</f>
        <v/>
      </c>
      <c r="Y5398" s="12">
        <f>IF(OR(LEFT(K5398,4)="LVAX",LEFT(K5398,6)="MV15AX",LEFT(K5398,4)="CTAX",LEFT(K5398,2)="W|"),2*N5398*O5398,0)</f>
        <v/>
      </c>
      <c r="Z5398" s="12" t="inlineStr">
        <is>
          <t>VD 1.7 %</t>
        </is>
      </c>
      <c r="AA5398" s="12">
        <f>N5398*O5398</f>
        <v/>
      </c>
    </row>
    <row r="5399">
      <c r="A5399" s="12" t="inlineStr">
        <is>
          <t>I-P-0231</t>
        </is>
      </c>
      <c r="B5399" s="12" t="inlineStr">
        <is>
          <t>I</t>
        </is>
      </c>
      <c r="C5399" s="12" t="inlineStr">
        <is>
          <t>Modular / portable power</t>
        </is>
      </c>
      <c r="D5399" s="12" t="inlineStr">
        <is>
          <t>480 V welding receptacle 1</t>
        </is>
      </c>
      <c r="E5399" s="12" t="inlineStr"/>
      <c r="F5399" s="12" t="inlineStr">
        <is>
          <t>PCM: power control module</t>
        </is>
      </c>
      <c r="G5399" s="12" t="inlineStr">
        <is>
          <t>RICE-7</t>
        </is>
      </c>
      <c r="H5399" s="12" t="inlineStr">
        <is>
          <t>RICE engine-generator 7</t>
        </is>
      </c>
      <c r="I5399" s="12" t="inlineStr">
        <is>
          <t>LV 600 V</t>
        </is>
      </c>
      <c r="J5399" s="12" t="inlineStr">
        <is>
          <t>Type TC-ER 600 V 3/C Cu XHHW-2 + ground, PVC jacket</t>
        </is>
      </c>
      <c r="K5399" s="12" t="inlineStr">
        <is>
          <t>LV|3/C+G|2</t>
        </is>
      </c>
      <c r="L5399" s="12" t="inlineStr">
        <is>
          <t>3/C+G</t>
        </is>
      </c>
      <c r="M5399" s="12" t="inlineStr">
        <is>
          <t>2</t>
        </is>
      </c>
      <c r="N5399" s="12" t="n">
        <v>1</v>
      </c>
      <c r="O5399" s="12" t="n">
        <v>1</v>
      </c>
      <c r="P5399" s="12" t="n">
        <v>480</v>
      </c>
      <c r="Q5399" s="12" t="n">
        <v>60</v>
      </c>
      <c r="R5399" s="12" t="n">
        <v>76</v>
      </c>
      <c r="S5399" s="12" t="inlineStr">
        <is>
          <t>Duct bank</t>
        </is>
      </c>
      <c r="T5399" s="15" t="n">
        <v>52</v>
      </c>
      <c r="U5399" s="15" t="n">
        <v>126</v>
      </c>
      <c r="V5399" s="15">
        <f>ROUNDUP((T5399+U5399+2*'Read Me'!$B$13)*(1+'Read Me'!$B$12),-1)</f>
        <v/>
      </c>
      <c r="W5399" s="15">
        <f>V5399*N5399*O5399</f>
        <v/>
      </c>
      <c r="X5399" s="12">
        <f>IF(LEFT(I5399,2)="MV",2*N5399*IF(L5399="1/C",O5399,1),0)</f>
        <v/>
      </c>
      <c r="Y5399" s="12">
        <f>IF(OR(LEFT(K5399,4)="LVAX",LEFT(K5399,6)="MV15AX",LEFT(K5399,4)="CTAX",LEFT(K5399,2)="W|"),2*N5399*O5399,0)</f>
        <v/>
      </c>
      <c r="Z5399" s="12" t="inlineStr">
        <is>
          <t>VD 1.0 %</t>
        </is>
      </c>
      <c r="AA5399" s="12">
        <f>N5399*O5399</f>
        <v/>
      </c>
    </row>
    <row r="5400">
      <c r="A5400" s="12" t="inlineStr">
        <is>
          <t>I-P-0232</t>
        </is>
      </c>
      <c r="B5400" s="12" t="inlineStr">
        <is>
          <t>I</t>
        </is>
      </c>
      <c r="C5400" s="12" t="inlineStr">
        <is>
          <t>Modular / portable power</t>
        </is>
      </c>
      <c r="D5400" s="12" t="inlineStr">
        <is>
          <t>480 V welding receptacle 2</t>
        </is>
      </c>
      <c r="E5400" s="12" t="inlineStr"/>
      <c r="F5400" s="12" t="inlineStr">
        <is>
          <t>PCM: power control module</t>
        </is>
      </c>
      <c r="G5400" s="12" t="inlineStr">
        <is>
          <t>RICE-7</t>
        </is>
      </c>
      <c r="H5400" s="12" t="inlineStr">
        <is>
          <t>RICE engine-generator 7</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52</v>
      </c>
      <c r="U5400" s="15" t="n">
        <v>126</v>
      </c>
      <c r="V5400" s="15">
        <f>ROUNDUP((T5400+U5400+2*'Read Me'!$B$13)*(1+'Read Me'!$B$12),-1)</f>
        <v/>
      </c>
      <c r="W5400" s="15">
        <f>V5400*N5400*O5400</f>
        <v/>
      </c>
      <c r="X5400" s="12">
        <f>IF(LEFT(I5400,2)="MV",2*N5400*IF(L5400="1/C",O5400,1),0)</f>
        <v/>
      </c>
      <c r="Y5400" s="12">
        <f>IF(OR(LEFT(K5400,4)="LVAX",LEFT(K5400,6)="MV15AX",LEFT(K5400,4)="CTAX",LEFT(K5400,2)="W|"),2*N5400*O5400,0)</f>
        <v/>
      </c>
      <c r="Z5400" s="12" t="inlineStr">
        <is>
          <t>VD 1.0 %</t>
        </is>
      </c>
      <c r="AA5400" s="12">
        <f>N5400*O5400</f>
        <v/>
      </c>
    </row>
    <row r="5401">
      <c r="A5401" s="12" t="inlineStr">
        <is>
          <t>I-P-0233</t>
        </is>
      </c>
      <c r="B5401" s="12" t="inlineStr">
        <is>
          <t>I</t>
        </is>
      </c>
      <c r="C5401" s="12" t="inlineStr">
        <is>
          <t>Modular / portable power</t>
        </is>
      </c>
      <c r="D5401" s="12" t="inlineStr">
        <is>
          <t>480 V welding receptacle 3</t>
        </is>
      </c>
      <c r="E5401" s="12" t="inlineStr"/>
      <c r="F5401" s="12" t="inlineStr">
        <is>
          <t>PCM: power control module</t>
        </is>
      </c>
      <c r="G5401" s="12" t="inlineStr">
        <is>
          <t>RICE-7</t>
        </is>
      </c>
      <c r="H5401" s="12" t="inlineStr">
        <is>
          <t>RICE engine-generator 7</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52</v>
      </c>
      <c r="U5401" s="15" t="n">
        <v>126</v>
      </c>
      <c r="V5401" s="15">
        <f>ROUNDUP((T5401+U5401+2*'Read Me'!$B$13)*(1+'Read Me'!$B$12),-1)</f>
        <v/>
      </c>
      <c r="W5401" s="15">
        <f>V5401*N5401*O5401</f>
        <v/>
      </c>
      <c r="X5401" s="12">
        <f>IF(LEFT(I5401,2)="MV",2*N5401*IF(L5401="1/C",O5401,1),0)</f>
        <v/>
      </c>
      <c r="Y5401" s="12">
        <f>IF(OR(LEFT(K5401,4)="LVAX",LEFT(K5401,6)="MV15AX",LEFT(K5401,4)="CTAX",LEFT(K5401,2)="W|"),2*N5401*O5401,0)</f>
        <v/>
      </c>
      <c r="Z5401" s="12" t="inlineStr">
        <is>
          <t>VD 1.0 %</t>
        </is>
      </c>
      <c r="AA5401" s="12">
        <f>N5401*O5401</f>
        <v/>
      </c>
    </row>
    <row r="5402">
      <c r="A5402" s="12" t="inlineStr">
        <is>
          <t>I-P-0234</t>
        </is>
      </c>
      <c r="B5402" s="12" t="inlineStr">
        <is>
          <t>I</t>
        </is>
      </c>
      <c r="C5402" s="12" t="inlineStr">
        <is>
          <t>Modular / portable power</t>
        </is>
      </c>
      <c r="D5402" s="12" t="inlineStr">
        <is>
          <t>480 V welding receptacle 4</t>
        </is>
      </c>
      <c r="E5402" s="12" t="inlineStr"/>
      <c r="F5402" s="12" t="inlineStr">
        <is>
          <t>PCM: power control module</t>
        </is>
      </c>
      <c r="G5402" s="12" t="inlineStr">
        <is>
          <t>RICE-7</t>
        </is>
      </c>
      <c r="H5402" s="12" t="inlineStr">
        <is>
          <t>RICE engine-generator 7</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52</v>
      </c>
      <c r="U5402" s="15" t="n">
        <v>126</v>
      </c>
      <c r="V5402" s="15">
        <f>ROUNDUP((T5402+U5402+2*'Read Me'!$B$13)*(1+'Read Me'!$B$12),-1)</f>
        <v/>
      </c>
      <c r="W5402" s="15">
        <f>V5402*N5402*O5402</f>
        <v/>
      </c>
      <c r="X5402" s="12">
        <f>IF(LEFT(I5402,2)="MV",2*N5402*IF(L5402="1/C",O5402,1),0)</f>
        <v/>
      </c>
      <c r="Y5402" s="12">
        <f>IF(OR(LEFT(K5402,4)="LVAX",LEFT(K5402,6)="MV15AX",LEFT(K5402,4)="CTAX",LEFT(K5402,2)="W|"),2*N5402*O5402,0)</f>
        <v/>
      </c>
      <c r="Z5402" s="12" t="inlineStr">
        <is>
          <t>VD 1.0 %</t>
        </is>
      </c>
      <c r="AA5402" s="12">
        <f>N5402*O5402</f>
        <v/>
      </c>
    </row>
    <row r="5403">
      <c r="A5403" s="12" t="inlineStr">
        <is>
          <t>I-P-0235</t>
        </is>
      </c>
      <c r="B5403" s="12" t="inlineStr">
        <is>
          <t>I</t>
        </is>
      </c>
      <c r="C5403" s="12" t="inlineStr">
        <is>
          <t>Modular / portable power</t>
        </is>
      </c>
      <c r="D5403" s="12" t="inlineStr">
        <is>
          <t>Motor 1 of 6, 22 kW</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LV|3/C+G|8</t>
        </is>
      </c>
      <c r="L5403" s="12" t="inlineStr">
        <is>
          <t>3/C+G</t>
        </is>
      </c>
      <c r="M5403" s="12" t="inlineStr">
        <is>
          <t>8</t>
        </is>
      </c>
      <c r="N5403" s="12" t="n">
        <v>1</v>
      </c>
      <c r="O5403" s="12" t="n">
        <v>1</v>
      </c>
      <c r="P5403" s="12" t="n">
        <v>480</v>
      </c>
      <c r="Q5403" s="12" t="n">
        <v>22</v>
      </c>
      <c r="R5403" s="12" t="n">
        <v>31.1</v>
      </c>
      <c r="S5403" s="12" t="inlineStr">
        <is>
          <t>Duct bank</t>
        </is>
      </c>
      <c r="T5403" s="15" t="n">
        <v>52</v>
      </c>
      <c r="U5403" s="15" t="n">
        <v>98</v>
      </c>
      <c r="V5403" s="15">
        <f>ROUNDUP((T5403+U5403+2*'Read Me'!$B$13)*(1+'Read Me'!$B$12),-1)</f>
        <v/>
      </c>
      <c r="W5403" s="15">
        <f>V5403*N5403*O5403</f>
        <v/>
      </c>
      <c r="X5403" s="12">
        <f>IF(LEFT(I5403,2)="MV",2*N5403*IF(L5403="1/C",O5403,1),0)</f>
        <v/>
      </c>
      <c r="Y5403" s="12">
        <f>IF(OR(LEFT(K5403,4)="LVAX",LEFT(K5403,6)="MV15AX",LEFT(K5403,4)="CTAX",LEFT(K5403,2)="W|"),2*N5403*O5403,0)</f>
        <v/>
      </c>
      <c r="Z5403" s="12" t="inlineStr">
        <is>
          <t>VD 1.4 %</t>
        </is>
      </c>
      <c r="AA5403" s="12">
        <f>N5403*O5403</f>
        <v/>
      </c>
    </row>
    <row r="5404">
      <c r="A5404" s="12" t="inlineStr">
        <is>
          <t>I-P-0236</t>
        </is>
      </c>
      <c r="B5404" s="12" t="inlineStr">
        <is>
          <t>I</t>
        </is>
      </c>
      <c r="C5404" s="12" t="inlineStr">
        <is>
          <t>Modular / portable power</t>
        </is>
      </c>
      <c r="D5404" s="12" t="inlineStr">
        <is>
          <t>Motor 2 of 6, 22 kW</t>
        </is>
      </c>
      <c r="E5404" s="12" t="inlineStr"/>
      <c r="F5404" s="12" t="inlineStr">
        <is>
          <t>PCM: power control module</t>
        </is>
      </c>
      <c r="G5404" s="12" t="inlineStr">
        <is>
          <t>RICE-8</t>
        </is>
      </c>
      <c r="H5404" s="12" t="inlineStr">
        <is>
          <t>RICE engine-generator 8</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52</v>
      </c>
      <c r="U5404" s="15" t="n">
        <v>98</v>
      </c>
      <c r="V5404" s="15">
        <f>ROUNDUP((T5404+U5404+2*'Read Me'!$B$13)*(1+'Read Me'!$B$12),-1)</f>
        <v/>
      </c>
      <c r="W5404" s="15">
        <f>V5404*N5404*O5404</f>
        <v/>
      </c>
      <c r="X5404" s="12">
        <f>IF(LEFT(I5404,2)="MV",2*N5404*IF(L5404="1/C",O5404,1),0)</f>
        <v/>
      </c>
      <c r="Y5404" s="12">
        <f>IF(OR(LEFT(K5404,4)="LVAX",LEFT(K5404,6)="MV15AX",LEFT(K5404,4)="CTAX",LEFT(K5404,2)="W|"),2*N5404*O5404,0)</f>
        <v/>
      </c>
      <c r="Z5404" s="12" t="inlineStr">
        <is>
          <t>VD 1.4 %</t>
        </is>
      </c>
      <c r="AA5404" s="12">
        <f>N5404*O5404</f>
        <v/>
      </c>
    </row>
    <row r="5405">
      <c r="A5405" s="12" t="inlineStr">
        <is>
          <t>I-P-0237</t>
        </is>
      </c>
      <c r="B5405" s="12" t="inlineStr">
        <is>
          <t>I</t>
        </is>
      </c>
      <c r="C5405" s="12" t="inlineStr">
        <is>
          <t>Modular / portable power</t>
        </is>
      </c>
      <c r="D5405" s="12" t="inlineStr">
        <is>
          <t>Motor 3 of 6, 22 kW</t>
        </is>
      </c>
      <c r="E5405" s="12" t="inlineStr"/>
      <c r="F5405" s="12" t="inlineStr">
        <is>
          <t>PCM: power control module</t>
        </is>
      </c>
      <c r="G5405" s="12" t="inlineStr">
        <is>
          <t>RICE-8</t>
        </is>
      </c>
      <c r="H5405" s="12" t="inlineStr">
        <is>
          <t>RICE engine-generator 8</t>
        </is>
      </c>
      <c r="I5405" s="12" t="inlineStr">
        <is>
          <t>LV 600 V</t>
        </is>
      </c>
      <c r="J5405" s="12" t="inlineStr">
        <is>
          <t>Type TC-ER 600 V 3/C Cu XHHW-2 + ground, PVC jacket</t>
        </is>
      </c>
      <c r="K5405" s="12" t="inlineStr">
        <is>
          <t>LV|3/C+G|8</t>
        </is>
      </c>
      <c r="L5405" s="12" t="inlineStr">
        <is>
          <t>3/C+G</t>
        </is>
      </c>
      <c r="M5405" s="12" t="inlineStr">
        <is>
          <t>8</t>
        </is>
      </c>
      <c r="N5405" s="12" t="n">
        <v>1</v>
      </c>
      <c r="O5405" s="12" t="n">
        <v>1</v>
      </c>
      <c r="P5405" s="12" t="n">
        <v>480</v>
      </c>
      <c r="Q5405" s="12" t="n">
        <v>22</v>
      </c>
      <c r="R5405" s="12" t="n">
        <v>31.1</v>
      </c>
      <c r="S5405" s="12" t="inlineStr">
        <is>
          <t>Duct bank</t>
        </is>
      </c>
      <c r="T5405" s="15" t="n">
        <v>52</v>
      </c>
      <c r="U5405" s="15" t="n">
        <v>98</v>
      </c>
      <c r="V5405" s="15">
        <f>ROUNDUP((T5405+U5405+2*'Read Me'!$B$13)*(1+'Read Me'!$B$12),-1)</f>
        <v/>
      </c>
      <c r="W5405" s="15">
        <f>V5405*N5405*O5405</f>
        <v/>
      </c>
      <c r="X5405" s="12">
        <f>IF(LEFT(I5405,2)="MV",2*N5405*IF(L5405="1/C",O5405,1),0)</f>
        <v/>
      </c>
      <c r="Y5405" s="12">
        <f>IF(OR(LEFT(K5405,4)="LVAX",LEFT(K5405,6)="MV15AX",LEFT(K5405,4)="CTAX",LEFT(K5405,2)="W|"),2*N5405*O5405,0)</f>
        <v/>
      </c>
      <c r="Z5405" s="12" t="inlineStr">
        <is>
          <t>VD 1.4 %</t>
        </is>
      </c>
      <c r="AA5405" s="12">
        <f>N5405*O5405</f>
        <v/>
      </c>
    </row>
    <row r="5406">
      <c r="A5406" s="12" t="inlineStr">
        <is>
          <t>I-P-0238</t>
        </is>
      </c>
      <c r="B5406" s="12" t="inlineStr">
        <is>
          <t>I</t>
        </is>
      </c>
      <c r="C5406" s="12" t="inlineStr">
        <is>
          <t>Modular / portable power</t>
        </is>
      </c>
      <c r="D5406" s="12" t="inlineStr">
        <is>
          <t>Motor 4 of 6, 22 kW</t>
        </is>
      </c>
      <c r="E5406" s="12" t="inlineStr"/>
      <c r="F5406" s="12" t="inlineStr">
        <is>
          <t>PCM: power control module</t>
        </is>
      </c>
      <c r="G5406" s="12" t="inlineStr">
        <is>
          <t>RICE-8</t>
        </is>
      </c>
      <c r="H5406" s="12" t="inlineStr">
        <is>
          <t>RICE engine-generator 8</t>
        </is>
      </c>
      <c r="I5406" s="12" t="inlineStr">
        <is>
          <t>LV 600 V</t>
        </is>
      </c>
      <c r="J5406" s="12" t="inlineStr">
        <is>
          <t>Type TC-ER 600 V 3/C Cu XHHW-2 + ground, PVC jacket</t>
        </is>
      </c>
      <c r="K5406" s="12" t="inlineStr">
        <is>
          <t>LV|3/C+G|8</t>
        </is>
      </c>
      <c r="L5406" s="12" t="inlineStr">
        <is>
          <t>3/C+G</t>
        </is>
      </c>
      <c r="M5406" s="12" t="inlineStr">
        <is>
          <t>8</t>
        </is>
      </c>
      <c r="N5406" s="12" t="n">
        <v>1</v>
      </c>
      <c r="O5406" s="12" t="n">
        <v>1</v>
      </c>
      <c r="P5406" s="12" t="n">
        <v>480</v>
      </c>
      <c r="Q5406" s="12" t="n">
        <v>22</v>
      </c>
      <c r="R5406" s="12" t="n">
        <v>31.1</v>
      </c>
      <c r="S5406" s="12" t="inlineStr">
        <is>
          <t>Duct bank</t>
        </is>
      </c>
      <c r="T5406" s="15" t="n">
        <v>52</v>
      </c>
      <c r="U5406" s="15" t="n">
        <v>98</v>
      </c>
      <c r="V5406" s="15">
        <f>ROUNDUP((T5406+U5406+2*'Read Me'!$B$13)*(1+'Read Me'!$B$12),-1)</f>
        <v/>
      </c>
      <c r="W5406" s="15">
        <f>V5406*N5406*O5406</f>
        <v/>
      </c>
      <c r="X5406" s="12">
        <f>IF(LEFT(I5406,2)="MV",2*N5406*IF(L5406="1/C",O5406,1),0)</f>
        <v/>
      </c>
      <c r="Y5406" s="12">
        <f>IF(OR(LEFT(K5406,4)="LVAX",LEFT(K5406,6)="MV15AX",LEFT(K5406,4)="CTAX",LEFT(K5406,2)="W|"),2*N5406*O5406,0)</f>
        <v/>
      </c>
      <c r="Z5406" s="12" t="inlineStr">
        <is>
          <t>VD 1.4 %</t>
        </is>
      </c>
      <c r="AA5406" s="12">
        <f>N5406*O5406</f>
        <v/>
      </c>
    </row>
    <row r="5407">
      <c r="A5407" s="12" t="inlineStr">
        <is>
          <t>I-P-0239</t>
        </is>
      </c>
      <c r="B5407" s="12" t="inlineStr">
        <is>
          <t>I</t>
        </is>
      </c>
      <c r="C5407" s="12" t="inlineStr">
        <is>
          <t>Modular / portable power</t>
        </is>
      </c>
      <c r="D5407" s="12" t="inlineStr">
        <is>
          <t>Motor 5 of 6, 22 kW</t>
        </is>
      </c>
      <c r="E5407" s="12" t="inlineStr"/>
      <c r="F5407" s="12" t="inlineStr">
        <is>
          <t>PCM: power control module</t>
        </is>
      </c>
      <c r="G5407" s="12" t="inlineStr">
        <is>
          <t>RICE-8</t>
        </is>
      </c>
      <c r="H5407" s="12" t="inlineStr">
        <is>
          <t>RICE engine-generator 8</t>
        </is>
      </c>
      <c r="I5407" s="12" t="inlineStr">
        <is>
          <t>LV 600 V</t>
        </is>
      </c>
      <c r="J5407" s="12" t="inlineStr">
        <is>
          <t>Type TC-ER 600 V 3/C Cu XHHW-2 + ground, PVC jacket</t>
        </is>
      </c>
      <c r="K5407" s="12" t="inlineStr">
        <is>
          <t>LV|3/C+G|8</t>
        </is>
      </c>
      <c r="L5407" s="12" t="inlineStr">
        <is>
          <t>3/C+G</t>
        </is>
      </c>
      <c r="M5407" s="12" t="inlineStr">
        <is>
          <t>8</t>
        </is>
      </c>
      <c r="N5407" s="12" t="n">
        <v>1</v>
      </c>
      <c r="O5407" s="12" t="n">
        <v>1</v>
      </c>
      <c r="P5407" s="12" t="n">
        <v>480</v>
      </c>
      <c r="Q5407" s="12" t="n">
        <v>22</v>
      </c>
      <c r="R5407" s="12" t="n">
        <v>31.1</v>
      </c>
      <c r="S5407" s="12" t="inlineStr">
        <is>
          <t>Duct bank</t>
        </is>
      </c>
      <c r="T5407" s="15" t="n">
        <v>52</v>
      </c>
      <c r="U5407" s="15" t="n">
        <v>98</v>
      </c>
      <c r="V5407" s="15">
        <f>ROUNDUP((T5407+U5407+2*'Read Me'!$B$13)*(1+'Read Me'!$B$12),-1)</f>
        <v/>
      </c>
      <c r="W5407" s="15">
        <f>V5407*N5407*O5407</f>
        <v/>
      </c>
      <c r="X5407" s="12">
        <f>IF(LEFT(I5407,2)="MV",2*N5407*IF(L5407="1/C",O5407,1),0)</f>
        <v/>
      </c>
      <c r="Y5407" s="12">
        <f>IF(OR(LEFT(K5407,4)="LVAX",LEFT(K5407,6)="MV15AX",LEFT(K5407,4)="CTAX",LEFT(K5407,2)="W|"),2*N5407*O5407,0)</f>
        <v/>
      </c>
      <c r="Z5407" s="12" t="inlineStr">
        <is>
          <t>VD 1.4 %</t>
        </is>
      </c>
      <c r="AA5407" s="12">
        <f>N5407*O5407</f>
        <v/>
      </c>
    </row>
    <row r="5408">
      <c r="A5408" s="12" t="inlineStr">
        <is>
          <t>I-P-0240</t>
        </is>
      </c>
      <c r="B5408" s="12" t="inlineStr">
        <is>
          <t>I</t>
        </is>
      </c>
      <c r="C5408" s="12" t="inlineStr">
        <is>
          <t>Modular / portable power</t>
        </is>
      </c>
      <c r="D5408" s="12" t="inlineStr">
        <is>
          <t>Motor 6 of 6, 22 kW</t>
        </is>
      </c>
      <c r="E5408" s="12" t="inlineStr"/>
      <c r="F5408" s="12" t="inlineStr">
        <is>
          <t>PCM: power control module</t>
        </is>
      </c>
      <c r="G5408" s="12" t="inlineStr">
        <is>
          <t>RICE-8</t>
        </is>
      </c>
      <c r="H5408" s="12" t="inlineStr">
        <is>
          <t>RICE engine-generator 8</t>
        </is>
      </c>
      <c r="I5408" s="12" t="inlineStr">
        <is>
          <t>LV 600 V</t>
        </is>
      </c>
      <c r="J5408" s="12" t="inlineStr">
        <is>
          <t>Type TC-ER 600 V 3/C Cu XHHW-2 + ground, PVC jacket</t>
        </is>
      </c>
      <c r="K5408" s="12" t="inlineStr">
        <is>
          <t>LV|3/C+G|8</t>
        </is>
      </c>
      <c r="L5408" s="12" t="inlineStr">
        <is>
          <t>3/C+G</t>
        </is>
      </c>
      <c r="M5408" s="12" t="inlineStr">
        <is>
          <t>8</t>
        </is>
      </c>
      <c r="N5408" s="12" t="n">
        <v>1</v>
      </c>
      <c r="O5408" s="12" t="n">
        <v>1</v>
      </c>
      <c r="P5408" s="12" t="n">
        <v>480</v>
      </c>
      <c r="Q5408" s="12" t="n">
        <v>22</v>
      </c>
      <c r="R5408" s="12" t="n">
        <v>31.1</v>
      </c>
      <c r="S5408" s="12" t="inlineStr">
        <is>
          <t>Duct bank</t>
        </is>
      </c>
      <c r="T5408" s="15" t="n">
        <v>52</v>
      </c>
      <c r="U5408" s="15" t="n">
        <v>98</v>
      </c>
      <c r="V5408" s="15">
        <f>ROUNDUP((T5408+U5408+2*'Read Me'!$B$13)*(1+'Read Me'!$B$12),-1)</f>
        <v/>
      </c>
      <c r="W5408" s="15">
        <f>V5408*N5408*O5408</f>
        <v/>
      </c>
      <c r="X5408" s="12">
        <f>IF(LEFT(I5408,2)="MV",2*N5408*IF(L5408="1/C",O5408,1),0)</f>
        <v/>
      </c>
      <c r="Y5408" s="12">
        <f>IF(OR(LEFT(K5408,4)="LVAX",LEFT(K5408,6)="MV15AX",LEFT(K5408,4)="CTAX",LEFT(K5408,2)="W|"),2*N5408*O5408,0)</f>
        <v/>
      </c>
      <c r="Z5408" s="12" t="inlineStr">
        <is>
          <t>VD 1.4 %</t>
        </is>
      </c>
      <c r="AA5408" s="12">
        <f>N5408*O5408</f>
        <v/>
      </c>
    </row>
    <row r="5409">
      <c r="A5409" s="12" t="inlineStr">
        <is>
          <t>I-P-0241</t>
        </is>
      </c>
      <c r="B5409" s="12" t="inlineStr">
        <is>
          <t>I</t>
        </is>
      </c>
      <c r="C5409" s="12" t="inlineStr">
        <is>
          <t>Modular / portable power</t>
        </is>
      </c>
      <c r="D5409" s="12" t="inlineStr">
        <is>
          <t>480 V welding receptacle 1</t>
        </is>
      </c>
      <c r="E5409" s="12" t="inlineStr"/>
      <c r="F5409" s="12" t="inlineStr">
        <is>
          <t>PCM: power control module</t>
        </is>
      </c>
      <c r="G5409" s="12" t="inlineStr">
        <is>
          <t>RICE-8</t>
        </is>
      </c>
      <c r="H5409" s="12" t="inlineStr">
        <is>
          <t>RICE engine-generator 8</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60</v>
      </c>
      <c r="R5409" s="12" t="n">
        <v>76</v>
      </c>
      <c r="S5409" s="12" t="inlineStr">
        <is>
          <t>Duct bank</t>
        </is>
      </c>
      <c r="T5409" s="15" t="n">
        <v>52</v>
      </c>
      <c r="U5409" s="15" t="n">
        <v>98</v>
      </c>
      <c r="V5409" s="15">
        <f>ROUNDUP((T5409+U5409+2*'Read Me'!$B$13)*(1+'Read Me'!$B$12),-1)</f>
        <v/>
      </c>
      <c r="W5409" s="15">
        <f>V5409*N5409*O5409</f>
        <v/>
      </c>
      <c r="X5409" s="12">
        <f>IF(LEFT(I5409,2)="MV",2*N5409*IF(L5409="1/C",O5409,1),0)</f>
        <v/>
      </c>
      <c r="Y5409" s="12">
        <f>IF(OR(LEFT(K5409,4)="LVAX",LEFT(K5409,6)="MV15AX",LEFT(K5409,4)="CTAX",LEFT(K5409,2)="W|"),2*N5409*O5409,0)</f>
        <v/>
      </c>
      <c r="Z5409" s="12" t="inlineStr">
        <is>
          <t>VD 0.9 %</t>
        </is>
      </c>
      <c r="AA5409" s="12">
        <f>N5409*O5409</f>
        <v/>
      </c>
    </row>
    <row r="5410">
      <c r="A5410" s="12" t="inlineStr">
        <is>
          <t>I-P-0242</t>
        </is>
      </c>
      <c r="B5410" s="12" t="inlineStr">
        <is>
          <t>I</t>
        </is>
      </c>
      <c r="C5410" s="12" t="inlineStr">
        <is>
          <t>Modular / portable power</t>
        </is>
      </c>
      <c r="D5410" s="12" t="inlineStr">
        <is>
          <t>480 V welding receptacle 2</t>
        </is>
      </c>
      <c r="E5410" s="12" t="inlineStr"/>
      <c r="F5410" s="12" t="inlineStr">
        <is>
          <t>PCM: power control module</t>
        </is>
      </c>
      <c r="G5410" s="12" t="inlineStr">
        <is>
          <t>RICE-8</t>
        </is>
      </c>
      <c r="H5410" s="12" t="inlineStr">
        <is>
          <t>RICE engine-generator 8</t>
        </is>
      </c>
      <c r="I5410" s="12" t="inlineStr">
        <is>
          <t>LV 600 V</t>
        </is>
      </c>
      <c r="J5410" s="12" t="inlineStr">
        <is>
          <t>Type TC-ER 600 V 3/C Cu XHHW-2 + ground, PVC jacket</t>
        </is>
      </c>
      <c r="K5410" s="12" t="inlineStr">
        <is>
          <t>LV|3/C+G|2</t>
        </is>
      </c>
      <c r="L5410" s="12" t="inlineStr">
        <is>
          <t>3/C+G</t>
        </is>
      </c>
      <c r="M5410" s="12" t="inlineStr">
        <is>
          <t>2</t>
        </is>
      </c>
      <c r="N5410" s="12" t="n">
        <v>1</v>
      </c>
      <c r="O5410" s="12" t="n">
        <v>1</v>
      </c>
      <c r="P5410" s="12" t="n">
        <v>480</v>
      </c>
      <c r="Q5410" s="12" t="n">
        <v>60</v>
      </c>
      <c r="R5410" s="12" t="n">
        <v>76</v>
      </c>
      <c r="S5410" s="12" t="inlineStr">
        <is>
          <t>Duct bank</t>
        </is>
      </c>
      <c r="T5410" s="15" t="n">
        <v>52</v>
      </c>
      <c r="U5410" s="15" t="n">
        <v>98</v>
      </c>
      <c r="V5410" s="15">
        <f>ROUNDUP((T5410+U5410+2*'Read Me'!$B$13)*(1+'Read Me'!$B$12),-1)</f>
        <v/>
      </c>
      <c r="W5410" s="15">
        <f>V5410*N5410*O5410</f>
        <v/>
      </c>
      <c r="X5410" s="12">
        <f>IF(LEFT(I5410,2)="MV",2*N5410*IF(L5410="1/C",O5410,1),0)</f>
        <v/>
      </c>
      <c r="Y5410" s="12">
        <f>IF(OR(LEFT(K5410,4)="LVAX",LEFT(K5410,6)="MV15AX",LEFT(K5410,4)="CTAX",LEFT(K5410,2)="W|"),2*N5410*O5410,0)</f>
        <v/>
      </c>
      <c r="Z5410" s="12" t="inlineStr">
        <is>
          <t>VD 0.9 %</t>
        </is>
      </c>
      <c r="AA5410" s="12">
        <f>N5410*O5410</f>
        <v/>
      </c>
    </row>
    <row r="5411">
      <c r="A5411" s="12" t="inlineStr">
        <is>
          <t>I-P-0243</t>
        </is>
      </c>
      <c r="B5411" s="12" t="inlineStr">
        <is>
          <t>I</t>
        </is>
      </c>
      <c r="C5411" s="12" t="inlineStr">
        <is>
          <t>Modular / portable power</t>
        </is>
      </c>
      <c r="D5411" s="12" t="inlineStr">
        <is>
          <t>480 V welding receptacle 3</t>
        </is>
      </c>
      <c r="E5411" s="12" t="inlineStr"/>
      <c r="F5411" s="12" t="inlineStr">
        <is>
          <t>PCM: power control module</t>
        </is>
      </c>
      <c r="G5411" s="12" t="inlineStr">
        <is>
          <t>RICE-8</t>
        </is>
      </c>
      <c r="H5411" s="12" t="inlineStr">
        <is>
          <t>RICE engine-generator 8</t>
        </is>
      </c>
      <c r="I5411" s="12" t="inlineStr">
        <is>
          <t>LV 600 V</t>
        </is>
      </c>
      <c r="J5411" s="12" t="inlineStr">
        <is>
          <t>Type TC-ER 600 V 3/C Cu XHHW-2 + ground, PVC jacket</t>
        </is>
      </c>
      <c r="K5411" s="12" t="inlineStr">
        <is>
          <t>LV|3/C+G|2</t>
        </is>
      </c>
      <c r="L5411" s="12" t="inlineStr">
        <is>
          <t>3/C+G</t>
        </is>
      </c>
      <c r="M5411" s="12" t="inlineStr">
        <is>
          <t>2</t>
        </is>
      </c>
      <c r="N5411" s="12" t="n">
        <v>1</v>
      </c>
      <c r="O5411" s="12" t="n">
        <v>1</v>
      </c>
      <c r="P5411" s="12" t="n">
        <v>480</v>
      </c>
      <c r="Q5411" s="12" t="n">
        <v>60</v>
      </c>
      <c r="R5411" s="12" t="n">
        <v>76</v>
      </c>
      <c r="S5411" s="12" t="inlineStr">
        <is>
          <t>Duct bank</t>
        </is>
      </c>
      <c r="T5411" s="15" t="n">
        <v>52</v>
      </c>
      <c r="U5411" s="15" t="n">
        <v>98</v>
      </c>
      <c r="V5411" s="15">
        <f>ROUNDUP((T5411+U5411+2*'Read Me'!$B$13)*(1+'Read Me'!$B$12),-1)</f>
        <v/>
      </c>
      <c r="W5411" s="15">
        <f>V5411*N5411*O5411</f>
        <v/>
      </c>
      <c r="X5411" s="12">
        <f>IF(LEFT(I5411,2)="MV",2*N5411*IF(L5411="1/C",O5411,1),0)</f>
        <v/>
      </c>
      <c r="Y5411" s="12">
        <f>IF(OR(LEFT(K5411,4)="LVAX",LEFT(K5411,6)="MV15AX",LEFT(K5411,4)="CTAX",LEFT(K5411,2)="W|"),2*N5411*O5411,0)</f>
        <v/>
      </c>
      <c r="Z5411" s="12" t="inlineStr">
        <is>
          <t>VD 0.9 %</t>
        </is>
      </c>
      <c r="AA5411" s="12">
        <f>N5411*O5411</f>
        <v/>
      </c>
    </row>
    <row r="5412">
      <c r="A5412" s="12" t="inlineStr">
        <is>
          <t>I-P-0244</t>
        </is>
      </c>
      <c r="B5412" s="12" t="inlineStr">
        <is>
          <t>I</t>
        </is>
      </c>
      <c r="C5412" s="12" t="inlineStr">
        <is>
          <t>Modular / portable power</t>
        </is>
      </c>
      <c r="D5412" s="12" t="inlineStr">
        <is>
          <t>480 V welding receptacle 4</t>
        </is>
      </c>
      <c r="E5412" s="12" t="inlineStr"/>
      <c r="F5412" s="12" t="inlineStr">
        <is>
          <t>PCM: power control module</t>
        </is>
      </c>
      <c r="G5412" s="12" t="inlineStr">
        <is>
          <t>RICE-8</t>
        </is>
      </c>
      <c r="H5412" s="12" t="inlineStr">
        <is>
          <t>RICE engine-generator 8</t>
        </is>
      </c>
      <c r="I5412" s="12" t="inlineStr">
        <is>
          <t>LV 600 V</t>
        </is>
      </c>
      <c r="J5412" s="12" t="inlineStr">
        <is>
          <t>Type TC-ER 600 V 3/C Cu XHHW-2 + ground, PVC jacket</t>
        </is>
      </c>
      <c r="K5412" s="12" t="inlineStr">
        <is>
          <t>LV|3/C+G|2</t>
        </is>
      </c>
      <c r="L5412" s="12" t="inlineStr">
        <is>
          <t>3/C+G</t>
        </is>
      </c>
      <c r="M5412" s="12" t="inlineStr">
        <is>
          <t>2</t>
        </is>
      </c>
      <c r="N5412" s="12" t="n">
        <v>1</v>
      </c>
      <c r="O5412" s="12" t="n">
        <v>1</v>
      </c>
      <c r="P5412" s="12" t="n">
        <v>480</v>
      </c>
      <c r="Q5412" s="12" t="n">
        <v>60</v>
      </c>
      <c r="R5412" s="12" t="n">
        <v>76</v>
      </c>
      <c r="S5412" s="12" t="inlineStr">
        <is>
          <t>Duct bank</t>
        </is>
      </c>
      <c r="T5412" s="15" t="n">
        <v>52</v>
      </c>
      <c r="U5412" s="15" t="n">
        <v>98</v>
      </c>
      <c r="V5412" s="15">
        <f>ROUNDUP((T5412+U5412+2*'Read Me'!$B$13)*(1+'Read Me'!$B$12),-1)</f>
        <v/>
      </c>
      <c r="W5412" s="15">
        <f>V5412*N5412*O5412</f>
        <v/>
      </c>
      <c r="X5412" s="12">
        <f>IF(LEFT(I5412,2)="MV",2*N5412*IF(L5412="1/C",O5412,1),0)</f>
        <v/>
      </c>
      <c r="Y5412" s="12">
        <f>IF(OR(LEFT(K5412,4)="LVAX",LEFT(K5412,6)="MV15AX",LEFT(K5412,4)="CTAX",LEFT(K5412,2)="W|"),2*N5412*O5412,0)</f>
        <v/>
      </c>
      <c r="Z5412" s="12" t="inlineStr">
        <is>
          <t>VD 0.9 %</t>
        </is>
      </c>
      <c r="AA5412" s="12">
        <f>N5412*O5412</f>
        <v/>
      </c>
    </row>
    <row r="5413">
      <c r="A5413" s="12" t="inlineStr">
        <is>
          <t>I-P-0245</t>
        </is>
      </c>
      <c r="B5413" s="12" t="inlineStr">
        <is>
          <t>I</t>
        </is>
      </c>
      <c r="C5413" s="12" t="inlineStr">
        <is>
          <t>Modular / portable power</t>
        </is>
      </c>
      <c r="D5413" s="12" t="inlineStr">
        <is>
          <t>LV power feeder</t>
        </is>
      </c>
      <c r="E5413" s="12" t="inlineStr"/>
      <c r="F5413" s="12" t="inlineStr">
        <is>
          <t>PCM: power control module</t>
        </is>
      </c>
      <c r="G5413" s="12" t="inlineStr"/>
      <c r="H5413" s="12" t="inlineStr">
        <is>
          <t>Reagent storage</t>
        </is>
      </c>
      <c r="I5413" s="12" t="inlineStr">
        <is>
          <t>LV 600 V</t>
        </is>
      </c>
      <c r="J5413" s="12" t="inlineStr">
        <is>
          <t>Type TC-ER 600 V 3/C Cu XHHW-2 + ground, PVC jacket</t>
        </is>
      </c>
      <c r="K5413" s="12" t="inlineStr">
        <is>
          <t>LV|3/C+G|8</t>
        </is>
      </c>
      <c r="L5413" s="12" t="inlineStr">
        <is>
          <t>3/C+G</t>
        </is>
      </c>
      <c r="M5413" s="12" t="inlineStr">
        <is>
          <t>8</t>
        </is>
      </c>
      <c r="N5413" s="12" t="n">
        <v>1</v>
      </c>
      <c r="O5413" s="12" t="n">
        <v>1</v>
      </c>
      <c r="P5413" s="12" t="n">
        <v>480</v>
      </c>
      <c r="Q5413" s="12" t="n">
        <v>15</v>
      </c>
      <c r="R5413" s="12" t="n">
        <v>21.2</v>
      </c>
      <c r="S5413" s="12" t="inlineStr">
        <is>
          <t>Duct bank</t>
        </is>
      </c>
      <c r="T5413" s="15" t="n">
        <v>296</v>
      </c>
      <c r="U5413" s="15" t="n">
        <v>110</v>
      </c>
      <c r="V5413" s="15">
        <f>ROUNDUP((T5413+U5413+2*'Read Me'!$B$13)*(1+'Read Me'!$B$12),-1)</f>
        <v/>
      </c>
      <c r="W5413" s="15">
        <f>V5413*N5413*O5413</f>
        <v/>
      </c>
      <c r="X5413" s="12">
        <f>IF(LEFT(I5413,2)="MV",2*N5413*IF(L5413="1/C",O5413,1),0)</f>
        <v/>
      </c>
      <c r="Y5413" s="12">
        <f>IF(OR(LEFT(K5413,4)="LVAX",LEFT(K5413,6)="MV15AX",LEFT(K5413,4)="CTAX",LEFT(K5413,2)="W|"),2*N5413*O5413,0)</f>
        <v/>
      </c>
      <c r="Z5413" s="12" t="inlineStr">
        <is>
          <t>VD 2.6 %</t>
        </is>
      </c>
      <c r="AA5413" s="12">
        <f>N5413*O5413</f>
        <v/>
      </c>
    </row>
    <row r="5414">
      <c r="A5414" s="12" t="inlineStr">
        <is>
          <t>I-P-0246</t>
        </is>
      </c>
      <c r="B5414" s="12" t="inlineStr">
        <is>
          <t>I</t>
        </is>
      </c>
      <c r="C5414" s="12" t="inlineStr">
        <is>
          <t>Modular / portable power</t>
        </is>
      </c>
      <c r="D5414" s="12" t="inlineStr">
        <is>
          <t>SC-1 CEMS shelter panel: analysers, heated sample line, lighting</t>
        </is>
      </c>
      <c r="E5414" s="12" t="inlineStr"/>
      <c r="F5414" s="12" t="inlineStr">
        <is>
          <t>SC-1 PCM + 15 kV GCB</t>
        </is>
      </c>
      <c r="G5414" s="12" t="inlineStr"/>
      <c r="H5414" s="12" t="inlineStr">
        <is>
          <t>SC-1 CEMS shelter</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15</v>
      </c>
      <c r="R5414" s="12" t="n">
        <v>19</v>
      </c>
      <c r="S5414" s="12" t="inlineStr">
        <is>
          <t>Duct bank</t>
        </is>
      </c>
      <c r="T5414" s="15" t="n">
        <v>81</v>
      </c>
      <c r="U5414" s="15" t="n">
        <v>106</v>
      </c>
      <c r="V5414" s="15">
        <f>ROUNDUP((T5414+U5414+2*'Read Me'!$B$13)*(1+'Read Me'!$B$12),-1)</f>
        <v/>
      </c>
      <c r="W5414" s="15">
        <f>V5414*N5414*O5414</f>
        <v/>
      </c>
      <c r="X5414" s="12">
        <f>IF(LEFT(I5414,2)="MV",2*N5414*IF(L5414="1/C",O5414,1),0)</f>
        <v/>
      </c>
      <c r="Y5414" s="12">
        <f>IF(OR(LEFT(K5414,4)="LVAX",LEFT(K5414,6)="MV15AX",LEFT(K5414,4)="CTAX",LEFT(K5414,2)="W|"),2*N5414*O5414,0)</f>
        <v/>
      </c>
      <c r="Z5414" s="12" t="inlineStr">
        <is>
          <t>VD 1.7 %</t>
        </is>
      </c>
      <c r="AA5414" s="12">
        <f>N5414*O5414</f>
        <v/>
      </c>
    </row>
    <row r="5415">
      <c r="A5415" s="12" t="inlineStr">
        <is>
          <t>I-P-0247</t>
        </is>
      </c>
      <c r="B5415" s="12" t="inlineStr">
        <is>
          <t>I</t>
        </is>
      </c>
      <c r="C5415" s="12" t="inlineStr">
        <is>
          <t>Modular / portable power</t>
        </is>
      </c>
      <c r="D5415" s="12" t="inlineStr">
        <is>
          <t>Motor 1 of 2, 5 kW</t>
        </is>
      </c>
      <c r="E5415" s="12" t="inlineStr"/>
      <c r="F5415" s="12" t="inlineStr">
        <is>
          <t>SC-1 PCM + 15 kV GCB</t>
        </is>
      </c>
      <c r="G5415" s="12" t="inlineStr"/>
      <c r="H5415" s="12" t="inlineStr">
        <is>
          <t>SC-1 CEMS shelter</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5</v>
      </c>
      <c r="R5415" s="12" t="n">
        <v>7.1</v>
      </c>
      <c r="S5415" s="12" t="inlineStr">
        <is>
          <t>Duct bank</t>
        </is>
      </c>
      <c r="T5415" s="15" t="n">
        <v>81</v>
      </c>
      <c r="U5415" s="15" t="n">
        <v>106</v>
      </c>
      <c r="V5415" s="15">
        <f>ROUNDUP((T5415+U5415+2*'Read Me'!$B$13)*(1+'Read Me'!$B$12),-1)</f>
        <v/>
      </c>
      <c r="W5415" s="15">
        <f>V5415*N5415*O5415</f>
        <v/>
      </c>
      <c r="X5415" s="12">
        <f>IF(LEFT(I5415,2)="MV",2*N5415*IF(L5415="1/C",O5415,1),0)</f>
        <v/>
      </c>
      <c r="Y5415" s="12">
        <f>IF(OR(LEFT(K5415,4)="LVAX",LEFT(K5415,6)="MV15AX",LEFT(K5415,4)="CTAX",LEFT(K5415,2)="W|"),2*N5415*O5415,0)</f>
        <v/>
      </c>
      <c r="Z5415" s="12" t="inlineStr">
        <is>
          <t>VD 0.6 %</t>
        </is>
      </c>
      <c r="AA5415" s="12">
        <f>N5415*O5415</f>
        <v/>
      </c>
    </row>
    <row r="5416">
      <c r="A5416" s="12" t="inlineStr">
        <is>
          <t>I-P-0248</t>
        </is>
      </c>
      <c r="B5416" s="12" t="inlineStr">
        <is>
          <t>I</t>
        </is>
      </c>
      <c r="C5416" s="12" t="inlineStr">
        <is>
          <t>Modular / portable power</t>
        </is>
      </c>
      <c r="D5416" s="12" t="inlineStr">
        <is>
          <t>Motor 2 of 2, 5 kW</t>
        </is>
      </c>
      <c r="E5416" s="12" t="inlineStr"/>
      <c r="F5416" s="12" t="inlineStr">
        <is>
          <t>SC-1 PCM + 15 kV GCB</t>
        </is>
      </c>
      <c r="G5416" s="12" t="inlineStr"/>
      <c r="H5416" s="12" t="inlineStr">
        <is>
          <t>SC-1 CEMS shelter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5</v>
      </c>
      <c r="R5416" s="12" t="n">
        <v>7.1</v>
      </c>
      <c r="S5416" s="12" t="inlineStr">
        <is>
          <t>Duct bank</t>
        </is>
      </c>
      <c r="T5416" s="15" t="n">
        <v>81</v>
      </c>
      <c r="U5416" s="15" t="n">
        <v>106</v>
      </c>
      <c r="V5416" s="15">
        <f>ROUNDUP((T5416+U5416+2*'Read Me'!$B$13)*(1+'Read Me'!$B$12),-1)</f>
        <v/>
      </c>
      <c r="W5416" s="15">
        <f>V5416*N5416*O5416</f>
        <v/>
      </c>
      <c r="X5416" s="12">
        <f>IF(LEFT(I5416,2)="MV",2*N5416*IF(L5416="1/C",O5416,1),0)</f>
        <v/>
      </c>
      <c r="Y5416" s="12">
        <f>IF(OR(LEFT(K5416,4)="LVAX",LEFT(K5416,6)="MV15AX",LEFT(K5416,4)="CTAX",LEFT(K5416,2)="W|"),2*N5416*O5416,0)</f>
        <v/>
      </c>
      <c r="Z5416" s="12" t="inlineStr">
        <is>
          <t>VD 0.6 %</t>
        </is>
      </c>
      <c r="AA5416" s="12">
        <f>N5416*O5416</f>
        <v/>
      </c>
    </row>
    <row r="5417">
      <c r="A5417" s="12" t="inlineStr">
        <is>
          <t>I-P-0249</t>
        </is>
      </c>
      <c r="B5417" s="12" t="inlineStr">
        <is>
          <t>I</t>
        </is>
      </c>
      <c r="C5417" s="12" t="inlineStr">
        <is>
          <t>Modular / portable power</t>
        </is>
      </c>
      <c r="D5417" s="12" t="inlineStr">
        <is>
          <t>SC-1 125 V DC battery to charger / DC panel</t>
        </is>
      </c>
      <c r="E5417" s="12" t="inlineStr"/>
      <c r="F5417" s="12" t="inlineStr">
        <is>
          <t>SC-1 PCM + 15 kV GCB</t>
        </is>
      </c>
      <c r="G5417" s="12" t="inlineStr"/>
      <c r="H5417" s="12" t="inlineStr">
        <is>
          <t>SC-1 PCM + 15 kV GCB</t>
        </is>
      </c>
      <c r="I5417" s="12" t="inlineStr">
        <is>
          <t>LV 600 V</t>
        </is>
      </c>
      <c r="J5417" s="12" t="inlineStr">
        <is>
          <t>XHHW-2 600 V 1/C Cu (feeder sets in tray / duct)</t>
        </is>
      </c>
      <c r="K5417" s="12" t="inlineStr">
        <is>
          <t>LV1C|1/C|4/0</t>
        </is>
      </c>
      <c r="L5417" s="12" t="inlineStr">
        <is>
          <t>1/C</t>
        </is>
      </c>
      <c r="M5417" s="12" t="inlineStr">
        <is>
          <t>4/0</t>
        </is>
      </c>
      <c r="N5417" s="12" t="n">
        <v>1</v>
      </c>
      <c r="O5417" s="12" t="n">
        <v>2</v>
      </c>
      <c r="P5417" s="12" t="n">
        <v>125</v>
      </c>
      <c r="Q5417" s="12" t="n"/>
      <c r="R5417" s="12" t="n"/>
      <c r="S5417" s="12" t="inlineStr">
        <is>
          <t>Tray</t>
        </is>
      </c>
      <c r="T5417" s="15" t="n">
        <v>15</v>
      </c>
      <c r="U5417" s="15" t="n">
        <v>5</v>
      </c>
      <c r="V5417" s="15">
        <f>ROUNDUP((T5417+U5417+2*'Read Me'!$B$13)*(1+'Read Me'!$B$12),-1)</f>
        <v/>
      </c>
      <c r="W5417" s="15">
        <f>V5417*N5417*O5417</f>
        <v/>
      </c>
      <c r="X5417" s="12">
        <f>IF(LEFT(I5417,2)="MV",2*N5417*IF(L5417="1/C",O5417,1),0)</f>
        <v/>
      </c>
      <c r="Y5417" s="12">
        <f>IF(OR(LEFT(K5417,4)="LVAX",LEFT(K5417,6)="MV15AX",LEFT(K5417,4)="CTAX",LEFT(K5417,2)="W|"),2*N5417*O5417,0)</f>
        <v/>
      </c>
      <c r="Z5417" s="12" t="inlineStr">
        <is>
          <t>battery rack inside the PCM</t>
        </is>
      </c>
      <c r="AA5417" s="12">
        <f>N5417*O5417</f>
        <v/>
      </c>
    </row>
    <row r="5418">
      <c r="A5418" s="12" t="inlineStr">
        <is>
          <t>I-P-0250</t>
        </is>
      </c>
      <c r="B5418" s="12" t="inlineStr">
        <is>
          <t>I</t>
        </is>
      </c>
      <c r="C5418" s="12" t="inlineStr">
        <is>
          <t>Modular / portable power</t>
        </is>
      </c>
      <c r="D5418" s="12" t="inlineStr">
        <is>
          <t>SC-1 PCM lighting, receptacles and HVAC (from its own 480 V board)</t>
        </is>
      </c>
      <c r="E5418" s="12" t="inlineStr"/>
      <c r="F5418" s="12" t="inlineStr">
        <is>
          <t>SC-1 PCM + 15 kV GCB</t>
        </is>
      </c>
      <c r="G5418" s="12" t="inlineStr"/>
      <c r="H5418" s="12" t="inlineStr">
        <is>
          <t>SC-1 PCM + 15 kV GCB</t>
        </is>
      </c>
      <c r="I5418" s="12" t="inlineStr">
        <is>
          <t>LV 600 V</t>
        </is>
      </c>
      <c r="J5418" s="12" t="inlineStr">
        <is>
          <t>Type TC-ER 600 V 3/C Cu XHHW-2 + ground, PVC jacket</t>
        </is>
      </c>
      <c r="K5418" s="12" t="inlineStr">
        <is>
          <t>LV|3/C+G|2</t>
        </is>
      </c>
      <c r="L5418" s="12" t="inlineStr">
        <is>
          <t>3/C+G</t>
        </is>
      </c>
      <c r="M5418" s="12" t="inlineStr">
        <is>
          <t>2</t>
        </is>
      </c>
      <c r="N5418" s="12" t="n">
        <v>1</v>
      </c>
      <c r="O5418" s="12" t="n">
        <v>1</v>
      </c>
      <c r="P5418" s="12" t="n">
        <v>480</v>
      </c>
      <c r="Q5418" s="12" t="n">
        <v>40</v>
      </c>
      <c r="R5418" s="12" t="n"/>
      <c r="S5418" s="12" t="inlineStr">
        <is>
          <t>Tray</t>
        </is>
      </c>
      <c r="T5418" s="15" t="n">
        <v>80</v>
      </c>
      <c r="U5418" s="15" t="n">
        <v>10</v>
      </c>
      <c r="V5418" s="15">
        <f>ROUNDUP((T5418+U5418+2*'Read Me'!$B$13)*(1+'Read Me'!$B$12),-1)</f>
        <v/>
      </c>
      <c r="W5418" s="15">
        <f>V5418*N5418*O5418</f>
        <v/>
      </c>
      <c r="X5418" s="12">
        <f>IF(LEFT(I5418,2)="MV",2*N5418*IF(L5418="1/C",O5418,1),0)</f>
        <v/>
      </c>
      <c r="Y5418" s="12">
        <f>IF(OR(LEFT(K5418,4)="LVAX",LEFT(K5418,6)="MV15AX",LEFT(K5418,4)="CTAX",LEFT(K5418,2)="W|"),2*N5418*O5418,0)</f>
        <v/>
      </c>
      <c r="Z5418" s="12" t="inlineStr">
        <is>
          <t>internal to the PCM; aux transformer 13.8 kV / 480 V inside</t>
        </is>
      </c>
      <c r="AA5418" s="12">
        <f>N5418*O5418</f>
        <v/>
      </c>
    </row>
    <row r="5419">
      <c r="A5419" s="12" t="inlineStr">
        <is>
          <t>I-P-0251</t>
        </is>
      </c>
      <c r="B5419" s="12" t="inlineStr">
        <is>
          <t>I</t>
        </is>
      </c>
      <c r="C5419" s="12" t="inlineStr">
        <is>
          <t>Modular / portable power</t>
        </is>
      </c>
      <c r="D5419" s="12" t="inlineStr">
        <is>
          <t>Area / platform lighting circuit 1 (10 fixtures)</t>
        </is>
      </c>
      <c r="E5419" s="12" t="inlineStr"/>
      <c r="F5419" s="12" t="inlineStr">
        <is>
          <t>SC-1 PCM + 15 kV GCB</t>
        </is>
      </c>
      <c r="G5419" s="12" t="inlineStr"/>
      <c r="H5419" s="12" t="inlineStr">
        <is>
          <t>SC-1 SCR / CO catalyst</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3</v>
      </c>
      <c r="R5419" s="12" t="n">
        <v>5</v>
      </c>
      <c r="S5419" s="12" t="inlineStr">
        <is>
          <t>Duct bank</t>
        </is>
      </c>
      <c r="T5419" s="15" t="n">
        <v>355</v>
      </c>
      <c r="U5419" s="15" t="n">
        <v>57</v>
      </c>
      <c r="V5419" s="15">
        <f>ROUNDUP((T5419+U5419+2*'Read Me'!$B$13)*(1+'Read Me'!$B$12),-1)</f>
        <v/>
      </c>
      <c r="W5419" s="15">
        <f>V5419*N5419*O5419</f>
        <v/>
      </c>
      <c r="X5419" s="12">
        <f>IF(LEFT(I5419,2)="MV",2*N5419*IF(L5419="1/C",O5419,1),0)</f>
        <v/>
      </c>
      <c r="Y5419" s="12">
        <f>IF(OR(LEFT(K5419,4)="LVAX",LEFT(K5419,6)="MV15AX",LEFT(K5419,4)="CTAX",LEFT(K5419,2)="W|"),2*N5419*O5419,0)</f>
        <v/>
      </c>
      <c r="Z5419" s="12" t="inlineStr">
        <is>
          <t>fixture-to-fixture run included</t>
        </is>
      </c>
      <c r="AA5419" s="12">
        <f>N5419*O5419</f>
        <v/>
      </c>
    </row>
    <row r="5420">
      <c r="A5420" s="12" t="inlineStr">
        <is>
          <t>I-P-0252</t>
        </is>
      </c>
      <c r="B5420" s="12" t="inlineStr">
        <is>
          <t>I</t>
        </is>
      </c>
      <c r="C5420" s="12" t="inlineStr">
        <is>
          <t>Modular / portable power</t>
        </is>
      </c>
      <c r="D5420" s="12" t="inlineStr">
        <is>
          <t>SC-1 ammonia vaporiser electric heater</t>
        </is>
      </c>
      <c r="E5420" s="12" t="inlineStr"/>
      <c r="F5420" s="12" t="inlineStr">
        <is>
          <t>SC-1 PCM + 15 kV GCB</t>
        </is>
      </c>
      <c r="G5420" s="12" t="inlineStr"/>
      <c r="H5420" s="12" t="inlineStr">
        <is>
          <t>SC-1 ammonia flow-control unit</t>
        </is>
      </c>
      <c r="I5420" s="12" t="inlineStr">
        <is>
          <t>LV 600 V</t>
        </is>
      </c>
      <c r="J5420" s="12" t="inlineStr">
        <is>
          <t>Type TC-ER 600 V 3/C Cu XHHW-2 + ground, PVC jacket</t>
        </is>
      </c>
      <c r="K5420" s="12" t="inlineStr">
        <is>
          <t>LV|3/C+G|4</t>
        </is>
      </c>
      <c r="L5420" s="12" t="inlineStr">
        <is>
          <t>3/C+G</t>
        </is>
      </c>
      <c r="M5420" s="12" t="inlineStr">
        <is>
          <t>4</t>
        </is>
      </c>
      <c r="N5420" s="12" t="n">
        <v>1</v>
      </c>
      <c r="O5420" s="12" t="n">
        <v>1</v>
      </c>
      <c r="P5420" s="12" t="n">
        <v>480</v>
      </c>
      <c r="Q5420" s="12" t="n">
        <v>45</v>
      </c>
      <c r="R5420" s="12" t="n">
        <v>57</v>
      </c>
      <c r="S5420" s="12" t="inlineStr">
        <is>
          <t>Duct bank</t>
        </is>
      </c>
      <c r="T5420" s="15" t="n">
        <v>55</v>
      </c>
      <c r="U5420" s="15" t="n">
        <v>55</v>
      </c>
      <c r="V5420" s="15">
        <f>ROUNDUP((T5420+U5420+2*'Read Me'!$B$13)*(1+'Read Me'!$B$12),-1)</f>
        <v/>
      </c>
      <c r="W5420" s="15">
        <f>V5420*N5420*O5420</f>
        <v/>
      </c>
      <c r="X5420" s="12">
        <f>IF(LEFT(I5420,2)="MV",2*N5420*IF(L5420="1/C",O5420,1),0)</f>
        <v/>
      </c>
      <c r="Y5420" s="12">
        <f>IF(OR(LEFT(K5420,4)="LVAX",LEFT(K5420,6)="MV15AX",LEFT(K5420,4)="CTAX",LEFT(K5420,2)="W|"),2*N5420*O5420,0)</f>
        <v/>
      </c>
      <c r="Z5420" s="12" t="inlineStr">
        <is>
          <t>VD 0.8 %</t>
        </is>
      </c>
      <c r="AA5420" s="12">
        <f>N5420*O5420</f>
        <v/>
      </c>
    </row>
    <row r="5421">
      <c r="A5421" s="12" t="inlineStr">
        <is>
          <t>I-P-0253</t>
        </is>
      </c>
      <c r="B5421" s="12" t="inlineStr">
        <is>
          <t>I</t>
        </is>
      </c>
      <c r="C5421" s="12" t="inlineStr">
        <is>
          <t>Modular / portable power</t>
        </is>
      </c>
      <c r="D5421" s="12" t="inlineStr">
        <is>
          <t>Motor 1 of 2, 7.5 kW</t>
        </is>
      </c>
      <c r="E5421" s="12" t="inlineStr"/>
      <c r="F5421" s="12" t="inlineStr">
        <is>
          <t>SC-1 PCM + 15 kV GCB</t>
        </is>
      </c>
      <c r="G5421" s="12" t="inlineStr"/>
      <c r="H5421" s="12" t="inlineStr">
        <is>
          <t>SC-1 ammonia flow-control unit</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7.5</v>
      </c>
      <c r="R5421" s="12" t="n">
        <v>10.6</v>
      </c>
      <c r="S5421" s="12" t="inlineStr">
        <is>
          <t>Duct bank</t>
        </is>
      </c>
      <c r="T5421" s="15" t="n">
        <v>55</v>
      </c>
      <c r="U5421" s="15" t="n">
        <v>55</v>
      </c>
      <c r="V5421" s="15">
        <f>ROUNDUP((T5421+U5421+2*'Read Me'!$B$13)*(1+'Read Me'!$B$12),-1)</f>
        <v/>
      </c>
      <c r="W5421" s="15">
        <f>V5421*N5421*O5421</f>
        <v/>
      </c>
      <c r="X5421" s="12">
        <f>IF(LEFT(I5421,2)="MV",2*N5421*IF(L5421="1/C",O5421,1),0)</f>
        <v/>
      </c>
      <c r="Y5421" s="12">
        <f>IF(OR(LEFT(K5421,4)="LVAX",LEFT(K5421,6)="MV15AX",LEFT(K5421,4)="CTAX",LEFT(K5421,2)="W|"),2*N5421*O5421,0)</f>
        <v/>
      </c>
      <c r="Z5421" s="12" t="inlineStr">
        <is>
          <t>VD 0.6 %</t>
        </is>
      </c>
      <c r="AA5421" s="12">
        <f>N5421*O5421</f>
        <v/>
      </c>
    </row>
    <row r="5422">
      <c r="A5422" s="12" t="inlineStr">
        <is>
          <t>I-P-0254</t>
        </is>
      </c>
      <c r="B5422" s="12" t="inlineStr">
        <is>
          <t>I</t>
        </is>
      </c>
      <c r="C5422" s="12" t="inlineStr">
        <is>
          <t>Modular / portable power</t>
        </is>
      </c>
      <c r="D5422" s="12" t="inlineStr">
        <is>
          <t>Motor 2 of 2, 7.5 kW</t>
        </is>
      </c>
      <c r="E5422" s="12" t="inlineStr"/>
      <c r="F5422" s="12" t="inlineStr">
        <is>
          <t>SC-1 PCM + 15 kV GCB</t>
        </is>
      </c>
      <c r="G5422" s="12" t="inlineStr"/>
      <c r="H5422" s="12" t="inlineStr">
        <is>
          <t>SC-1 ammonia flow-control unit</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7.5</v>
      </c>
      <c r="R5422" s="12" t="n">
        <v>10.6</v>
      </c>
      <c r="S5422" s="12" t="inlineStr">
        <is>
          <t>Duct bank</t>
        </is>
      </c>
      <c r="T5422" s="15" t="n">
        <v>55</v>
      </c>
      <c r="U5422" s="15" t="n">
        <v>55</v>
      </c>
      <c r="V5422" s="15">
        <f>ROUNDUP((T5422+U5422+2*'Read Me'!$B$13)*(1+'Read Me'!$B$12),-1)</f>
        <v/>
      </c>
      <c r="W5422" s="15">
        <f>V5422*N5422*O5422</f>
        <v/>
      </c>
      <c r="X5422" s="12">
        <f>IF(LEFT(I5422,2)="MV",2*N5422*IF(L5422="1/C",O5422,1),0)</f>
        <v/>
      </c>
      <c r="Y5422" s="12">
        <f>IF(OR(LEFT(K5422,4)="LVAX",LEFT(K5422,6)="MV15AX",LEFT(K5422,4)="CTAX",LEFT(K5422,2)="W|"),2*N5422*O5422,0)</f>
        <v/>
      </c>
      <c r="Z5422" s="12" t="inlineStr">
        <is>
          <t>VD 0.6 %</t>
        </is>
      </c>
      <c r="AA5422" s="12">
        <f>N5422*O5422</f>
        <v/>
      </c>
    </row>
    <row r="5423">
      <c r="A5423" s="12" t="inlineStr">
        <is>
          <t>I-P-0255</t>
        </is>
      </c>
      <c r="B5423" s="12" t="inlineStr">
        <is>
          <t>I</t>
        </is>
      </c>
      <c r="C5423" s="12" t="inlineStr">
        <is>
          <t>Modular / portable power</t>
        </is>
      </c>
      <c r="D5423" s="12" t="inlineStr">
        <is>
          <t>SC-1 water-wash tank heater</t>
        </is>
      </c>
      <c r="E5423" s="12" t="inlineStr"/>
      <c r="F5423" s="12" t="inlineStr">
        <is>
          <t>SC-1 PCM + 15 kV GCB</t>
        </is>
      </c>
      <c r="G5423" s="12" t="inlineStr"/>
      <c r="H5423" s="12" t="inlineStr">
        <is>
          <t>SC-1 auxiliary skids: fuel-gas module, water-wash skid</t>
        </is>
      </c>
      <c r="I5423" s="12" t="inlineStr">
        <is>
          <t>LV 600 V</t>
        </is>
      </c>
      <c r="J5423" s="12" t="inlineStr">
        <is>
          <t>ARMOR-X MC-HL 600 V 3/C Cu XHHW-2 + ground, CWA, black PVC (Class I Div 2)</t>
        </is>
      </c>
      <c r="K5423" s="12" t="inlineStr">
        <is>
          <t>LVAX|3/C+G|10</t>
        </is>
      </c>
      <c r="L5423" s="12" t="inlineStr">
        <is>
          <t>3/C+G</t>
        </is>
      </c>
      <c r="M5423" s="12" t="inlineStr">
        <is>
          <t>10</t>
        </is>
      </c>
      <c r="N5423" s="12" t="n">
        <v>1</v>
      </c>
      <c r="O5423" s="12" t="n">
        <v>1</v>
      </c>
      <c r="P5423" s="12" t="n">
        <v>480</v>
      </c>
      <c r="Q5423" s="12" t="n">
        <v>6</v>
      </c>
      <c r="R5423" s="12" t="n">
        <v>7.6</v>
      </c>
      <c r="S5423" s="12" t="inlineStr">
        <is>
          <t>Tray</t>
        </is>
      </c>
      <c r="T5423" s="15" t="n">
        <v>5</v>
      </c>
      <c r="U5423" s="15" t="n">
        <v>49</v>
      </c>
      <c r="V5423" s="15">
        <f>ROUNDUP((T5423+U5423+2*'Read Me'!$B$13)*(1+'Read Me'!$B$12),-1)</f>
        <v/>
      </c>
      <c r="W5423" s="15">
        <f>V5423*N5423*O5423</f>
        <v/>
      </c>
      <c r="X5423" s="12">
        <f>IF(LEFT(I5423,2)="MV",2*N5423*IF(L5423="1/C",O5423,1),0)</f>
        <v/>
      </c>
      <c r="Y5423" s="12">
        <f>IF(OR(LEFT(K5423,4)="LVAX",LEFT(K5423,6)="MV15AX",LEFT(K5423,4)="CTAX",LEFT(K5423,2)="W|"),2*N5423*O5423,0)</f>
        <v/>
      </c>
      <c r="Z5423" s="12" t="inlineStr">
        <is>
          <t>VD 0.2 %</t>
        </is>
      </c>
      <c r="AA5423" s="12">
        <f>N5423*O5423</f>
        <v/>
      </c>
    </row>
    <row r="5424">
      <c r="A5424" s="12" t="inlineStr">
        <is>
          <t>I-P-0256</t>
        </is>
      </c>
      <c r="B5424" s="12" t="inlineStr">
        <is>
          <t>I</t>
        </is>
      </c>
      <c r="C5424" s="12" t="inlineStr">
        <is>
          <t>Modular / portable power</t>
        </is>
      </c>
      <c r="D5424" s="12" t="inlineStr">
        <is>
          <t>Motor 1 of 1, 7.5 kW</t>
        </is>
      </c>
      <c r="E5424" s="12" t="inlineStr"/>
      <c r="F5424" s="12" t="inlineStr">
        <is>
          <t>SC-1 PCM + 15 kV GCB</t>
        </is>
      </c>
      <c r="G5424" s="12" t="inlineStr"/>
      <c r="H5424" s="12" t="inlineStr">
        <is>
          <t>SC-1 auxiliary skids: fuel-gas module, water-wash skid</t>
        </is>
      </c>
      <c r="I5424" s="12" t="inlineStr">
        <is>
          <t>LV 600 V</t>
        </is>
      </c>
      <c r="J5424" s="12" t="inlineStr">
        <is>
          <t>ARMOR-X MC-HL 600 V 3/C Cu XHHW-2 + ground, CWA, black PVC (Class I Div 2)</t>
        </is>
      </c>
      <c r="K5424" s="12" t="inlineStr">
        <is>
          <t>LVAX|3/C+G|10</t>
        </is>
      </c>
      <c r="L5424" s="12" t="inlineStr">
        <is>
          <t>3/C+G</t>
        </is>
      </c>
      <c r="M5424" s="12" t="inlineStr">
        <is>
          <t>10</t>
        </is>
      </c>
      <c r="N5424" s="12" t="n">
        <v>1</v>
      </c>
      <c r="O5424" s="12" t="n">
        <v>1</v>
      </c>
      <c r="P5424" s="12" t="n">
        <v>480</v>
      </c>
      <c r="Q5424" s="12" t="n">
        <v>7.5</v>
      </c>
      <c r="R5424" s="12" t="n">
        <v>10.6</v>
      </c>
      <c r="S5424" s="12" t="inlineStr">
        <is>
          <t>Tray</t>
        </is>
      </c>
      <c r="T5424" s="15" t="n">
        <v>5</v>
      </c>
      <c r="U5424" s="15" t="n">
        <v>49</v>
      </c>
      <c r="V5424" s="15">
        <f>ROUNDUP((T5424+U5424+2*'Read Me'!$B$13)*(1+'Read Me'!$B$12),-1)</f>
        <v/>
      </c>
      <c r="W5424" s="15">
        <f>V5424*N5424*O5424</f>
        <v/>
      </c>
      <c r="X5424" s="12">
        <f>IF(LEFT(I5424,2)="MV",2*N5424*IF(L5424="1/C",O5424,1),0)</f>
        <v/>
      </c>
      <c r="Y5424" s="12">
        <f>IF(OR(LEFT(K5424,4)="LVAX",LEFT(K5424,6)="MV15AX",LEFT(K5424,4)="CTAX",LEFT(K5424,2)="W|"),2*N5424*O5424,0)</f>
        <v/>
      </c>
      <c r="Z5424" s="12" t="inlineStr">
        <is>
          <t>VD 0.3 %</t>
        </is>
      </c>
      <c r="AA5424" s="12">
        <f>N5424*O5424</f>
        <v/>
      </c>
    </row>
    <row r="5425">
      <c r="A5425" s="12" t="inlineStr">
        <is>
          <t>I-P-0257</t>
        </is>
      </c>
      <c r="B5425" s="12" t="inlineStr">
        <is>
          <t>I</t>
        </is>
      </c>
      <c r="C5425" s="12" t="inlineStr">
        <is>
          <t>Modular / portable power</t>
        </is>
      </c>
      <c r="D5425" s="12" t="inlineStr">
        <is>
          <t>Motor 1 of 4, 15 kW</t>
        </is>
      </c>
      <c r="E5425" s="12" t="inlineStr"/>
      <c r="F5425" s="12" t="inlineStr">
        <is>
          <t>SC-1 PCM + 15 kV GCB</t>
        </is>
      </c>
      <c r="G5425" s="12" t="inlineStr"/>
      <c r="H5425" s="12" t="inlineStr">
        <is>
          <t>SC-1 lube-oil fin-fan cooler</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15</v>
      </c>
      <c r="R5425" s="12" t="n">
        <v>21.2</v>
      </c>
      <c r="S5425" s="12" t="inlineStr">
        <is>
          <t>Riser</t>
        </is>
      </c>
      <c r="T5425" s="15" t="n">
        <v>9</v>
      </c>
      <c r="U5425" s="15" t="n">
        <v>33</v>
      </c>
      <c r="V5425" s="15">
        <f>ROUNDUP((T5425+U5425+2*'Read Me'!$B$13)*(1+'Read Me'!$B$12),-1)</f>
        <v/>
      </c>
      <c r="W5425" s="15">
        <f>V5425*N5425*O5425</f>
        <v/>
      </c>
      <c r="X5425" s="12">
        <f>IF(LEFT(I5425,2)="MV",2*N5425*IF(L5425="1/C",O5425,1),0)</f>
        <v/>
      </c>
      <c r="Y5425" s="12">
        <f>IF(OR(LEFT(K5425,4)="LVAX",LEFT(K5425,6)="MV15AX",LEFT(K5425,4)="CTAX",LEFT(K5425,2)="W|"),2*N5425*O5425,0)</f>
        <v/>
      </c>
      <c r="Z5425" s="12" t="inlineStr">
        <is>
          <t>VD 0.4 %</t>
        </is>
      </c>
      <c r="AA5425" s="12">
        <f>N5425*O5425</f>
        <v/>
      </c>
    </row>
    <row r="5426">
      <c r="A5426" s="12" t="inlineStr">
        <is>
          <t>I-P-0258</t>
        </is>
      </c>
      <c r="B5426" s="12" t="inlineStr">
        <is>
          <t>I</t>
        </is>
      </c>
      <c r="C5426" s="12" t="inlineStr">
        <is>
          <t>Modular / portable power</t>
        </is>
      </c>
      <c r="D5426" s="12" t="inlineStr">
        <is>
          <t>Motor 2 of 4, 15 kW</t>
        </is>
      </c>
      <c r="E5426" s="12" t="inlineStr"/>
      <c r="F5426" s="12" t="inlineStr">
        <is>
          <t>SC-1 PCM + 15 kV GCB</t>
        </is>
      </c>
      <c r="G5426" s="12" t="inlineStr"/>
      <c r="H5426" s="12" t="inlineStr">
        <is>
          <t>SC-1 lube-oil fin-fan cooler</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15</v>
      </c>
      <c r="R5426" s="12" t="n">
        <v>21.2</v>
      </c>
      <c r="S5426" s="12" t="inlineStr">
        <is>
          <t>Riser</t>
        </is>
      </c>
      <c r="T5426" s="15" t="n">
        <v>9</v>
      </c>
      <c r="U5426" s="15" t="n">
        <v>33</v>
      </c>
      <c r="V5426" s="15">
        <f>ROUNDUP((T5426+U5426+2*'Read Me'!$B$13)*(1+'Read Me'!$B$12),-1)</f>
        <v/>
      </c>
      <c r="W5426" s="15">
        <f>V5426*N5426*O5426</f>
        <v/>
      </c>
      <c r="X5426" s="12">
        <f>IF(LEFT(I5426,2)="MV",2*N5426*IF(L5426="1/C",O5426,1),0)</f>
        <v/>
      </c>
      <c r="Y5426" s="12">
        <f>IF(OR(LEFT(K5426,4)="LVAX",LEFT(K5426,6)="MV15AX",LEFT(K5426,4)="CTAX",LEFT(K5426,2)="W|"),2*N5426*O5426,0)</f>
        <v/>
      </c>
      <c r="Z5426" s="12" t="inlineStr">
        <is>
          <t>VD 0.4 %</t>
        </is>
      </c>
      <c r="AA5426" s="12">
        <f>N5426*O5426</f>
        <v/>
      </c>
    </row>
    <row r="5427">
      <c r="A5427" s="12" t="inlineStr">
        <is>
          <t>I-P-0259</t>
        </is>
      </c>
      <c r="B5427" s="12" t="inlineStr">
        <is>
          <t>I</t>
        </is>
      </c>
      <c r="C5427" s="12" t="inlineStr">
        <is>
          <t>Modular / portable power</t>
        </is>
      </c>
      <c r="D5427" s="12" t="inlineStr">
        <is>
          <t>Motor 3 of 4, 15 kW</t>
        </is>
      </c>
      <c r="E5427" s="12" t="inlineStr"/>
      <c r="F5427" s="12" t="inlineStr">
        <is>
          <t>SC-1 PCM + 15 kV GCB</t>
        </is>
      </c>
      <c r="G5427" s="12" t="inlineStr"/>
      <c r="H5427" s="12" t="inlineStr">
        <is>
          <t>SC-1 lube-oil fin-fan cooler</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15</v>
      </c>
      <c r="R5427" s="12" t="n">
        <v>21.2</v>
      </c>
      <c r="S5427" s="12" t="inlineStr">
        <is>
          <t>Riser</t>
        </is>
      </c>
      <c r="T5427" s="15" t="n">
        <v>9</v>
      </c>
      <c r="U5427" s="15" t="n">
        <v>33</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I-P-0260</t>
        </is>
      </c>
      <c r="B5428" s="12" t="inlineStr">
        <is>
          <t>I</t>
        </is>
      </c>
      <c r="C5428" s="12" t="inlineStr">
        <is>
          <t>Modular / portable power</t>
        </is>
      </c>
      <c r="D5428" s="12" t="inlineStr">
        <is>
          <t>Motor 4 of 4, 15 kW</t>
        </is>
      </c>
      <c r="E5428" s="12" t="inlineStr"/>
      <c r="F5428" s="12" t="inlineStr">
        <is>
          <t>SC-1 PCM + 15 kV GCB</t>
        </is>
      </c>
      <c r="G5428" s="12" t="inlineStr"/>
      <c r="H5428" s="12" t="inlineStr">
        <is>
          <t>SC-1 lube-oil fin-fan cooler</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15</v>
      </c>
      <c r="R5428" s="12" t="n">
        <v>21.2</v>
      </c>
      <c r="S5428" s="12" t="inlineStr">
        <is>
          <t>Riser</t>
        </is>
      </c>
      <c r="T5428" s="15" t="n">
        <v>9</v>
      </c>
      <c r="U5428" s="15" t="n">
        <v>33</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I-P-0261</t>
        </is>
      </c>
      <c r="B5429" s="12" t="inlineStr">
        <is>
          <t>I</t>
        </is>
      </c>
      <c r="C5429" s="12" t="inlineStr">
        <is>
          <t>Modular / portable power</t>
        </is>
      </c>
      <c r="D5429" s="12" t="inlineStr">
        <is>
          <t>Area / platform lighting circuit 1 (4 fixtures)</t>
        </is>
      </c>
      <c r="E5429" s="12" t="inlineStr"/>
      <c r="F5429" s="12" t="inlineStr">
        <is>
          <t>SC-1 PCM + 15 kV GCB</t>
        </is>
      </c>
      <c r="G5429" s="12" t="inlineStr"/>
      <c r="H5429" s="12" t="inlineStr">
        <is>
          <t>SC-1 stack (80 ft)</t>
        </is>
      </c>
      <c r="I5429" s="12" t="inlineStr">
        <is>
          <t>LV 600 V</t>
        </is>
      </c>
      <c r="J5429" s="12" t="inlineStr">
        <is>
          <t>Type TC-ER 600 V 3/C Cu XHHW-2 + ground, PVC jacket</t>
        </is>
      </c>
      <c r="K5429" s="12" t="inlineStr">
        <is>
          <t>LV|3/C+G|10</t>
        </is>
      </c>
      <c r="L5429" s="12" t="inlineStr">
        <is>
          <t>3/C+G</t>
        </is>
      </c>
      <c r="M5429" s="12" t="inlineStr">
        <is>
          <t>10</t>
        </is>
      </c>
      <c r="N5429" s="12" t="n">
        <v>1</v>
      </c>
      <c r="O5429" s="12" t="n">
        <v>1</v>
      </c>
      <c r="P5429" s="12" t="n">
        <v>480</v>
      </c>
      <c r="Q5429" s="12" t="n">
        <v>3</v>
      </c>
      <c r="R5429" s="12" t="n">
        <v>5</v>
      </c>
      <c r="S5429" s="12" t="inlineStr">
        <is>
          <t>Duct bank</t>
        </is>
      </c>
      <c r="T5429" s="15" t="n">
        <v>381</v>
      </c>
      <c r="U5429" s="15" t="n">
        <v>86</v>
      </c>
      <c r="V5429" s="15">
        <f>ROUNDUP((T5429+U5429+2*'Read Me'!$B$13)*(1+'Read Me'!$B$12),-1)</f>
        <v/>
      </c>
      <c r="W5429" s="15">
        <f>V5429*N5429*O5429</f>
        <v/>
      </c>
      <c r="X5429" s="12">
        <f>IF(LEFT(I5429,2)="MV",2*N5429*IF(L5429="1/C",O5429,1),0)</f>
        <v/>
      </c>
      <c r="Y5429" s="12">
        <f>IF(OR(LEFT(K5429,4)="LVAX",LEFT(K5429,6)="MV15AX",LEFT(K5429,4)="CTAX",LEFT(K5429,2)="W|"),2*N5429*O5429,0)</f>
        <v/>
      </c>
      <c r="Z5429" s="12" t="inlineStr">
        <is>
          <t>fixture-to-fixture run included</t>
        </is>
      </c>
      <c r="AA5429" s="12">
        <f>N5429*O5429</f>
        <v/>
      </c>
    </row>
    <row r="5430">
      <c r="A5430" s="12" t="inlineStr">
        <is>
          <t>I-P-0262</t>
        </is>
      </c>
      <c r="B5430" s="12" t="inlineStr">
        <is>
          <t>I</t>
        </is>
      </c>
      <c r="C5430" s="12" t="inlineStr">
        <is>
          <t>Modular / portable power</t>
        </is>
      </c>
      <c r="D5430" s="12" t="inlineStr">
        <is>
          <t>Motor 1 of 2, 185 kW</t>
        </is>
      </c>
      <c r="E5430" s="12" t="inlineStr"/>
      <c r="F5430" s="12" t="inlineStr">
        <is>
          <t>SC-1 PCM + 15 kV GCB</t>
        </is>
      </c>
      <c r="G5430" s="12" t="inlineStr"/>
      <c r="H5430" s="12" t="inlineStr">
        <is>
          <t>SC-1 tempering-air fans (2 x 100 %)</t>
        </is>
      </c>
      <c r="I5430" s="12" t="inlineStr">
        <is>
          <t>LV 600 V</t>
        </is>
      </c>
      <c r="J5430" s="12" t="inlineStr">
        <is>
          <t>Type TC-ER 600 V 3/C Cu XHHW-2 + ground, PVC jacket</t>
        </is>
      </c>
      <c r="K5430" s="12" t="inlineStr">
        <is>
          <t>LV|3/C+G|500</t>
        </is>
      </c>
      <c r="L5430" s="12" t="inlineStr">
        <is>
          <t>3/C+G</t>
        </is>
      </c>
      <c r="M5430" s="12" t="inlineStr">
        <is>
          <t>500 kcmil</t>
        </is>
      </c>
      <c r="N5430" s="12" t="n">
        <v>1</v>
      </c>
      <c r="O5430" s="12" t="n">
        <v>1</v>
      </c>
      <c r="P5430" s="12" t="n">
        <v>480</v>
      </c>
      <c r="Q5430" s="12" t="n">
        <v>185</v>
      </c>
      <c r="R5430" s="12" t="n">
        <v>261.8</v>
      </c>
      <c r="S5430" s="12" t="inlineStr">
        <is>
          <t>Duct bank</t>
        </is>
      </c>
      <c r="T5430" s="15" t="n">
        <v>15</v>
      </c>
      <c r="U5430" s="15" t="n">
        <v>99</v>
      </c>
      <c r="V5430" s="15">
        <f>ROUNDUP((T5430+U5430+2*'Read Me'!$B$13)*(1+'Read Me'!$B$12),-1)</f>
        <v/>
      </c>
      <c r="W5430" s="15">
        <f>V5430*N5430*O5430</f>
        <v/>
      </c>
      <c r="X5430" s="12">
        <f>IF(LEFT(I5430,2)="MV",2*N5430*IF(L5430="1/C",O5430,1),0)</f>
        <v/>
      </c>
      <c r="Y5430" s="12">
        <f>IF(OR(LEFT(K5430,4)="LVAX",LEFT(K5430,6)="MV15AX",LEFT(K5430,4)="CTAX",LEFT(K5430,2)="W|"),2*N5430*O5430,0)</f>
        <v/>
      </c>
      <c r="Z5430" s="12" t="inlineStr">
        <is>
          <t>VD 0.3 %</t>
        </is>
      </c>
      <c r="AA5430" s="12">
        <f>N5430*O5430</f>
        <v/>
      </c>
    </row>
    <row r="5431">
      <c r="A5431" s="12" t="inlineStr">
        <is>
          <t>I-P-0263</t>
        </is>
      </c>
      <c r="B5431" s="12" t="inlineStr">
        <is>
          <t>I</t>
        </is>
      </c>
      <c r="C5431" s="12" t="inlineStr">
        <is>
          <t>Modular / portable power</t>
        </is>
      </c>
      <c r="D5431" s="12" t="inlineStr">
        <is>
          <t>Motor 2 of 2, 185 kW</t>
        </is>
      </c>
      <c r="E5431" s="12" t="inlineStr"/>
      <c r="F5431" s="12" t="inlineStr">
        <is>
          <t>SC-1 PCM + 15 kV GCB</t>
        </is>
      </c>
      <c r="G5431" s="12" t="inlineStr"/>
      <c r="H5431" s="12" t="inlineStr">
        <is>
          <t>SC-1 tempering-air fans (2 x 100 %)</t>
        </is>
      </c>
      <c r="I5431" s="12" t="inlineStr">
        <is>
          <t>LV 600 V</t>
        </is>
      </c>
      <c r="J5431" s="12" t="inlineStr">
        <is>
          <t>Type TC-ER 600 V 3/C Cu XHHW-2 + ground, PVC jacket</t>
        </is>
      </c>
      <c r="K5431" s="12" t="inlineStr">
        <is>
          <t>LV|3/C+G|500</t>
        </is>
      </c>
      <c r="L5431" s="12" t="inlineStr">
        <is>
          <t>3/C+G</t>
        </is>
      </c>
      <c r="M5431" s="12" t="inlineStr">
        <is>
          <t>500 kcmil</t>
        </is>
      </c>
      <c r="N5431" s="12" t="n">
        <v>1</v>
      </c>
      <c r="O5431" s="12" t="n">
        <v>1</v>
      </c>
      <c r="P5431" s="12" t="n">
        <v>480</v>
      </c>
      <c r="Q5431" s="12" t="n">
        <v>185</v>
      </c>
      <c r="R5431" s="12" t="n">
        <v>261.8</v>
      </c>
      <c r="S5431" s="12" t="inlineStr">
        <is>
          <t>Duct bank</t>
        </is>
      </c>
      <c r="T5431" s="15" t="n">
        <v>15</v>
      </c>
      <c r="U5431" s="15" t="n">
        <v>99</v>
      </c>
      <c r="V5431" s="15">
        <f>ROUNDUP((T5431+U5431+2*'Read Me'!$B$13)*(1+'Read Me'!$B$12),-1)</f>
        <v/>
      </c>
      <c r="W5431" s="15">
        <f>V5431*N5431*O5431</f>
        <v/>
      </c>
      <c r="X5431" s="12">
        <f>IF(LEFT(I5431,2)="MV",2*N5431*IF(L5431="1/C",O5431,1),0)</f>
        <v/>
      </c>
      <c r="Y5431" s="12">
        <f>IF(OR(LEFT(K5431,4)="LVAX",LEFT(K5431,6)="MV15AX",LEFT(K5431,4)="CTAX",LEFT(K5431,2)="W|"),2*N5431*O5431,0)</f>
        <v/>
      </c>
      <c r="Z5431" s="12" t="inlineStr">
        <is>
          <t>VD 0.3 %</t>
        </is>
      </c>
      <c r="AA5431" s="12">
        <f>N5431*O5431</f>
        <v/>
      </c>
    </row>
    <row r="5432">
      <c r="A5432" s="12" t="inlineStr">
        <is>
          <t>I-P-0264</t>
        </is>
      </c>
      <c r="B5432" s="12" t="inlineStr">
        <is>
          <t>I</t>
        </is>
      </c>
      <c r="C5432" s="12" t="inlineStr">
        <is>
          <t>Modular / portable power</t>
        </is>
      </c>
      <c r="D5432" s="12" t="inlineStr">
        <is>
          <t>Area / platform lighting circuit 1 (4 fixtures)</t>
        </is>
      </c>
      <c r="E5432" s="12" t="inlineStr"/>
      <c r="F5432" s="12" t="inlineStr">
        <is>
          <t>SC-1 PCM + 15 kV GCB</t>
        </is>
      </c>
      <c r="G5432" s="12" t="inlineStr"/>
      <c r="H5432" s="12" t="inlineStr">
        <is>
          <t>SC-1 tempering-air fans (2 x 100 %)</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3</v>
      </c>
      <c r="R5432" s="12" t="n">
        <v>5</v>
      </c>
      <c r="S5432" s="12" t="inlineStr">
        <is>
          <t>Duct bank</t>
        </is>
      </c>
      <c r="T5432" s="15" t="n">
        <v>315</v>
      </c>
      <c r="U5432" s="15" t="n">
        <v>99</v>
      </c>
      <c r="V5432" s="15">
        <f>ROUNDUP((T5432+U5432+2*'Read Me'!$B$13)*(1+'Read Me'!$B$12),-1)</f>
        <v/>
      </c>
      <c r="W5432" s="15">
        <f>V5432*N5432*O5432</f>
        <v/>
      </c>
      <c r="X5432" s="12">
        <f>IF(LEFT(I5432,2)="MV",2*N5432*IF(L5432="1/C",O5432,1),0)</f>
        <v/>
      </c>
      <c r="Y5432" s="12">
        <f>IF(OR(LEFT(K5432,4)="LVAX",LEFT(K5432,6)="MV15AX",LEFT(K5432,4)="CTAX",LEFT(K5432,2)="W|"),2*N5432*O5432,0)</f>
        <v/>
      </c>
      <c r="Z5432" s="12" t="inlineStr">
        <is>
          <t>fixture-to-fixture run included</t>
        </is>
      </c>
      <c r="AA5432" s="12">
        <f>N5432*O5432</f>
        <v/>
      </c>
    </row>
    <row r="5433">
      <c r="A5433" s="12" t="inlineStr">
        <is>
          <t>I-P-0265</t>
        </is>
      </c>
      <c r="B5433" s="12" t="inlineStr">
        <is>
          <t>I</t>
        </is>
      </c>
      <c r="C5433" s="12" t="inlineStr">
        <is>
          <t>Modular / portable power</t>
        </is>
      </c>
      <c r="D5433" s="12" t="inlineStr">
        <is>
          <t>SC-1 emergency DC lube-oil pump (125 V DC, coast-down)</t>
        </is>
      </c>
      <c r="E5433" s="12" t="inlineStr"/>
      <c r="F5433" s="12" t="inlineStr">
        <is>
          <t>SC-1 PCM + 15 kV GCB</t>
        </is>
      </c>
      <c r="G5433" s="12" t="inlineStr">
        <is>
          <t>SC-1</t>
        </is>
      </c>
      <c r="H5433" s="12" t="inlineStr">
        <is>
          <t>SC-1: aeroderivative simple-cycle unit (LM6000 class)</t>
        </is>
      </c>
      <c r="I5433" s="12" t="inlineStr">
        <is>
          <t>LV 600 V</t>
        </is>
      </c>
      <c r="J5433" s="12" t="inlineStr">
        <is>
          <t>XHHW-2 600 V 1/C Cu (feeder sets in tray / duct)</t>
        </is>
      </c>
      <c r="K5433" s="12" t="inlineStr">
        <is>
          <t>LV1C|1/C|2</t>
        </is>
      </c>
      <c r="L5433" s="12" t="inlineStr">
        <is>
          <t>1/C</t>
        </is>
      </c>
      <c r="M5433" s="12" t="inlineStr">
        <is>
          <t>2</t>
        </is>
      </c>
      <c r="N5433" s="12" t="n">
        <v>1</v>
      </c>
      <c r="O5433" s="12" t="n">
        <v>2</v>
      </c>
      <c r="P5433" s="12" t="n">
        <v>125</v>
      </c>
      <c r="Q5433" s="12" t="n">
        <v>7.5</v>
      </c>
      <c r="R5433" s="12" t="n">
        <v>65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LM6000 class: DC pump keeps the bearings fed on loss of AC</t>
        </is>
      </c>
      <c r="AA5433" s="12">
        <f>N5433*O5433</f>
        <v/>
      </c>
    </row>
    <row r="5434">
      <c r="A5434" s="12" t="inlineStr">
        <is>
          <t>I-P-0266</t>
        </is>
      </c>
      <c r="B5434" s="12" t="inlineStr">
        <is>
          <t>I</t>
        </is>
      </c>
      <c r="C5434" s="12" t="inlineStr">
        <is>
          <t>Modular / portable power</t>
        </is>
      </c>
      <c r="D5434" s="12" t="inlineStr">
        <is>
          <t>SC-1 120 V AC UPS to the unit control and protection</t>
        </is>
      </c>
      <c r="E5434" s="12" t="inlineStr"/>
      <c r="F5434" s="12" t="inlineStr">
        <is>
          <t>SC-1 PCM + 15 kV GCB</t>
        </is>
      </c>
      <c r="G5434" s="12" t="inlineStr">
        <is>
          <t>SC-1</t>
        </is>
      </c>
      <c r="H5434" s="12" t="inlineStr">
        <is>
          <t>SC-1: aeroderivative simple-cycle unit (LM6000 class)</t>
        </is>
      </c>
      <c r="I5434" s="12" t="inlineStr">
        <is>
          <t>LV 600 V</t>
        </is>
      </c>
      <c r="J5434" s="12" t="inlineStr">
        <is>
          <t>XHHW-2 600 V 1/C Cu (feeder sets in tray / duct)</t>
        </is>
      </c>
      <c r="K5434" s="12" t="inlineStr">
        <is>
          <t>LV1C|1/C|6</t>
        </is>
      </c>
      <c r="L5434" s="12" t="inlineStr">
        <is>
          <t>1/C</t>
        </is>
      </c>
      <c r="M5434" s="12" t="inlineStr">
        <is>
          <t>6</t>
        </is>
      </c>
      <c r="N5434" s="12" t="n">
        <v>1</v>
      </c>
      <c r="O5434" s="12" t="n">
        <v>2</v>
      </c>
      <c r="P5434" s="12" t="n">
        <v>120</v>
      </c>
      <c r="Q5434" s="12" t="n">
        <v>5</v>
      </c>
      <c r="R5434" s="12" t="n"/>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c r="AA5434" s="12">
        <f>N5434*O5434</f>
        <v/>
      </c>
    </row>
    <row r="5435">
      <c r="A5435" s="12" t="inlineStr">
        <is>
          <t>I-P-0267</t>
        </is>
      </c>
      <c r="B5435" s="12" t="inlineStr">
        <is>
          <t>I</t>
        </is>
      </c>
      <c r="C5435" s="12" t="inlineStr">
        <is>
          <t>Modular / portable power</t>
        </is>
      </c>
      <c r="D5435" s="12" t="inlineStr">
        <is>
          <t>SC-1 hydraulic starter pump motor (start sequence only)</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LV|3/C+G|3/0</t>
        </is>
      </c>
      <c r="L5435" s="12" t="inlineStr">
        <is>
          <t>3/C+G</t>
        </is>
      </c>
      <c r="M5435" s="12" t="inlineStr">
        <is>
          <t>3/0</t>
        </is>
      </c>
      <c r="N5435" s="12" t="n">
        <v>2</v>
      </c>
      <c r="O5435" s="12" t="n">
        <v>1</v>
      </c>
      <c r="P5435" s="12" t="n">
        <v>480</v>
      </c>
      <c r="Q5435" s="12" t="n">
        <v>225</v>
      </c>
      <c r="R5435" s="12" t="n">
        <v>318.4</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typical LM6000 hydraulic start; verify starter type / rating with the OEM</t>
        </is>
      </c>
      <c r="AA5435" s="12">
        <f>N5435*O5435</f>
        <v/>
      </c>
    </row>
    <row r="5436">
      <c r="A5436" s="12" t="inlineStr">
        <is>
          <t>I-P-0268</t>
        </is>
      </c>
      <c r="B5436" s="12" t="inlineStr">
        <is>
          <t>I</t>
        </is>
      </c>
      <c r="C5436" s="12" t="inlineStr">
        <is>
          <t>Modular / portable power</t>
        </is>
      </c>
      <c r="D5436" s="12" t="inlineStr">
        <is>
          <t>SC-1 480 V welding receptacle 1</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LV|3/C+G|2</t>
        </is>
      </c>
      <c r="L5436" s="12" t="inlineStr">
        <is>
          <t>3/C+G</t>
        </is>
      </c>
      <c r="M5436" s="12" t="inlineStr">
        <is>
          <t>2</t>
        </is>
      </c>
      <c r="N5436" s="12" t="n">
        <v>1</v>
      </c>
      <c r="O5436" s="12" t="n">
        <v>1</v>
      </c>
      <c r="P5436" s="12" t="n">
        <v>480</v>
      </c>
      <c r="Q5436" s="12" t="n">
        <v>60</v>
      </c>
      <c r="R5436" s="12" t="n">
        <v>76</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0.4 %</t>
        </is>
      </c>
      <c r="AA5436" s="12">
        <f>N5436*O5436</f>
        <v/>
      </c>
    </row>
    <row r="5437">
      <c r="A5437" s="12" t="inlineStr">
        <is>
          <t>I-P-0269</t>
        </is>
      </c>
      <c r="B5437" s="12" t="inlineStr">
        <is>
          <t>I</t>
        </is>
      </c>
      <c r="C5437" s="12" t="inlineStr">
        <is>
          <t>Modular / portable power</t>
        </is>
      </c>
      <c r="D5437" s="12" t="inlineStr">
        <is>
          <t>SC-1 480 V welding receptacle 2</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LV|3/C+G|2</t>
        </is>
      </c>
      <c r="L5437" s="12" t="inlineStr">
        <is>
          <t>3/C+G</t>
        </is>
      </c>
      <c r="M5437" s="12" t="inlineStr">
        <is>
          <t>2</t>
        </is>
      </c>
      <c r="N5437" s="12" t="n">
        <v>1</v>
      </c>
      <c r="O5437" s="12" t="n">
        <v>1</v>
      </c>
      <c r="P5437" s="12" t="n">
        <v>480</v>
      </c>
      <c r="Q5437" s="12" t="n">
        <v>60</v>
      </c>
      <c r="R5437" s="12" t="n">
        <v>76</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0.4 %</t>
        </is>
      </c>
      <c r="AA5437" s="12">
        <f>N5437*O5437</f>
        <v/>
      </c>
    </row>
    <row r="5438">
      <c r="A5438" s="12" t="inlineStr">
        <is>
          <t>I-P-0270</t>
        </is>
      </c>
      <c r="B5438" s="12" t="inlineStr">
        <is>
          <t>I</t>
        </is>
      </c>
      <c r="C5438" s="12" t="inlineStr">
        <is>
          <t>Modular / portable power</t>
        </is>
      </c>
      <c r="D5438" s="12" t="inlineStr">
        <is>
          <t>Motor 1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I-P-0271</t>
        </is>
      </c>
      <c r="B5439" s="12" t="inlineStr">
        <is>
          <t>I</t>
        </is>
      </c>
      <c r="C5439" s="12" t="inlineStr">
        <is>
          <t>Modular / portable power</t>
        </is>
      </c>
      <c r="D5439" s="12" t="inlineStr">
        <is>
          <t>Motor 2 of 10, 30 kW</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LV|3/C+G|6</t>
        </is>
      </c>
      <c r="L5439" s="12" t="inlineStr">
        <is>
          <t>3/C+G</t>
        </is>
      </c>
      <c r="M5439" s="12" t="inlineStr">
        <is>
          <t>6</t>
        </is>
      </c>
      <c r="N5439" s="12" t="n">
        <v>1</v>
      </c>
      <c r="O5439" s="12" t="n">
        <v>1</v>
      </c>
      <c r="P5439" s="12" t="n">
        <v>480</v>
      </c>
      <c r="Q5439" s="12" t="n">
        <v>30</v>
      </c>
      <c r="R5439" s="12" t="n">
        <v>42.5</v>
      </c>
      <c r="S5439" s="12" t="inlineStr">
        <is>
          <t>Tray</t>
        </is>
      </c>
      <c r="T5439" s="15" t="n">
        <v>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VD 0.6 %</t>
        </is>
      </c>
      <c r="AA5439" s="12">
        <f>N5439*O5439</f>
        <v/>
      </c>
    </row>
    <row r="5440">
      <c r="A5440" s="12" t="inlineStr">
        <is>
          <t>I-P-0272</t>
        </is>
      </c>
      <c r="B5440" s="12" t="inlineStr">
        <is>
          <t>I</t>
        </is>
      </c>
      <c r="C5440" s="12" t="inlineStr">
        <is>
          <t>Modular / portable power</t>
        </is>
      </c>
      <c r="D5440" s="12" t="inlineStr">
        <is>
          <t>Motor 3 of 10, 30 kW</t>
        </is>
      </c>
      <c r="E5440" s="12" t="inlineStr"/>
      <c r="F5440" s="12" t="inlineStr">
        <is>
          <t>SC-1 PCM + 15 kV GCB</t>
        </is>
      </c>
      <c r="G5440" s="12" t="inlineStr">
        <is>
          <t>SC-1</t>
        </is>
      </c>
      <c r="H5440" s="12" t="inlineStr">
        <is>
          <t>SC-1: aeroderivative simple-cycle unit (LM6000 class)</t>
        </is>
      </c>
      <c r="I5440" s="12" t="inlineStr">
        <is>
          <t>LV 600 V</t>
        </is>
      </c>
      <c r="J5440" s="12" t="inlineStr">
        <is>
          <t>Type TC-ER 600 V 3/C Cu XHHW-2 + ground, PVC jacket</t>
        </is>
      </c>
      <c r="K5440" s="12" t="inlineStr">
        <is>
          <t>LV|3/C+G|6</t>
        </is>
      </c>
      <c r="L5440" s="12" t="inlineStr">
        <is>
          <t>3/C+G</t>
        </is>
      </c>
      <c r="M5440" s="12" t="inlineStr">
        <is>
          <t>6</t>
        </is>
      </c>
      <c r="N5440" s="12" t="n">
        <v>1</v>
      </c>
      <c r="O5440" s="12" t="n">
        <v>1</v>
      </c>
      <c r="P5440" s="12" t="n">
        <v>480</v>
      </c>
      <c r="Q5440" s="12" t="n">
        <v>30</v>
      </c>
      <c r="R5440" s="12" t="n">
        <v>42.5</v>
      </c>
      <c r="S5440" s="12" t="inlineStr">
        <is>
          <t>Tray</t>
        </is>
      </c>
      <c r="T5440" s="15" t="n">
        <v>5</v>
      </c>
      <c r="U5440" s="15" t="n">
        <v>62</v>
      </c>
      <c r="V5440" s="15">
        <f>ROUNDUP((T5440+U5440+2*'Read Me'!$B$13)*(1+'Read Me'!$B$12),-1)</f>
        <v/>
      </c>
      <c r="W5440" s="15">
        <f>V5440*N5440*O5440</f>
        <v/>
      </c>
      <c r="X5440" s="12">
        <f>IF(LEFT(I5440,2)="MV",2*N5440*IF(L5440="1/C",O5440,1),0)</f>
        <v/>
      </c>
      <c r="Y5440" s="12">
        <f>IF(OR(LEFT(K5440,4)="LVAX",LEFT(K5440,6)="MV15AX",LEFT(K5440,4)="CTAX",LEFT(K5440,2)="W|"),2*N5440*O5440,0)</f>
        <v/>
      </c>
      <c r="Z5440" s="12" t="inlineStr">
        <is>
          <t>VD 0.6 %</t>
        </is>
      </c>
      <c r="AA5440" s="12">
        <f>N5440*O5440</f>
        <v/>
      </c>
    </row>
    <row r="5441">
      <c r="A5441" s="12" t="inlineStr">
        <is>
          <t>I-P-0273</t>
        </is>
      </c>
      <c r="B5441" s="12" t="inlineStr">
        <is>
          <t>I</t>
        </is>
      </c>
      <c r="C5441" s="12" t="inlineStr">
        <is>
          <t>Modular / portable power</t>
        </is>
      </c>
      <c r="D5441" s="12" t="inlineStr">
        <is>
          <t>Motor 4 of 10, 30 kW</t>
        </is>
      </c>
      <c r="E5441" s="12" t="inlineStr"/>
      <c r="F5441" s="12" t="inlineStr">
        <is>
          <t>SC-1 PCM + 15 kV GCB</t>
        </is>
      </c>
      <c r="G5441" s="12" t="inlineStr">
        <is>
          <t>SC-1</t>
        </is>
      </c>
      <c r="H5441" s="12" t="inlineStr">
        <is>
          <t>SC-1: aeroderivative simple-cycle unit (LM6000 class)</t>
        </is>
      </c>
      <c r="I5441" s="12" t="inlineStr">
        <is>
          <t>LV 600 V</t>
        </is>
      </c>
      <c r="J5441" s="12" t="inlineStr">
        <is>
          <t>Type TC-ER 600 V 3/C Cu XHHW-2 + ground, PVC jacket</t>
        </is>
      </c>
      <c r="K5441" s="12" t="inlineStr">
        <is>
          <t>LV|3/C+G|6</t>
        </is>
      </c>
      <c r="L5441" s="12" t="inlineStr">
        <is>
          <t>3/C+G</t>
        </is>
      </c>
      <c r="M5441" s="12" t="inlineStr">
        <is>
          <t>6</t>
        </is>
      </c>
      <c r="N5441" s="12" t="n">
        <v>1</v>
      </c>
      <c r="O5441" s="12" t="n">
        <v>1</v>
      </c>
      <c r="P5441" s="12" t="n">
        <v>480</v>
      </c>
      <c r="Q5441" s="12" t="n">
        <v>30</v>
      </c>
      <c r="R5441" s="12" t="n">
        <v>42.5</v>
      </c>
      <c r="S5441" s="12" t="inlineStr">
        <is>
          <t>Tray</t>
        </is>
      </c>
      <c r="T5441" s="15" t="n">
        <v>5</v>
      </c>
      <c r="U5441" s="15" t="n">
        <v>62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I-P-0274</t>
        </is>
      </c>
      <c r="B5442" s="12" t="inlineStr">
        <is>
          <t>I</t>
        </is>
      </c>
      <c r="C5442" s="12" t="inlineStr">
        <is>
          <t>Modular / portable power</t>
        </is>
      </c>
      <c r="D5442" s="12" t="inlineStr">
        <is>
          <t>Motor 5 of 10, 30 kW</t>
        </is>
      </c>
      <c r="E5442" s="12" t="inlineStr"/>
      <c r="F5442" s="12" t="inlineStr">
        <is>
          <t>SC-1 PCM + 15 kV GCB</t>
        </is>
      </c>
      <c r="G5442" s="12" t="inlineStr">
        <is>
          <t>SC-1</t>
        </is>
      </c>
      <c r="H5442" s="12" t="inlineStr">
        <is>
          <t>SC-1: aeroderivative simple-cycle unit (LM6000 class)</t>
        </is>
      </c>
      <c r="I5442" s="12" t="inlineStr">
        <is>
          <t>LV 600 V</t>
        </is>
      </c>
      <c r="J5442" s="12" t="inlineStr">
        <is>
          <t>Type TC-ER 600 V 3/C Cu XHHW-2 + ground, PVC jacket</t>
        </is>
      </c>
      <c r="K5442" s="12" t="inlineStr">
        <is>
          <t>LV|3/C+G|6</t>
        </is>
      </c>
      <c r="L5442" s="12" t="inlineStr">
        <is>
          <t>3/C+G</t>
        </is>
      </c>
      <c r="M5442" s="12" t="inlineStr">
        <is>
          <t>6</t>
        </is>
      </c>
      <c r="N5442" s="12" t="n">
        <v>1</v>
      </c>
      <c r="O5442" s="12" t="n">
        <v>1</v>
      </c>
      <c r="P5442" s="12" t="n">
        <v>480</v>
      </c>
      <c r="Q5442" s="12" t="n">
        <v>30</v>
      </c>
      <c r="R5442" s="12" t="n">
        <v>42.5</v>
      </c>
      <c r="S5442" s="12" t="inlineStr">
        <is>
          <t>Tray</t>
        </is>
      </c>
      <c r="T5442" s="15" t="n">
        <v>5</v>
      </c>
      <c r="U5442" s="15" t="n">
        <v>62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I-P-0275</t>
        </is>
      </c>
      <c r="B5443" s="12" t="inlineStr">
        <is>
          <t>I</t>
        </is>
      </c>
      <c r="C5443" s="12" t="inlineStr">
        <is>
          <t>Modular / portable power</t>
        </is>
      </c>
      <c r="D5443" s="12" t="inlineStr">
        <is>
          <t>Motor 6 of 10, 30 kW</t>
        </is>
      </c>
      <c r="E5443" s="12" t="inlineStr"/>
      <c r="F5443" s="12" t="inlineStr">
        <is>
          <t>SC-1 PCM + 15 kV GCB</t>
        </is>
      </c>
      <c r="G5443" s="12" t="inlineStr">
        <is>
          <t>SC-1</t>
        </is>
      </c>
      <c r="H5443" s="12" t="inlineStr">
        <is>
          <t>SC-1: aeroderivative simple-cycle unit (LM6000 class)</t>
        </is>
      </c>
      <c r="I5443" s="12" t="inlineStr">
        <is>
          <t>LV 600 V</t>
        </is>
      </c>
      <c r="J5443" s="12" t="inlineStr">
        <is>
          <t>Type TC-ER 600 V 3/C Cu XHHW-2 + ground, PVC jacket</t>
        </is>
      </c>
      <c r="K5443" s="12" t="inlineStr">
        <is>
          <t>LV|3/C+G|6</t>
        </is>
      </c>
      <c r="L5443" s="12" t="inlineStr">
        <is>
          <t>3/C+G</t>
        </is>
      </c>
      <c r="M5443" s="12" t="inlineStr">
        <is>
          <t>6</t>
        </is>
      </c>
      <c r="N5443" s="12" t="n">
        <v>1</v>
      </c>
      <c r="O5443" s="12" t="n">
        <v>1</v>
      </c>
      <c r="P5443" s="12" t="n">
        <v>480</v>
      </c>
      <c r="Q5443" s="12" t="n">
        <v>30</v>
      </c>
      <c r="R5443" s="12" t="n">
        <v>42.5</v>
      </c>
      <c r="S5443" s="12" t="inlineStr">
        <is>
          <t>Tray</t>
        </is>
      </c>
      <c r="T5443" s="15" t="n">
        <v>5</v>
      </c>
      <c r="U5443" s="15" t="n">
        <v>62</v>
      </c>
      <c r="V5443" s="15">
        <f>ROUNDUP((T5443+U5443+2*'Read Me'!$B$13)*(1+'Read Me'!$B$12),-1)</f>
        <v/>
      </c>
      <c r="W5443" s="15">
        <f>V5443*N5443*O5443</f>
        <v/>
      </c>
      <c r="X5443" s="12">
        <f>IF(LEFT(I5443,2)="MV",2*N5443*IF(L5443="1/C",O5443,1),0)</f>
        <v/>
      </c>
      <c r="Y5443" s="12">
        <f>IF(OR(LEFT(K5443,4)="LVAX",LEFT(K5443,6)="MV15AX",LEFT(K5443,4)="CTAX",LEFT(K5443,2)="W|"),2*N5443*O5443,0)</f>
        <v/>
      </c>
      <c r="Z5443" s="12" t="inlineStr">
        <is>
          <t>VD 0.6 %</t>
        </is>
      </c>
      <c r="AA5443" s="12">
        <f>N5443*O5443</f>
        <v/>
      </c>
    </row>
    <row r="5444">
      <c r="A5444" s="12" t="inlineStr">
        <is>
          <t>I-P-0276</t>
        </is>
      </c>
      <c r="B5444" s="12" t="inlineStr">
        <is>
          <t>I</t>
        </is>
      </c>
      <c r="C5444" s="12" t="inlineStr">
        <is>
          <t>Modular / portable power</t>
        </is>
      </c>
      <c r="D5444" s="12" t="inlineStr">
        <is>
          <t>Motor 7 of 10, 30 kW</t>
        </is>
      </c>
      <c r="E5444" s="12" t="inlineStr"/>
      <c r="F5444" s="12" t="inlineStr">
        <is>
          <t>SC-1 PCM + 15 kV GCB</t>
        </is>
      </c>
      <c r="G5444" s="12" t="inlineStr">
        <is>
          <t>SC-1</t>
        </is>
      </c>
      <c r="H5444" s="12" t="inlineStr">
        <is>
          <t>SC-1: aeroderivative simple-cycle unit (LM6000 class)</t>
        </is>
      </c>
      <c r="I5444" s="12" t="inlineStr">
        <is>
          <t>LV 600 V</t>
        </is>
      </c>
      <c r="J5444" s="12" t="inlineStr">
        <is>
          <t>Type TC-ER 600 V 3/C Cu XHHW-2 + ground, PVC jacket</t>
        </is>
      </c>
      <c r="K5444" s="12" t="inlineStr">
        <is>
          <t>LV|3/C+G|6</t>
        </is>
      </c>
      <c r="L5444" s="12" t="inlineStr">
        <is>
          <t>3/C+G</t>
        </is>
      </c>
      <c r="M5444" s="12" t="inlineStr">
        <is>
          <t>6</t>
        </is>
      </c>
      <c r="N5444" s="12" t="n">
        <v>1</v>
      </c>
      <c r="O5444" s="12" t="n">
        <v>1</v>
      </c>
      <c r="P5444" s="12" t="n">
        <v>480</v>
      </c>
      <c r="Q5444" s="12" t="n">
        <v>30</v>
      </c>
      <c r="R5444" s="12" t="n">
        <v>42.5</v>
      </c>
      <c r="S5444" s="12" t="inlineStr">
        <is>
          <t>Tray</t>
        </is>
      </c>
      <c r="T5444" s="15" t="n">
        <v>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VD 0.6 %</t>
        </is>
      </c>
      <c r="AA5444" s="12">
        <f>N5444*O5444</f>
        <v/>
      </c>
    </row>
    <row r="5445">
      <c r="A5445" s="12" t="inlineStr">
        <is>
          <t>I-P-0277</t>
        </is>
      </c>
      <c r="B5445" s="12" t="inlineStr">
        <is>
          <t>I</t>
        </is>
      </c>
      <c r="C5445" s="12" t="inlineStr">
        <is>
          <t>Modular / portable power</t>
        </is>
      </c>
      <c r="D5445" s="12" t="inlineStr">
        <is>
          <t>Motor 8 of 10, 30 kW</t>
        </is>
      </c>
      <c r="E5445" s="12" t="inlineStr"/>
      <c r="F5445" s="12" t="inlineStr">
        <is>
          <t>SC-1 PCM + 15 kV GCB</t>
        </is>
      </c>
      <c r="G5445" s="12" t="inlineStr">
        <is>
          <t>SC-1</t>
        </is>
      </c>
      <c r="H5445" s="12" t="inlineStr">
        <is>
          <t>SC-1: aeroderivative simple-cycle unit (LM6000 class)</t>
        </is>
      </c>
      <c r="I5445" s="12" t="inlineStr">
        <is>
          <t>LV 600 V</t>
        </is>
      </c>
      <c r="J5445" s="12" t="inlineStr">
        <is>
          <t>Type TC-ER 600 V 3/C Cu XHHW-2 + ground, PVC jacket</t>
        </is>
      </c>
      <c r="K5445" s="12" t="inlineStr">
        <is>
          <t>LV|3/C+G|6</t>
        </is>
      </c>
      <c r="L5445" s="12" t="inlineStr">
        <is>
          <t>3/C+G</t>
        </is>
      </c>
      <c r="M5445" s="12" t="inlineStr">
        <is>
          <t>6</t>
        </is>
      </c>
      <c r="N5445" s="12" t="n">
        <v>1</v>
      </c>
      <c r="O5445" s="12" t="n">
        <v>1</v>
      </c>
      <c r="P5445" s="12" t="n">
        <v>480</v>
      </c>
      <c r="Q5445" s="12" t="n">
        <v>30</v>
      </c>
      <c r="R5445" s="12" t="n">
        <v>42.5</v>
      </c>
      <c r="S5445" s="12" t="inlineStr">
        <is>
          <t>Tray</t>
        </is>
      </c>
      <c r="T5445" s="15" t="n">
        <v>5</v>
      </c>
      <c r="U5445" s="15" t="n">
        <v>62</v>
      </c>
      <c r="V5445" s="15">
        <f>ROUNDUP((T5445+U5445+2*'Read Me'!$B$13)*(1+'Read Me'!$B$12),-1)</f>
        <v/>
      </c>
      <c r="W5445" s="15">
        <f>V5445*N5445*O5445</f>
        <v/>
      </c>
      <c r="X5445" s="12">
        <f>IF(LEFT(I5445,2)="MV",2*N5445*IF(L5445="1/C",O5445,1),0)</f>
        <v/>
      </c>
      <c r="Y5445" s="12">
        <f>IF(OR(LEFT(K5445,4)="LVAX",LEFT(K5445,6)="MV15AX",LEFT(K5445,4)="CTAX",LEFT(K5445,2)="W|"),2*N5445*O5445,0)</f>
        <v/>
      </c>
      <c r="Z5445" s="12" t="inlineStr">
        <is>
          <t>VD 0.6 %</t>
        </is>
      </c>
      <c r="AA5445" s="12">
        <f>N5445*O5445</f>
        <v/>
      </c>
    </row>
    <row r="5446">
      <c r="A5446" s="12" t="inlineStr">
        <is>
          <t>I-P-0278</t>
        </is>
      </c>
      <c r="B5446" s="12" t="inlineStr">
        <is>
          <t>I</t>
        </is>
      </c>
      <c r="C5446" s="12" t="inlineStr">
        <is>
          <t>Modular / portable power</t>
        </is>
      </c>
      <c r="D5446" s="12" t="inlineStr">
        <is>
          <t>Motor 9 of 10, 30 kW</t>
        </is>
      </c>
      <c r="E5446" s="12" t="inlineStr"/>
      <c r="F5446" s="12" t="inlineStr">
        <is>
          <t>SC-1 PCM + 15 kV GCB</t>
        </is>
      </c>
      <c r="G5446" s="12" t="inlineStr">
        <is>
          <t>SC-1</t>
        </is>
      </c>
      <c r="H5446" s="12" t="inlineStr">
        <is>
          <t>SC-1: aeroderivative simple-cycle unit (LM6000 class)</t>
        </is>
      </c>
      <c r="I5446" s="12" t="inlineStr">
        <is>
          <t>LV 600 V</t>
        </is>
      </c>
      <c r="J5446" s="12" t="inlineStr">
        <is>
          <t>Type TC-ER 600 V 3/C Cu XHHW-2 + ground, PVC jacket</t>
        </is>
      </c>
      <c r="K5446" s="12" t="inlineStr">
        <is>
          <t>LV|3/C+G|6</t>
        </is>
      </c>
      <c r="L5446" s="12" t="inlineStr">
        <is>
          <t>3/C+G</t>
        </is>
      </c>
      <c r="M5446" s="12" t="inlineStr">
        <is>
          <t>6</t>
        </is>
      </c>
      <c r="N5446" s="12" t="n">
        <v>1</v>
      </c>
      <c r="O5446" s="12" t="n">
        <v>1</v>
      </c>
      <c r="P5446" s="12" t="n">
        <v>480</v>
      </c>
      <c r="Q5446" s="12" t="n">
        <v>30</v>
      </c>
      <c r="R5446" s="12" t="n">
        <v>42.5</v>
      </c>
      <c r="S5446" s="12" t="inlineStr">
        <is>
          <t>Tray</t>
        </is>
      </c>
      <c r="T5446" s="15" t="n">
        <v>5</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0.6 %</t>
        </is>
      </c>
      <c r="AA5446" s="12">
        <f>N5446*O5446</f>
        <v/>
      </c>
    </row>
    <row r="5447">
      <c r="A5447" s="12" t="inlineStr">
        <is>
          <t>I-P-0279</t>
        </is>
      </c>
      <c r="B5447" s="12" t="inlineStr">
        <is>
          <t>I</t>
        </is>
      </c>
      <c r="C5447" s="12" t="inlineStr">
        <is>
          <t>Modular / portable power</t>
        </is>
      </c>
      <c r="D5447" s="12" t="inlineStr">
        <is>
          <t>Motor 10 of 10, 30 kW</t>
        </is>
      </c>
      <c r="E5447" s="12" t="inlineStr"/>
      <c r="F5447" s="12" t="inlineStr">
        <is>
          <t>SC-1 PCM + 15 kV GCB</t>
        </is>
      </c>
      <c r="G5447" s="12" t="inlineStr">
        <is>
          <t>SC-1</t>
        </is>
      </c>
      <c r="H5447" s="12" t="inlineStr">
        <is>
          <t>SC-1: aeroderivative simple-cycle unit (LM6000 class)</t>
        </is>
      </c>
      <c r="I5447" s="12" t="inlineStr">
        <is>
          <t>LV 600 V</t>
        </is>
      </c>
      <c r="J5447" s="12" t="inlineStr">
        <is>
          <t>Type TC-ER 600 V 3/C Cu XHHW-2 + ground, PVC jacket</t>
        </is>
      </c>
      <c r="K5447" s="12" t="inlineStr">
        <is>
          <t>LV|3/C+G|6</t>
        </is>
      </c>
      <c r="L5447" s="12" t="inlineStr">
        <is>
          <t>3/C+G</t>
        </is>
      </c>
      <c r="M5447" s="12" t="inlineStr">
        <is>
          <t>6</t>
        </is>
      </c>
      <c r="N5447" s="12" t="n">
        <v>1</v>
      </c>
      <c r="O5447" s="12" t="n">
        <v>1</v>
      </c>
      <c r="P5447" s="12" t="n">
        <v>480</v>
      </c>
      <c r="Q5447" s="12" t="n">
        <v>30</v>
      </c>
      <c r="R5447" s="12" t="n">
        <v>42.5</v>
      </c>
      <c r="S5447" s="12" t="inlineStr">
        <is>
          <t>Tray</t>
        </is>
      </c>
      <c r="T5447" s="15" t="n">
        <v>5</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I-P-0280</t>
        </is>
      </c>
      <c r="B5448" s="12" t="inlineStr">
        <is>
          <t>I</t>
        </is>
      </c>
      <c r="C5448" s="12" t="inlineStr">
        <is>
          <t>Modular / portable power</t>
        </is>
      </c>
      <c r="D5448" s="12" t="inlineStr">
        <is>
          <t>Area / platform lighting circuit 1 (8 fixtures)</t>
        </is>
      </c>
      <c r="E5448" s="12" t="inlineStr"/>
      <c r="F5448" s="12" t="inlineStr">
        <is>
          <t>SC-1 PCM + 15 kV GCB</t>
        </is>
      </c>
      <c r="G5448" s="12" t="inlineStr">
        <is>
          <t>SC-1</t>
        </is>
      </c>
      <c r="H5448" s="12" t="inlineStr">
        <is>
          <t>SC-1: aeroderivative simple-cycle unit (LM6000 class)</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3</v>
      </c>
      <c r="R5448" s="12" t="n">
        <v>5</v>
      </c>
      <c r="S5448" s="12" t="inlineStr">
        <is>
          <t>Tray</t>
        </is>
      </c>
      <c r="T5448" s="15" t="n">
        <v>305</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fixture-to-fixture run included</t>
        </is>
      </c>
      <c r="AA5448" s="12">
        <f>N5448*O5448</f>
        <v/>
      </c>
    </row>
    <row r="5449">
      <c r="A5449" s="12" t="inlineStr">
        <is>
          <t>I-P-0281</t>
        </is>
      </c>
      <c r="B5449" s="12" t="inlineStr">
        <is>
          <t>I</t>
        </is>
      </c>
      <c r="C5449" s="12" t="inlineStr">
        <is>
          <t>Modular / portable power</t>
        </is>
      </c>
      <c r="D5449" s="12" t="inlineStr">
        <is>
          <t>SC-2 CEMS shelter panel: analysers, heated sample line, lighting</t>
        </is>
      </c>
      <c r="E5449" s="12" t="inlineStr"/>
      <c r="F5449" s="12" t="inlineStr">
        <is>
          <t>SC-2 PCM + 15 kV GCB</t>
        </is>
      </c>
      <c r="G5449" s="12" t="inlineStr"/>
      <c r="H5449" s="12" t="inlineStr">
        <is>
          <t>SC-2 CEMS shelter</t>
        </is>
      </c>
      <c r="I5449" s="12" t="inlineStr">
        <is>
          <t>LV 600 V</t>
        </is>
      </c>
      <c r="J5449" s="12" t="inlineStr">
        <is>
          <t>Type TC-ER 600 V 3/C Cu XHHW-2 + ground, PVC jacket</t>
        </is>
      </c>
      <c r="K5449" s="12" t="inlineStr">
        <is>
          <t>LV|3/C+G|10</t>
        </is>
      </c>
      <c r="L5449" s="12" t="inlineStr">
        <is>
          <t>3/C+G</t>
        </is>
      </c>
      <c r="M5449" s="12" t="inlineStr">
        <is>
          <t>10</t>
        </is>
      </c>
      <c r="N5449" s="12" t="n">
        <v>1</v>
      </c>
      <c r="O5449" s="12" t="n">
        <v>1</v>
      </c>
      <c r="P5449" s="12" t="n">
        <v>480</v>
      </c>
      <c r="Q5449" s="12" t="n">
        <v>15</v>
      </c>
      <c r="R5449" s="12" t="n">
        <v>19</v>
      </c>
      <c r="S5449" s="12" t="inlineStr">
        <is>
          <t>Duct bank</t>
        </is>
      </c>
      <c r="T5449" s="15" t="n">
        <v>74</v>
      </c>
      <c r="U5449" s="15" t="n">
        <v>112</v>
      </c>
      <c r="V5449" s="15">
        <f>ROUNDUP((T5449+U5449+2*'Read Me'!$B$13)*(1+'Read Me'!$B$12),-1)</f>
        <v/>
      </c>
      <c r="W5449" s="15">
        <f>V5449*N5449*O5449</f>
        <v/>
      </c>
      <c r="X5449" s="12">
        <f>IF(LEFT(I5449,2)="MV",2*N5449*IF(L5449="1/C",O5449,1),0)</f>
        <v/>
      </c>
      <c r="Y5449" s="12">
        <f>IF(OR(LEFT(K5449,4)="LVAX",LEFT(K5449,6)="MV15AX",LEFT(K5449,4)="CTAX",LEFT(K5449,2)="W|"),2*N5449*O5449,0)</f>
        <v/>
      </c>
      <c r="Z5449" s="12" t="inlineStr">
        <is>
          <t>VD 1.7 %</t>
        </is>
      </c>
      <c r="AA5449" s="12">
        <f>N5449*O5449</f>
        <v/>
      </c>
    </row>
    <row r="5450">
      <c r="A5450" s="12" t="inlineStr">
        <is>
          <t>I-P-0282</t>
        </is>
      </c>
      <c r="B5450" s="12" t="inlineStr">
        <is>
          <t>I</t>
        </is>
      </c>
      <c r="C5450" s="12" t="inlineStr">
        <is>
          <t>Modular / portable power</t>
        </is>
      </c>
      <c r="D5450" s="12" t="inlineStr">
        <is>
          <t>Motor 1 of 2, 5 kW</t>
        </is>
      </c>
      <c r="E5450" s="12" t="inlineStr"/>
      <c r="F5450" s="12" t="inlineStr">
        <is>
          <t>SC-2 PCM + 15 kV GCB</t>
        </is>
      </c>
      <c r="G5450" s="12" t="inlineStr"/>
      <c r="H5450" s="12" t="inlineStr">
        <is>
          <t>SC-2 CEMS shelter</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5</v>
      </c>
      <c r="R5450" s="12" t="n">
        <v>7.1</v>
      </c>
      <c r="S5450" s="12" t="inlineStr">
        <is>
          <t>Duct bank</t>
        </is>
      </c>
      <c r="T5450" s="15" t="n">
        <v>74</v>
      </c>
      <c r="U5450" s="15" t="n">
        <v>112</v>
      </c>
      <c r="V5450" s="15">
        <f>ROUNDUP((T5450+U5450+2*'Read Me'!$B$13)*(1+'Read Me'!$B$12),-1)</f>
        <v/>
      </c>
      <c r="W5450" s="15">
        <f>V5450*N5450*O5450</f>
        <v/>
      </c>
      <c r="X5450" s="12">
        <f>IF(LEFT(I5450,2)="MV",2*N5450*IF(L5450="1/C",O5450,1),0)</f>
        <v/>
      </c>
      <c r="Y5450" s="12">
        <f>IF(OR(LEFT(K5450,4)="LVAX",LEFT(K5450,6)="MV15AX",LEFT(K5450,4)="CTAX",LEFT(K5450,2)="W|"),2*N5450*O5450,0)</f>
        <v/>
      </c>
      <c r="Z5450" s="12" t="inlineStr">
        <is>
          <t>VD 0.6 %</t>
        </is>
      </c>
      <c r="AA5450" s="12">
        <f>N5450*O5450</f>
        <v/>
      </c>
    </row>
    <row r="5451">
      <c r="A5451" s="12" t="inlineStr">
        <is>
          <t>I-P-0283</t>
        </is>
      </c>
      <c r="B5451" s="12" t="inlineStr">
        <is>
          <t>I</t>
        </is>
      </c>
      <c r="C5451" s="12" t="inlineStr">
        <is>
          <t>Modular / portable power</t>
        </is>
      </c>
      <c r="D5451" s="12" t="inlineStr">
        <is>
          <t>Motor 2 of 2, 5 kW</t>
        </is>
      </c>
      <c r="E5451" s="12" t="inlineStr"/>
      <c r="F5451" s="12" t="inlineStr">
        <is>
          <t>SC-2 PCM + 15 kV GCB</t>
        </is>
      </c>
      <c r="G5451" s="12" t="inlineStr"/>
      <c r="H5451" s="12" t="inlineStr">
        <is>
          <t>SC-2 CEMS shelter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5</v>
      </c>
      <c r="R5451" s="12" t="n">
        <v>7.1</v>
      </c>
      <c r="S5451" s="12" t="inlineStr">
        <is>
          <t>Duct bank</t>
        </is>
      </c>
      <c r="T5451" s="15" t="n">
        <v>74</v>
      </c>
      <c r="U5451" s="15" t="n">
        <v>112</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I-P-0284</t>
        </is>
      </c>
      <c r="B5452" s="12" t="inlineStr">
        <is>
          <t>I</t>
        </is>
      </c>
      <c r="C5452" s="12" t="inlineStr">
        <is>
          <t>Modular / portable power</t>
        </is>
      </c>
      <c r="D5452" s="12" t="inlineStr">
        <is>
          <t>SC-2 125 V DC battery to charger / DC panel</t>
        </is>
      </c>
      <c r="E5452" s="12" t="inlineStr"/>
      <c r="F5452" s="12" t="inlineStr">
        <is>
          <t>SC-2 PCM + 15 kV GCB</t>
        </is>
      </c>
      <c r="G5452" s="12" t="inlineStr"/>
      <c r="H5452" s="12" t="inlineStr">
        <is>
          <t>SC-2 PCM + 15 kV GCB</t>
        </is>
      </c>
      <c r="I5452" s="12" t="inlineStr">
        <is>
          <t>LV 600 V</t>
        </is>
      </c>
      <c r="J5452" s="12" t="inlineStr">
        <is>
          <t>XHHW-2 600 V 1/C Cu (feeder sets in tray / duct)</t>
        </is>
      </c>
      <c r="K5452" s="12" t="inlineStr">
        <is>
          <t>LV1C|1/C|4/0</t>
        </is>
      </c>
      <c r="L5452" s="12" t="inlineStr">
        <is>
          <t>1/C</t>
        </is>
      </c>
      <c r="M5452" s="12" t="inlineStr">
        <is>
          <t>4/0</t>
        </is>
      </c>
      <c r="N5452" s="12" t="n">
        <v>1</v>
      </c>
      <c r="O5452" s="12" t="n">
        <v>2</v>
      </c>
      <c r="P5452" s="12" t="n">
        <v>125</v>
      </c>
      <c r="Q5452" s="12" t="n"/>
      <c r="R5452" s="12" t="n"/>
      <c r="S5452" s="12" t="inlineStr">
        <is>
          <t>Tray</t>
        </is>
      </c>
      <c r="T5452" s="15" t="n">
        <v>15</v>
      </c>
      <c r="U5452" s="15" t="n">
        <v>5</v>
      </c>
      <c r="V5452" s="15">
        <f>ROUNDUP((T5452+U5452+2*'Read Me'!$B$13)*(1+'Read Me'!$B$12),-1)</f>
        <v/>
      </c>
      <c r="W5452" s="15">
        <f>V5452*N5452*O5452</f>
        <v/>
      </c>
      <c r="X5452" s="12">
        <f>IF(LEFT(I5452,2)="MV",2*N5452*IF(L5452="1/C",O5452,1),0)</f>
        <v/>
      </c>
      <c r="Y5452" s="12">
        <f>IF(OR(LEFT(K5452,4)="LVAX",LEFT(K5452,6)="MV15AX",LEFT(K5452,4)="CTAX",LEFT(K5452,2)="W|"),2*N5452*O5452,0)</f>
        <v/>
      </c>
      <c r="Z5452" s="12" t="inlineStr">
        <is>
          <t>battery rack inside the PCM</t>
        </is>
      </c>
      <c r="AA5452" s="12">
        <f>N5452*O5452</f>
        <v/>
      </c>
    </row>
    <row r="5453">
      <c r="A5453" s="12" t="inlineStr">
        <is>
          <t>I-P-0285</t>
        </is>
      </c>
      <c r="B5453" s="12" t="inlineStr">
        <is>
          <t>I</t>
        </is>
      </c>
      <c r="C5453" s="12" t="inlineStr">
        <is>
          <t>Modular / portable power</t>
        </is>
      </c>
      <c r="D5453" s="12" t="inlineStr">
        <is>
          <t>SC-2 PCM lighting, receptacles and HVAC (from its own 480 V board)</t>
        </is>
      </c>
      <c r="E5453" s="12" t="inlineStr"/>
      <c r="F5453" s="12" t="inlineStr">
        <is>
          <t>SC-2 PCM + 15 kV GCB</t>
        </is>
      </c>
      <c r="G5453" s="12" t="inlineStr"/>
      <c r="H5453" s="12" t="inlineStr">
        <is>
          <t>SC-2 PCM + 15 kV GCB</t>
        </is>
      </c>
      <c r="I5453" s="12" t="inlineStr">
        <is>
          <t>LV 600 V</t>
        </is>
      </c>
      <c r="J5453" s="12" t="inlineStr">
        <is>
          <t>Type TC-ER 600 V 3/C Cu XHHW-2 + ground, PVC jacket</t>
        </is>
      </c>
      <c r="K5453" s="12" t="inlineStr">
        <is>
          <t>LV|3/C+G|2</t>
        </is>
      </c>
      <c r="L5453" s="12" t="inlineStr">
        <is>
          <t>3/C+G</t>
        </is>
      </c>
      <c r="M5453" s="12" t="inlineStr">
        <is>
          <t>2</t>
        </is>
      </c>
      <c r="N5453" s="12" t="n">
        <v>1</v>
      </c>
      <c r="O5453" s="12" t="n">
        <v>1</v>
      </c>
      <c r="P5453" s="12" t="n">
        <v>480</v>
      </c>
      <c r="Q5453" s="12" t="n">
        <v>40</v>
      </c>
      <c r="R5453" s="12" t="n"/>
      <c r="S5453" s="12" t="inlineStr">
        <is>
          <t>Tray</t>
        </is>
      </c>
      <c r="T5453" s="15" t="n">
        <v>80</v>
      </c>
      <c r="U5453" s="15" t="n">
        <v>10</v>
      </c>
      <c r="V5453" s="15">
        <f>ROUNDUP((T5453+U5453+2*'Read Me'!$B$13)*(1+'Read Me'!$B$12),-1)</f>
        <v/>
      </c>
      <c r="W5453" s="15">
        <f>V5453*N5453*O5453</f>
        <v/>
      </c>
      <c r="X5453" s="12">
        <f>IF(LEFT(I5453,2)="MV",2*N5453*IF(L5453="1/C",O5453,1),0)</f>
        <v/>
      </c>
      <c r="Y5453" s="12">
        <f>IF(OR(LEFT(K5453,4)="LVAX",LEFT(K5453,6)="MV15AX",LEFT(K5453,4)="CTAX",LEFT(K5453,2)="W|"),2*N5453*O5453,0)</f>
        <v/>
      </c>
      <c r="Z5453" s="12" t="inlineStr">
        <is>
          <t>internal to the PCM; aux transformer 13.8 kV / 480 V inside</t>
        </is>
      </c>
      <c r="AA5453" s="12">
        <f>N5453*O5453</f>
        <v/>
      </c>
    </row>
    <row r="5454">
      <c r="A5454" s="12" t="inlineStr">
        <is>
          <t>I-P-0286</t>
        </is>
      </c>
      <c r="B5454" s="12" t="inlineStr">
        <is>
          <t>I</t>
        </is>
      </c>
      <c r="C5454" s="12" t="inlineStr">
        <is>
          <t>Modular / portable power</t>
        </is>
      </c>
      <c r="D5454" s="12" t="inlineStr">
        <is>
          <t>Area / platform lighting circuit 1 (10 fixtures)</t>
        </is>
      </c>
      <c r="E5454" s="12" t="inlineStr"/>
      <c r="F5454" s="12" t="inlineStr">
        <is>
          <t>SC-2 PCM + 15 kV GCB</t>
        </is>
      </c>
      <c r="G5454" s="12" t="inlineStr"/>
      <c r="H5454" s="12" t="inlineStr">
        <is>
          <t>SC-2 SCR / CO catalyst</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3</v>
      </c>
      <c r="R5454" s="12" t="n">
        <v>5</v>
      </c>
      <c r="S5454" s="12" t="inlineStr">
        <is>
          <t>Duct bank</t>
        </is>
      </c>
      <c r="T5454" s="15" t="n">
        <v>348</v>
      </c>
      <c r="U5454" s="15" t="n">
        <v>64</v>
      </c>
      <c r="V5454" s="15">
        <f>ROUNDUP((T5454+U5454+2*'Read Me'!$B$13)*(1+'Read Me'!$B$12),-1)</f>
        <v/>
      </c>
      <c r="W5454" s="15">
        <f>V5454*N5454*O5454</f>
        <v/>
      </c>
      <c r="X5454" s="12">
        <f>IF(LEFT(I5454,2)="MV",2*N5454*IF(L5454="1/C",O5454,1),0)</f>
        <v/>
      </c>
      <c r="Y5454" s="12">
        <f>IF(OR(LEFT(K5454,4)="LVAX",LEFT(K5454,6)="MV15AX",LEFT(K5454,4)="CTAX",LEFT(K5454,2)="W|"),2*N5454*O5454,0)</f>
        <v/>
      </c>
      <c r="Z5454" s="12" t="inlineStr">
        <is>
          <t>fixture-to-fixture run included</t>
        </is>
      </c>
      <c r="AA5454" s="12">
        <f>N5454*O5454</f>
        <v/>
      </c>
    </row>
    <row r="5455">
      <c r="A5455" s="12" t="inlineStr">
        <is>
          <t>I-P-0287</t>
        </is>
      </c>
      <c r="B5455" s="12" t="inlineStr">
        <is>
          <t>I</t>
        </is>
      </c>
      <c r="C5455" s="12" t="inlineStr">
        <is>
          <t>Modular / portable power</t>
        </is>
      </c>
      <c r="D5455" s="12" t="inlineStr">
        <is>
          <t>SC-2 ammonia vaporiser electric heater</t>
        </is>
      </c>
      <c r="E5455" s="12" t="inlineStr"/>
      <c r="F5455" s="12" t="inlineStr">
        <is>
          <t>SC-2 PCM + 15 kV GCB</t>
        </is>
      </c>
      <c r="G5455" s="12" t="inlineStr"/>
      <c r="H5455" s="12" t="inlineStr">
        <is>
          <t>SC-2 ammonia flow-control unit</t>
        </is>
      </c>
      <c r="I5455" s="12" t="inlineStr">
        <is>
          <t>LV 600 V</t>
        </is>
      </c>
      <c r="J5455" s="12" t="inlineStr">
        <is>
          <t>Type TC-ER 600 V 3/C Cu XHHW-2 + ground, PVC jacket</t>
        </is>
      </c>
      <c r="K5455" s="12" t="inlineStr">
        <is>
          <t>LV|3/C+G|4</t>
        </is>
      </c>
      <c r="L5455" s="12" t="inlineStr">
        <is>
          <t>3/C+G</t>
        </is>
      </c>
      <c r="M5455" s="12" t="inlineStr">
        <is>
          <t>4</t>
        </is>
      </c>
      <c r="N5455" s="12" t="n">
        <v>1</v>
      </c>
      <c r="O5455" s="12" t="n">
        <v>1</v>
      </c>
      <c r="P5455" s="12" t="n">
        <v>480</v>
      </c>
      <c r="Q5455" s="12" t="n">
        <v>45</v>
      </c>
      <c r="R5455" s="12" t="n">
        <v>57</v>
      </c>
      <c r="S5455" s="12" t="inlineStr">
        <is>
          <t>Duct bank</t>
        </is>
      </c>
      <c r="T5455" s="15" t="n">
        <v>48</v>
      </c>
      <c r="U5455" s="15" t="n">
        <v>62</v>
      </c>
      <c r="V5455" s="15">
        <f>ROUNDUP((T5455+U5455+2*'Read Me'!$B$13)*(1+'Read Me'!$B$12),-1)</f>
        <v/>
      </c>
      <c r="W5455" s="15">
        <f>V5455*N5455*O5455</f>
        <v/>
      </c>
      <c r="X5455" s="12">
        <f>IF(LEFT(I5455,2)="MV",2*N5455*IF(L5455="1/C",O5455,1),0)</f>
        <v/>
      </c>
      <c r="Y5455" s="12">
        <f>IF(OR(LEFT(K5455,4)="LVAX",LEFT(K5455,6)="MV15AX",LEFT(K5455,4)="CTAX",LEFT(K5455,2)="W|"),2*N5455*O5455,0)</f>
        <v/>
      </c>
      <c r="Z5455" s="12" t="inlineStr">
        <is>
          <t>VD 0.8 %</t>
        </is>
      </c>
      <c r="AA5455" s="12">
        <f>N5455*O5455</f>
        <v/>
      </c>
    </row>
    <row r="5456">
      <c r="A5456" s="12" t="inlineStr">
        <is>
          <t>I-P-0288</t>
        </is>
      </c>
      <c r="B5456" s="12" t="inlineStr">
        <is>
          <t>I</t>
        </is>
      </c>
      <c r="C5456" s="12" t="inlineStr">
        <is>
          <t>Modular / portable power</t>
        </is>
      </c>
      <c r="D5456" s="12" t="inlineStr">
        <is>
          <t>Motor 1 of 2, 7.5 kW</t>
        </is>
      </c>
      <c r="E5456" s="12" t="inlineStr"/>
      <c r="F5456" s="12" t="inlineStr">
        <is>
          <t>SC-2 PCM + 15 kV GCB</t>
        </is>
      </c>
      <c r="G5456" s="12" t="inlineStr"/>
      <c r="H5456" s="12" t="inlineStr">
        <is>
          <t>SC-2 ammonia flow-control unit</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7.5</v>
      </c>
      <c r="R5456" s="12" t="n">
        <v>10.6</v>
      </c>
      <c r="S5456" s="12" t="inlineStr">
        <is>
          <t>Duct bank</t>
        </is>
      </c>
      <c r="T5456" s="15" t="n">
        <v>48</v>
      </c>
      <c r="U5456" s="15" t="n">
        <v>62</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I-P-0289</t>
        </is>
      </c>
      <c r="B5457" s="12" t="inlineStr">
        <is>
          <t>I</t>
        </is>
      </c>
      <c r="C5457" s="12" t="inlineStr">
        <is>
          <t>Modular / portable power</t>
        </is>
      </c>
      <c r="D5457" s="12" t="inlineStr">
        <is>
          <t>Motor 2 of 2, 7.5 kW</t>
        </is>
      </c>
      <c r="E5457" s="12" t="inlineStr"/>
      <c r="F5457" s="12" t="inlineStr">
        <is>
          <t>SC-2 PCM + 15 kV GCB</t>
        </is>
      </c>
      <c r="G5457" s="12" t="inlineStr"/>
      <c r="H5457" s="12" t="inlineStr">
        <is>
          <t>SC-2 ammonia flow-control unit</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7.5</v>
      </c>
      <c r="R5457" s="12" t="n">
        <v>10.6</v>
      </c>
      <c r="S5457" s="12" t="inlineStr">
        <is>
          <t>Duct bank</t>
        </is>
      </c>
      <c r="T5457" s="15" t="n">
        <v>48</v>
      </c>
      <c r="U5457" s="15" t="n">
        <v>62</v>
      </c>
      <c r="V5457" s="15">
        <f>ROUNDUP((T5457+U5457+2*'Read Me'!$B$13)*(1+'Read Me'!$B$12),-1)</f>
        <v/>
      </c>
      <c r="W5457" s="15">
        <f>V5457*N5457*O5457</f>
        <v/>
      </c>
      <c r="X5457" s="12">
        <f>IF(LEFT(I5457,2)="MV",2*N5457*IF(L5457="1/C",O5457,1),0)</f>
        <v/>
      </c>
      <c r="Y5457" s="12">
        <f>IF(OR(LEFT(K5457,4)="LVAX",LEFT(K5457,6)="MV15AX",LEFT(K5457,4)="CTAX",LEFT(K5457,2)="W|"),2*N5457*O5457,0)</f>
        <v/>
      </c>
      <c r="Z5457" s="12" t="inlineStr">
        <is>
          <t>VD 0.6 %</t>
        </is>
      </c>
      <c r="AA5457" s="12">
        <f>N5457*O5457</f>
        <v/>
      </c>
    </row>
    <row r="5458">
      <c r="A5458" s="12" t="inlineStr">
        <is>
          <t>I-P-0290</t>
        </is>
      </c>
      <c r="B5458" s="12" t="inlineStr">
        <is>
          <t>I</t>
        </is>
      </c>
      <c r="C5458" s="12" t="inlineStr">
        <is>
          <t>Modular / portable power</t>
        </is>
      </c>
      <c r="D5458" s="12" t="inlineStr">
        <is>
          <t>SC-2 water-wash tank heater</t>
        </is>
      </c>
      <c r="E5458" s="12" t="inlineStr"/>
      <c r="F5458" s="12" t="inlineStr">
        <is>
          <t>SC-2 PCM + 15 kV GCB</t>
        </is>
      </c>
      <c r="G5458" s="12" t="inlineStr"/>
      <c r="H5458" s="12" t="inlineStr">
        <is>
          <t>SC-2 auxiliary skids: fuel-gas module, water-wash skid</t>
        </is>
      </c>
      <c r="I5458" s="12" t="inlineStr">
        <is>
          <t>LV 600 V</t>
        </is>
      </c>
      <c r="J5458" s="12" t="inlineStr">
        <is>
          <t>ARMOR-X MC-HL 600 V 3/C Cu XHHW-2 + ground, CWA, black PVC (Class I Div 2)</t>
        </is>
      </c>
      <c r="K5458" s="12" t="inlineStr">
        <is>
          <t>LVAX|3/C+G|10</t>
        </is>
      </c>
      <c r="L5458" s="12" t="inlineStr">
        <is>
          <t>3/C+G</t>
        </is>
      </c>
      <c r="M5458" s="12" t="inlineStr">
        <is>
          <t>10</t>
        </is>
      </c>
      <c r="N5458" s="12" t="n">
        <v>1</v>
      </c>
      <c r="O5458" s="12" t="n">
        <v>1</v>
      </c>
      <c r="P5458" s="12" t="n">
        <v>480</v>
      </c>
      <c r="Q5458" s="12" t="n">
        <v>6</v>
      </c>
      <c r="R5458" s="12" t="n">
        <v>7.6</v>
      </c>
      <c r="S5458" s="12" t="inlineStr">
        <is>
          <t>Duct bank</t>
        </is>
      </c>
      <c r="T5458" s="15" t="n">
        <v>10</v>
      </c>
      <c r="U5458" s="15" t="n">
        <v>43</v>
      </c>
      <c r="V5458" s="15">
        <f>ROUNDUP((T5458+U5458+2*'Read Me'!$B$13)*(1+'Read Me'!$B$12),-1)</f>
        <v/>
      </c>
      <c r="W5458" s="15">
        <f>V5458*N5458*O5458</f>
        <v/>
      </c>
      <c r="X5458" s="12">
        <f>IF(LEFT(I5458,2)="MV",2*N5458*IF(L5458="1/C",O5458,1),0)</f>
        <v/>
      </c>
      <c r="Y5458" s="12">
        <f>IF(OR(LEFT(K5458,4)="LVAX",LEFT(K5458,6)="MV15AX",LEFT(K5458,4)="CTAX",LEFT(K5458,2)="W|"),2*N5458*O5458,0)</f>
        <v/>
      </c>
      <c r="Z5458" s="12" t="inlineStr">
        <is>
          <t>VD 0.2 %</t>
        </is>
      </c>
      <c r="AA5458" s="12">
        <f>N5458*O5458</f>
        <v/>
      </c>
    </row>
    <row r="5459">
      <c r="A5459" s="12" t="inlineStr">
        <is>
          <t>I-P-0291</t>
        </is>
      </c>
      <c r="B5459" s="12" t="inlineStr">
        <is>
          <t>I</t>
        </is>
      </c>
      <c r="C5459" s="12" t="inlineStr">
        <is>
          <t>Modular / portable power</t>
        </is>
      </c>
      <c r="D5459" s="12" t="inlineStr">
        <is>
          <t>Motor 1 of 1, 7.5 kW</t>
        </is>
      </c>
      <c r="E5459" s="12" t="inlineStr"/>
      <c r="F5459" s="12" t="inlineStr">
        <is>
          <t>SC-2 PCM + 15 kV GCB</t>
        </is>
      </c>
      <c r="G5459" s="12" t="inlineStr"/>
      <c r="H5459" s="12" t="inlineStr">
        <is>
          <t>SC-2 auxiliary skids: fuel-gas module, water-wash skid</t>
        </is>
      </c>
      <c r="I5459" s="12" t="inlineStr">
        <is>
          <t>LV 600 V</t>
        </is>
      </c>
      <c r="J5459" s="12" t="inlineStr">
        <is>
          <t>ARMOR-X MC-HL 600 V 3/C Cu XHHW-2 + ground, CWA, black PVC (Class I Div 2)</t>
        </is>
      </c>
      <c r="K5459" s="12" t="inlineStr">
        <is>
          <t>LVAX|3/C+G|10</t>
        </is>
      </c>
      <c r="L5459" s="12" t="inlineStr">
        <is>
          <t>3/C+G</t>
        </is>
      </c>
      <c r="M5459" s="12" t="inlineStr">
        <is>
          <t>10</t>
        </is>
      </c>
      <c r="N5459" s="12" t="n">
        <v>1</v>
      </c>
      <c r="O5459" s="12" t="n">
        <v>1</v>
      </c>
      <c r="P5459" s="12" t="n">
        <v>480</v>
      </c>
      <c r="Q5459" s="12" t="n">
        <v>7.5</v>
      </c>
      <c r="R5459" s="12" t="n">
        <v>10.6</v>
      </c>
      <c r="S5459" s="12" t="inlineStr">
        <is>
          <t>Duct bank</t>
        </is>
      </c>
      <c r="T5459" s="15" t="n">
        <v>10</v>
      </c>
      <c r="U5459" s="15" t="n">
        <v>43</v>
      </c>
      <c r="V5459" s="15">
        <f>ROUNDUP((T5459+U5459+2*'Read Me'!$B$13)*(1+'Read Me'!$B$12),-1)</f>
        <v/>
      </c>
      <c r="W5459" s="15">
        <f>V5459*N5459*O5459</f>
        <v/>
      </c>
      <c r="X5459" s="12">
        <f>IF(LEFT(I5459,2)="MV",2*N5459*IF(L5459="1/C",O5459,1),0)</f>
        <v/>
      </c>
      <c r="Y5459" s="12">
        <f>IF(OR(LEFT(K5459,4)="LVAX",LEFT(K5459,6)="MV15AX",LEFT(K5459,4)="CTAX",LEFT(K5459,2)="W|"),2*N5459*O5459,0)</f>
        <v/>
      </c>
      <c r="Z5459" s="12" t="inlineStr">
        <is>
          <t>VD 0.3 %</t>
        </is>
      </c>
      <c r="AA5459" s="12">
        <f>N5459*O5459</f>
        <v/>
      </c>
    </row>
    <row r="5460">
      <c r="A5460" s="12" t="inlineStr">
        <is>
          <t>I-P-0292</t>
        </is>
      </c>
      <c r="B5460" s="12" t="inlineStr">
        <is>
          <t>I</t>
        </is>
      </c>
      <c r="C5460" s="12" t="inlineStr">
        <is>
          <t>Modular / portable power</t>
        </is>
      </c>
      <c r="D5460" s="12" t="inlineStr">
        <is>
          <t>Motor 1 of 4, 15 kW</t>
        </is>
      </c>
      <c r="E5460" s="12" t="inlineStr"/>
      <c r="F5460" s="12" t="inlineStr">
        <is>
          <t>SC-2 PCM + 15 kV GCB</t>
        </is>
      </c>
      <c r="G5460" s="12" t="inlineStr"/>
      <c r="H5460" s="12" t="inlineStr">
        <is>
          <t>SC-2 lube-oil fin-fan cooler</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15</v>
      </c>
      <c r="R5460" s="12" t="n">
        <v>21.2</v>
      </c>
      <c r="S5460" s="12" t="inlineStr">
        <is>
          <t>Duct bank</t>
        </is>
      </c>
      <c r="T5460" s="15" t="n">
        <v>4</v>
      </c>
      <c r="U5460" s="15" t="n">
        <v>38</v>
      </c>
      <c r="V5460" s="15">
        <f>ROUNDUP((T5460+U5460+2*'Read Me'!$B$13)*(1+'Read Me'!$B$12),-1)</f>
        <v/>
      </c>
      <c r="W5460" s="15">
        <f>V5460*N5460*O5460</f>
        <v/>
      </c>
      <c r="X5460" s="12">
        <f>IF(LEFT(I5460,2)="MV",2*N5460*IF(L5460="1/C",O5460,1),0)</f>
        <v/>
      </c>
      <c r="Y5460" s="12">
        <f>IF(OR(LEFT(K5460,4)="LVAX",LEFT(K5460,6)="MV15AX",LEFT(K5460,4)="CTAX",LEFT(K5460,2)="W|"),2*N5460*O5460,0)</f>
        <v/>
      </c>
      <c r="Z5460" s="12" t="inlineStr">
        <is>
          <t>VD 0.4 %</t>
        </is>
      </c>
      <c r="AA5460" s="12">
        <f>N5460*O5460</f>
        <v/>
      </c>
    </row>
    <row r="5461">
      <c r="A5461" s="12" t="inlineStr">
        <is>
          <t>I-P-0293</t>
        </is>
      </c>
      <c r="B5461" s="12" t="inlineStr">
        <is>
          <t>I</t>
        </is>
      </c>
      <c r="C5461" s="12" t="inlineStr">
        <is>
          <t>Modular / portable power</t>
        </is>
      </c>
      <c r="D5461" s="12" t="inlineStr">
        <is>
          <t>Motor 2 of 4, 15 kW</t>
        </is>
      </c>
      <c r="E5461" s="12" t="inlineStr"/>
      <c r="F5461" s="12" t="inlineStr">
        <is>
          <t>SC-2 PCM + 15 kV GCB</t>
        </is>
      </c>
      <c r="G5461" s="12" t="inlineStr"/>
      <c r="H5461" s="12" t="inlineStr">
        <is>
          <t>SC-2 lube-oil fin-fan cooler</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15</v>
      </c>
      <c r="R5461" s="12" t="n">
        <v>21.2</v>
      </c>
      <c r="S5461" s="12" t="inlineStr">
        <is>
          <t>Duct bank</t>
        </is>
      </c>
      <c r="T5461" s="15" t="n">
        <v>4</v>
      </c>
      <c r="U5461" s="15" t="n">
        <v>38</v>
      </c>
      <c r="V5461" s="15">
        <f>ROUNDUP((T5461+U5461+2*'Read Me'!$B$13)*(1+'Read Me'!$B$12),-1)</f>
        <v/>
      </c>
      <c r="W5461" s="15">
        <f>V5461*N5461*O5461</f>
        <v/>
      </c>
      <c r="X5461" s="12">
        <f>IF(LEFT(I5461,2)="MV",2*N5461*IF(L5461="1/C",O5461,1),0)</f>
        <v/>
      </c>
      <c r="Y5461" s="12">
        <f>IF(OR(LEFT(K5461,4)="LVAX",LEFT(K5461,6)="MV15AX",LEFT(K5461,4)="CTAX",LEFT(K5461,2)="W|"),2*N5461*O5461,0)</f>
        <v/>
      </c>
      <c r="Z5461" s="12" t="inlineStr">
        <is>
          <t>VD 0.4 %</t>
        </is>
      </c>
      <c r="AA5461" s="12">
        <f>N5461*O5461</f>
        <v/>
      </c>
    </row>
    <row r="5462">
      <c r="A5462" s="12" t="inlineStr">
        <is>
          <t>I-P-0294</t>
        </is>
      </c>
      <c r="B5462" s="12" t="inlineStr">
        <is>
          <t>I</t>
        </is>
      </c>
      <c r="C5462" s="12" t="inlineStr">
        <is>
          <t>Modular / portable power</t>
        </is>
      </c>
      <c r="D5462" s="12" t="inlineStr">
        <is>
          <t>Motor 3 of 4, 15 kW</t>
        </is>
      </c>
      <c r="E5462" s="12" t="inlineStr"/>
      <c r="F5462" s="12" t="inlineStr">
        <is>
          <t>SC-2 PCM + 15 kV GCB</t>
        </is>
      </c>
      <c r="G5462" s="12" t="inlineStr"/>
      <c r="H5462" s="12" t="inlineStr">
        <is>
          <t>SC-2 lube-oil fin-fan cooler</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15</v>
      </c>
      <c r="R5462" s="12" t="n">
        <v>21.2</v>
      </c>
      <c r="S5462" s="12" t="inlineStr">
        <is>
          <t>Duct bank</t>
        </is>
      </c>
      <c r="T5462" s="15" t="n">
        <v>4</v>
      </c>
      <c r="U5462" s="15" t="n">
        <v>38</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I-P-0295</t>
        </is>
      </c>
      <c r="B5463" s="12" t="inlineStr">
        <is>
          <t>I</t>
        </is>
      </c>
      <c r="C5463" s="12" t="inlineStr">
        <is>
          <t>Modular / portable power</t>
        </is>
      </c>
      <c r="D5463" s="12" t="inlineStr">
        <is>
          <t>Motor 4 of 4, 15 kW</t>
        </is>
      </c>
      <c r="E5463" s="12" t="inlineStr"/>
      <c r="F5463" s="12" t="inlineStr">
        <is>
          <t>SC-2 PCM + 15 kV GCB</t>
        </is>
      </c>
      <c r="G5463" s="12" t="inlineStr"/>
      <c r="H5463" s="12" t="inlineStr">
        <is>
          <t>SC-2 lube-oil fin-fan cooler</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15</v>
      </c>
      <c r="R5463" s="12" t="n">
        <v>21.2</v>
      </c>
      <c r="S5463" s="12" t="inlineStr">
        <is>
          <t>Duct bank</t>
        </is>
      </c>
      <c r="T5463" s="15" t="n">
        <v>4</v>
      </c>
      <c r="U5463" s="15" t="n">
        <v>38</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I-P-0296</t>
        </is>
      </c>
      <c r="B5464" s="12" t="inlineStr">
        <is>
          <t>I</t>
        </is>
      </c>
      <c r="C5464" s="12" t="inlineStr">
        <is>
          <t>Modular / portable power</t>
        </is>
      </c>
      <c r="D5464" s="12" t="inlineStr">
        <is>
          <t>Area / platform lighting circuit 1 (4 fixtures)</t>
        </is>
      </c>
      <c r="E5464" s="12" t="inlineStr"/>
      <c r="F5464" s="12" t="inlineStr">
        <is>
          <t>SC-2 PCM + 15 kV GCB</t>
        </is>
      </c>
      <c r="G5464" s="12" t="inlineStr"/>
      <c r="H5464" s="12" t="inlineStr">
        <is>
          <t>SC-2 stack (80 ft)</t>
        </is>
      </c>
      <c r="I5464" s="12" t="inlineStr">
        <is>
          <t>LV 600 V</t>
        </is>
      </c>
      <c r="J5464" s="12" t="inlineStr">
        <is>
          <t>Type TC-ER 600 V 3/C Cu XHHW-2 + ground, PVC jacket</t>
        </is>
      </c>
      <c r="K5464" s="12" t="inlineStr">
        <is>
          <t>LV|3/C+G|10</t>
        </is>
      </c>
      <c r="L5464" s="12" t="inlineStr">
        <is>
          <t>3/C+G</t>
        </is>
      </c>
      <c r="M5464" s="12" t="inlineStr">
        <is>
          <t>10</t>
        </is>
      </c>
      <c r="N5464" s="12" t="n">
        <v>1</v>
      </c>
      <c r="O5464" s="12" t="n">
        <v>1</v>
      </c>
      <c r="P5464" s="12" t="n">
        <v>480</v>
      </c>
      <c r="Q5464" s="12" t="n">
        <v>3</v>
      </c>
      <c r="R5464" s="12" t="n">
        <v>5</v>
      </c>
      <c r="S5464" s="12" t="inlineStr">
        <is>
          <t>Duct bank</t>
        </is>
      </c>
      <c r="T5464" s="15" t="n">
        <v>374</v>
      </c>
      <c r="U5464" s="15" t="n">
        <v>92</v>
      </c>
      <c r="V5464" s="15">
        <f>ROUNDUP((T5464+U5464+2*'Read Me'!$B$13)*(1+'Read Me'!$B$12),-1)</f>
        <v/>
      </c>
      <c r="W5464" s="15">
        <f>V5464*N5464*O5464</f>
        <v/>
      </c>
      <c r="X5464" s="12">
        <f>IF(LEFT(I5464,2)="MV",2*N5464*IF(L5464="1/C",O5464,1),0)</f>
        <v/>
      </c>
      <c r="Y5464" s="12">
        <f>IF(OR(LEFT(K5464,4)="LVAX",LEFT(K5464,6)="MV15AX",LEFT(K5464,4)="CTAX",LEFT(K5464,2)="W|"),2*N5464*O5464,0)</f>
        <v/>
      </c>
      <c r="Z5464" s="12" t="inlineStr">
        <is>
          <t>fixture-to-fixture run included</t>
        </is>
      </c>
      <c r="AA5464" s="12">
        <f>N5464*O5464</f>
        <v/>
      </c>
    </row>
    <row r="5465">
      <c r="A5465" s="12" t="inlineStr">
        <is>
          <t>I-P-0297</t>
        </is>
      </c>
      <c r="B5465" s="12" t="inlineStr">
        <is>
          <t>I</t>
        </is>
      </c>
      <c r="C5465" s="12" t="inlineStr">
        <is>
          <t>Modular / portable power</t>
        </is>
      </c>
      <c r="D5465" s="12" t="inlineStr">
        <is>
          <t>Motor 1 of 2, 185 kW</t>
        </is>
      </c>
      <c r="E5465" s="12" t="inlineStr"/>
      <c r="F5465" s="12" t="inlineStr">
        <is>
          <t>SC-2 PCM + 15 kV GCB</t>
        </is>
      </c>
      <c r="G5465" s="12" t="inlineStr"/>
      <c r="H5465" s="12" t="inlineStr">
        <is>
          <t>SC-2 tempering-air fans (2 x 100 %)</t>
        </is>
      </c>
      <c r="I5465" s="12" t="inlineStr">
        <is>
          <t>LV 600 V</t>
        </is>
      </c>
      <c r="J5465" s="12" t="inlineStr">
        <is>
          <t>Type TC-ER 600 V 3/C Cu XHHW-2 + ground, PVC jacket</t>
        </is>
      </c>
      <c r="K5465" s="12" t="inlineStr">
        <is>
          <t>LV|3/C+G|500</t>
        </is>
      </c>
      <c r="L5465" s="12" t="inlineStr">
        <is>
          <t>3/C+G</t>
        </is>
      </c>
      <c r="M5465" s="12" t="inlineStr">
        <is>
          <t>500 kcmil</t>
        </is>
      </c>
      <c r="N5465" s="12" t="n">
        <v>1</v>
      </c>
      <c r="O5465" s="12" t="n">
        <v>1</v>
      </c>
      <c r="P5465" s="12" t="n">
        <v>480</v>
      </c>
      <c r="Q5465" s="12" t="n">
        <v>185</v>
      </c>
      <c r="R5465" s="12" t="n">
        <v>261.8</v>
      </c>
      <c r="S5465" s="12" t="inlineStr">
        <is>
          <t>Duct bank</t>
        </is>
      </c>
      <c r="T5465" s="15" t="n">
        <v>35</v>
      </c>
      <c r="U5465" s="15" t="n">
        <v>79</v>
      </c>
      <c r="V5465" s="15">
        <f>ROUNDUP((T5465+U5465+2*'Read Me'!$B$13)*(1+'Read Me'!$B$12),-1)</f>
        <v/>
      </c>
      <c r="W5465" s="15">
        <f>V5465*N5465*O5465</f>
        <v/>
      </c>
      <c r="X5465" s="12">
        <f>IF(LEFT(I5465,2)="MV",2*N5465*IF(L5465="1/C",O5465,1),0)</f>
        <v/>
      </c>
      <c r="Y5465" s="12">
        <f>IF(OR(LEFT(K5465,4)="LVAX",LEFT(K5465,6)="MV15AX",LEFT(K5465,4)="CTAX",LEFT(K5465,2)="W|"),2*N5465*O5465,0)</f>
        <v/>
      </c>
      <c r="Z5465" s="12" t="inlineStr">
        <is>
          <t>VD 0.3 %</t>
        </is>
      </c>
      <c r="AA5465" s="12">
        <f>N5465*O5465</f>
        <v/>
      </c>
    </row>
    <row r="5466">
      <c r="A5466" s="12" t="inlineStr">
        <is>
          <t>I-P-0298</t>
        </is>
      </c>
      <c r="B5466" s="12" t="inlineStr">
        <is>
          <t>I</t>
        </is>
      </c>
      <c r="C5466" s="12" t="inlineStr">
        <is>
          <t>Modular / portable power</t>
        </is>
      </c>
      <c r="D5466" s="12" t="inlineStr">
        <is>
          <t>Motor 2 of 2, 185 kW</t>
        </is>
      </c>
      <c r="E5466" s="12" t="inlineStr"/>
      <c r="F5466" s="12" t="inlineStr">
        <is>
          <t>SC-2 PCM + 15 kV GCB</t>
        </is>
      </c>
      <c r="G5466" s="12" t="inlineStr"/>
      <c r="H5466" s="12" t="inlineStr">
        <is>
          <t>SC-2 tempering-air fans (2 x 100 %)</t>
        </is>
      </c>
      <c r="I5466" s="12" t="inlineStr">
        <is>
          <t>LV 600 V</t>
        </is>
      </c>
      <c r="J5466" s="12" t="inlineStr">
        <is>
          <t>Type TC-ER 600 V 3/C Cu XHHW-2 + ground, PVC jacket</t>
        </is>
      </c>
      <c r="K5466" s="12" t="inlineStr">
        <is>
          <t>LV|3/C+G|500</t>
        </is>
      </c>
      <c r="L5466" s="12" t="inlineStr">
        <is>
          <t>3/C+G</t>
        </is>
      </c>
      <c r="M5466" s="12" t="inlineStr">
        <is>
          <t>500 kcmil</t>
        </is>
      </c>
      <c r="N5466" s="12" t="n">
        <v>1</v>
      </c>
      <c r="O5466" s="12" t="n">
        <v>1</v>
      </c>
      <c r="P5466" s="12" t="n">
        <v>480</v>
      </c>
      <c r="Q5466" s="12" t="n">
        <v>185</v>
      </c>
      <c r="R5466" s="12" t="n">
        <v>261.8</v>
      </c>
      <c r="S5466" s="12" t="inlineStr">
        <is>
          <t>Duct bank</t>
        </is>
      </c>
      <c r="T5466" s="15" t="n">
        <v>35</v>
      </c>
      <c r="U5466" s="15" t="n">
        <v>79</v>
      </c>
      <c r="V5466" s="15">
        <f>ROUNDUP((T5466+U5466+2*'Read Me'!$B$13)*(1+'Read Me'!$B$12),-1)</f>
        <v/>
      </c>
      <c r="W5466" s="15">
        <f>V5466*N5466*O5466</f>
        <v/>
      </c>
      <c r="X5466" s="12">
        <f>IF(LEFT(I5466,2)="MV",2*N5466*IF(L5466="1/C",O5466,1),0)</f>
        <v/>
      </c>
      <c r="Y5466" s="12">
        <f>IF(OR(LEFT(K5466,4)="LVAX",LEFT(K5466,6)="MV15AX",LEFT(K5466,4)="CTAX",LEFT(K5466,2)="W|"),2*N5466*O5466,0)</f>
        <v/>
      </c>
      <c r="Z5466" s="12" t="inlineStr">
        <is>
          <t>VD 0.3 %</t>
        </is>
      </c>
      <c r="AA5466" s="12">
        <f>N5466*O5466</f>
        <v/>
      </c>
    </row>
    <row r="5467">
      <c r="A5467" s="12" t="inlineStr">
        <is>
          <t>I-P-0299</t>
        </is>
      </c>
      <c r="B5467" s="12" t="inlineStr">
        <is>
          <t>I</t>
        </is>
      </c>
      <c r="C5467" s="12" t="inlineStr">
        <is>
          <t>Modular / portable power</t>
        </is>
      </c>
      <c r="D5467" s="12" t="inlineStr">
        <is>
          <t>Area / platform lighting circuit 1 (4 fixtures)</t>
        </is>
      </c>
      <c r="E5467" s="12" t="inlineStr"/>
      <c r="F5467" s="12" t="inlineStr">
        <is>
          <t>SC-2 PCM + 15 kV GCB</t>
        </is>
      </c>
      <c r="G5467" s="12" t="inlineStr"/>
      <c r="H5467" s="12" t="inlineStr">
        <is>
          <t>SC-2 tempering-air fans (2 x 100 %)</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3</v>
      </c>
      <c r="R5467" s="12" t="n">
        <v>5</v>
      </c>
      <c r="S5467" s="12" t="inlineStr">
        <is>
          <t>Duct bank</t>
        </is>
      </c>
      <c r="T5467" s="15" t="n">
        <v>335</v>
      </c>
      <c r="U5467" s="15" t="n">
        <v>79</v>
      </c>
      <c r="V5467" s="15">
        <f>ROUNDUP((T5467+U5467+2*'Read Me'!$B$13)*(1+'Read Me'!$B$12),-1)</f>
        <v/>
      </c>
      <c r="W5467" s="15">
        <f>V5467*N5467*O5467</f>
        <v/>
      </c>
      <c r="X5467" s="12">
        <f>IF(LEFT(I5467,2)="MV",2*N5467*IF(L5467="1/C",O5467,1),0)</f>
        <v/>
      </c>
      <c r="Y5467" s="12">
        <f>IF(OR(LEFT(K5467,4)="LVAX",LEFT(K5467,6)="MV15AX",LEFT(K5467,4)="CTAX",LEFT(K5467,2)="W|"),2*N5467*O5467,0)</f>
        <v/>
      </c>
      <c r="Z5467" s="12" t="inlineStr">
        <is>
          <t>fixture-to-fixture run included</t>
        </is>
      </c>
      <c r="AA5467" s="12">
        <f>N5467*O5467</f>
        <v/>
      </c>
    </row>
    <row r="5468">
      <c r="A5468" s="12" t="inlineStr">
        <is>
          <t>I-P-0300</t>
        </is>
      </c>
      <c r="B5468" s="12" t="inlineStr">
        <is>
          <t>I</t>
        </is>
      </c>
      <c r="C5468" s="12" t="inlineStr">
        <is>
          <t>Modular / portable power</t>
        </is>
      </c>
      <c r="D5468" s="12" t="inlineStr">
        <is>
          <t>SC-2 emergency DC lube-oil pump (125 V DC, coast-down)</t>
        </is>
      </c>
      <c r="E5468" s="12" t="inlineStr"/>
      <c r="F5468" s="12" t="inlineStr">
        <is>
          <t>SC-2 PCM + 15 kV GCB</t>
        </is>
      </c>
      <c r="G5468" s="12" t="inlineStr">
        <is>
          <t>SC-2</t>
        </is>
      </c>
      <c r="H5468" s="12" t="inlineStr">
        <is>
          <t>SC-2: aeroderivative simple-cycle unit (LM6000 class)</t>
        </is>
      </c>
      <c r="I5468" s="12" t="inlineStr">
        <is>
          <t>LV 600 V</t>
        </is>
      </c>
      <c r="J5468" s="12" t="inlineStr">
        <is>
          <t>XHHW-2 600 V 1/C Cu (feeder sets in tray / duct)</t>
        </is>
      </c>
      <c r="K5468" s="12" t="inlineStr">
        <is>
          <t>LV1C|1/C|2</t>
        </is>
      </c>
      <c r="L5468" s="12" t="inlineStr">
        <is>
          <t>1/C</t>
        </is>
      </c>
      <c r="M5468" s="12" t="inlineStr">
        <is>
          <t>2</t>
        </is>
      </c>
      <c r="N5468" s="12" t="n">
        <v>1</v>
      </c>
      <c r="O5468" s="12" t="n">
        <v>2</v>
      </c>
      <c r="P5468" s="12" t="n">
        <v>125</v>
      </c>
      <c r="Q5468" s="12" t="n">
        <v>7.5</v>
      </c>
      <c r="R5468" s="12" t="n">
        <v>65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LM6000 class: DC pump keeps the bearings fed on loss of AC</t>
        </is>
      </c>
      <c r="AA5468" s="12">
        <f>N5468*O5468</f>
        <v/>
      </c>
    </row>
    <row r="5469">
      <c r="A5469" s="12" t="inlineStr">
        <is>
          <t>I-P-0301</t>
        </is>
      </c>
      <c r="B5469" s="12" t="inlineStr">
        <is>
          <t>I</t>
        </is>
      </c>
      <c r="C5469" s="12" t="inlineStr">
        <is>
          <t>Modular / portable power</t>
        </is>
      </c>
      <c r="D5469" s="12" t="inlineStr">
        <is>
          <t>SC-2 120 V AC UPS to the unit control and protection</t>
        </is>
      </c>
      <c r="E5469" s="12" t="inlineStr"/>
      <c r="F5469" s="12" t="inlineStr">
        <is>
          <t>SC-2 PCM + 15 kV GCB</t>
        </is>
      </c>
      <c r="G5469" s="12" t="inlineStr">
        <is>
          <t>SC-2</t>
        </is>
      </c>
      <c r="H5469" s="12" t="inlineStr">
        <is>
          <t>SC-2: aeroderivative simple-cycle unit (LM6000 class)</t>
        </is>
      </c>
      <c r="I5469" s="12" t="inlineStr">
        <is>
          <t>LV 600 V</t>
        </is>
      </c>
      <c r="J5469" s="12" t="inlineStr">
        <is>
          <t>XHHW-2 600 V 1/C Cu (feeder sets in tray / duct)</t>
        </is>
      </c>
      <c r="K5469" s="12" t="inlineStr">
        <is>
          <t>LV1C|1/C|6</t>
        </is>
      </c>
      <c r="L5469" s="12" t="inlineStr">
        <is>
          <t>1/C</t>
        </is>
      </c>
      <c r="M5469" s="12" t="inlineStr">
        <is>
          <t>6</t>
        </is>
      </c>
      <c r="N5469" s="12" t="n">
        <v>1</v>
      </c>
      <c r="O5469" s="12" t="n">
        <v>2</v>
      </c>
      <c r="P5469" s="12" t="n">
        <v>120</v>
      </c>
      <c r="Q5469" s="12" t="n">
        <v>5</v>
      </c>
      <c r="R5469" s="12" t="n"/>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c r="AA5469" s="12">
        <f>N5469*O5469</f>
        <v/>
      </c>
    </row>
    <row r="5470">
      <c r="A5470" s="12" t="inlineStr">
        <is>
          <t>I-P-0302</t>
        </is>
      </c>
      <c r="B5470" s="12" t="inlineStr">
        <is>
          <t>I</t>
        </is>
      </c>
      <c r="C5470" s="12" t="inlineStr">
        <is>
          <t>Modular / portable power</t>
        </is>
      </c>
      <c r="D5470" s="12" t="inlineStr">
        <is>
          <t>SC-2 hydraulic starter pump motor (start sequence only)</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LV|3/C+G|3/0</t>
        </is>
      </c>
      <c r="L5470" s="12" t="inlineStr">
        <is>
          <t>3/C+G</t>
        </is>
      </c>
      <c r="M5470" s="12" t="inlineStr">
        <is>
          <t>3/0</t>
        </is>
      </c>
      <c r="N5470" s="12" t="n">
        <v>2</v>
      </c>
      <c r="O5470" s="12" t="n">
        <v>1</v>
      </c>
      <c r="P5470" s="12" t="n">
        <v>480</v>
      </c>
      <c r="Q5470" s="12" t="n">
        <v>225</v>
      </c>
      <c r="R5470" s="12" t="n">
        <v>318.4</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typical LM6000 hydraulic start; verify starter type / rating with the OEM</t>
        </is>
      </c>
      <c r="AA5470" s="12">
        <f>N5470*O5470</f>
        <v/>
      </c>
    </row>
    <row r="5471">
      <c r="A5471" s="12" t="inlineStr">
        <is>
          <t>I-P-0303</t>
        </is>
      </c>
      <c r="B5471" s="12" t="inlineStr">
        <is>
          <t>I</t>
        </is>
      </c>
      <c r="C5471" s="12" t="inlineStr">
        <is>
          <t>Modular / portable power</t>
        </is>
      </c>
      <c r="D5471" s="12" t="inlineStr">
        <is>
          <t>SC-2 480 V welding receptacle 1</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LV|3/C+G|2</t>
        </is>
      </c>
      <c r="L5471" s="12" t="inlineStr">
        <is>
          <t>3/C+G</t>
        </is>
      </c>
      <c r="M5471" s="12" t="inlineStr">
        <is>
          <t>2</t>
        </is>
      </c>
      <c r="N5471" s="12" t="n">
        <v>1</v>
      </c>
      <c r="O5471" s="12" t="n">
        <v>1</v>
      </c>
      <c r="P5471" s="12" t="n">
        <v>480</v>
      </c>
      <c r="Q5471" s="12" t="n">
        <v>60</v>
      </c>
      <c r="R5471" s="12" t="n">
        <v>76</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0.4 %</t>
        </is>
      </c>
      <c r="AA5471" s="12">
        <f>N5471*O5471</f>
        <v/>
      </c>
    </row>
    <row r="5472">
      <c r="A5472" s="12" t="inlineStr">
        <is>
          <t>I-P-0304</t>
        </is>
      </c>
      <c r="B5472" s="12" t="inlineStr">
        <is>
          <t>I</t>
        </is>
      </c>
      <c r="C5472" s="12" t="inlineStr">
        <is>
          <t>Modular / portable power</t>
        </is>
      </c>
      <c r="D5472" s="12" t="inlineStr">
        <is>
          <t>SC-2 480 V welding receptacle 2</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LV|3/C+G|2</t>
        </is>
      </c>
      <c r="L5472" s="12" t="inlineStr">
        <is>
          <t>3/C+G</t>
        </is>
      </c>
      <c r="M5472" s="12" t="inlineStr">
        <is>
          <t>2</t>
        </is>
      </c>
      <c r="N5472" s="12" t="n">
        <v>1</v>
      </c>
      <c r="O5472" s="12" t="n">
        <v>1</v>
      </c>
      <c r="P5472" s="12" t="n">
        <v>480</v>
      </c>
      <c r="Q5472" s="12" t="n">
        <v>60</v>
      </c>
      <c r="R5472" s="12" t="n">
        <v>76</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0.4 %</t>
        </is>
      </c>
      <c r="AA5472" s="12">
        <f>N5472*O5472</f>
        <v/>
      </c>
    </row>
    <row r="5473">
      <c r="A5473" s="12" t="inlineStr">
        <is>
          <t>I-P-0305</t>
        </is>
      </c>
      <c r="B5473" s="12" t="inlineStr">
        <is>
          <t>I</t>
        </is>
      </c>
      <c r="C5473" s="12" t="inlineStr">
        <is>
          <t>Modular / portable power</t>
        </is>
      </c>
      <c r="D5473" s="12" t="inlineStr">
        <is>
          <t>Motor 1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I-P-0306</t>
        </is>
      </c>
      <c r="B5474" s="12" t="inlineStr">
        <is>
          <t>I</t>
        </is>
      </c>
      <c r="C5474" s="12" t="inlineStr">
        <is>
          <t>Modular / portable power</t>
        </is>
      </c>
      <c r="D5474" s="12" t="inlineStr">
        <is>
          <t>Motor 2 of 10, 30 kW</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LV|3/C+G|6</t>
        </is>
      </c>
      <c r="L5474" s="12" t="inlineStr">
        <is>
          <t>3/C+G</t>
        </is>
      </c>
      <c r="M5474" s="12" t="inlineStr">
        <is>
          <t>6</t>
        </is>
      </c>
      <c r="N5474" s="12" t="n">
        <v>1</v>
      </c>
      <c r="O5474" s="12" t="n">
        <v>1</v>
      </c>
      <c r="P5474" s="12" t="n">
        <v>480</v>
      </c>
      <c r="Q5474" s="12" t="n">
        <v>30</v>
      </c>
      <c r="R5474" s="12" t="n">
        <v>42.5</v>
      </c>
      <c r="S5474" s="12" t="inlineStr">
        <is>
          <t>Duct bank</t>
        </is>
      </c>
      <c r="T5474" s="15" t="n">
        <v>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VD 0.6 %</t>
        </is>
      </c>
      <c r="AA5474" s="12">
        <f>N5474*O5474</f>
        <v/>
      </c>
    </row>
    <row r="5475">
      <c r="A5475" s="12" t="inlineStr">
        <is>
          <t>I-P-0307</t>
        </is>
      </c>
      <c r="B5475" s="12" t="inlineStr">
        <is>
          <t>I</t>
        </is>
      </c>
      <c r="C5475" s="12" t="inlineStr">
        <is>
          <t>Modular / portable power</t>
        </is>
      </c>
      <c r="D5475" s="12" t="inlineStr">
        <is>
          <t>Motor 3 of 10, 30 kW</t>
        </is>
      </c>
      <c r="E5475" s="12" t="inlineStr"/>
      <c r="F5475" s="12" t="inlineStr">
        <is>
          <t>SC-2 PCM + 15 kV GCB</t>
        </is>
      </c>
      <c r="G5475" s="12" t="inlineStr">
        <is>
          <t>SC-2</t>
        </is>
      </c>
      <c r="H5475" s="12" t="inlineStr">
        <is>
          <t>SC-2: aeroderivative simple-cycle unit (LM6000 class)</t>
        </is>
      </c>
      <c r="I5475" s="12" t="inlineStr">
        <is>
          <t>LV 600 V</t>
        </is>
      </c>
      <c r="J5475" s="12" t="inlineStr">
        <is>
          <t>Type TC-ER 600 V 3/C Cu XHHW-2 + ground, PVC jacket</t>
        </is>
      </c>
      <c r="K5475" s="12" t="inlineStr">
        <is>
          <t>LV|3/C+G|6</t>
        </is>
      </c>
      <c r="L5475" s="12" t="inlineStr">
        <is>
          <t>3/C+G</t>
        </is>
      </c>
      <c r="M5475" s="12" t="inlineStr">
        <is>
          <t>6</t>
        </is>
      </c>
      <c r="N5475" s="12" t="n">
        <v>1</v>
      </c>
      <c r="O5475" s="12" t="n">
        <v>1</v>
      </c>
      <c r="P5475" s="12" t="n">
        <v>480</v>
      </c>
      <c r="Q5475" s="12" t="n">
        <v>30</v>
      </c>
      <c r="R5475" s="12" t="n">
        <v>42.5</v>
      </c>
      <c r="S5475" s="12" t="inlineStr">
        <is>
          <t>Duct bank</t>
        </is>
      </c>
      <c r="T5475" s="15" t="n">
        <v>35</v>
      </c>
      <c r="U5475" s="15" t="n">
        <v>32</v>
      </c>
      <c r="V5475" s="15">
        <f>ROUNDUP((T5475+U5475+2*'Read Me'!$B$13)*(1+'Read Me'!$B$12),-1)</f>
        <v/>
      </c>
      <c r="W5475" s="15">
        <f>V5475*N5475*O5475</f>
        <v/>
      </c>
      <c r="X5475" s="12">
        <f>IF(LEFT(I5475,2)="MV",2*N5475*IF(L5475="1/C",O5475,1),0)</f>
        <v/>
      </c>
      <c r="Y5475" s="12">
        <f>IF(OR(LEFT(K5475,4)="LVAX",LEFT(K5475,6)="MV15AX",LEFT(K5475,4)="CTAX",LEFT(K5475,2)="W|"),2*N5475*O5475,0)</f>
        <v/>
      </c>
      <c r="Z5475" s="12" t="inlineStr">
        <is>
          <t>VD 0.6 %</t>
        </is>
      </c>
      <c r="AA5475" s="12">
        <f>N5475*O5475</f>
        <v/>
      </c>
    </row>
    <row r="5476">
      <c r="A5476" s="12" t="inlineStr">
        <is>
          <t>I-P-0308</t>
        </is>
      </c>
      <c r="B5476" s="12" t="inlineStr">
        <is>
          <t>I</t>
        </is>
      </c>
      <c r="C5476" s="12" t="inlineStr">
        <is>
          <t>Modular / portable power</t>
        </is>
      </c>
      <c r="D5476" s="12" t="inlineStr">
        <is>
          <t>Motor 4 of 10, 30 kW</t>
        </is>
      </c>
      <c r="E5476" s="12" t="inlineStr"/>
      <c r="F5476" s="12" t="inlineStr">
        <is>
          <t>SC-2 PCM + 15 kV GCB</t>
        </is>
      </c>
      <c r="G5476" s="12" t="inlineStr">
        <is>
          <t>SC-2</t>
        </is>
      </c>
      <c r="H5476" s="12" t="inlineStr">
        <is>
          <t>SC-2: aeroderivative simple-cycle unit (LM6000 class)</t>
        </is>
      </c>
      <c r="I5476" s="12" t="inlineStr">
        <is>
          <t>LV 600 V</t>
        </is>
      </c>
      <c r="J5476" s="12" t="inlineStr">
        <is>
          <t>Type TC-ER 600 V 3/C Cu XHHW-2 + ground, PVC jacket</t>
        </is>
      </c>
      <c r="K5476" s="12" t="inlineStr">
        <is>
          <t>LV|3/C+G|6</t>
        </is>
      </c>
      <c r="L5476" s="12" t="inlineStr">
        <is>
          <t>3/C+G</t>
        </is>
      </c>
      <c r="M5476" s="12" t="inlineStr">
        <is>
          <t>6</t>
        </is>
      </c>
      <c r="N5476" s="12" t="n">
        <v>1</v>
      </c>
      <c r="O5476" s="12" t="n">
        <v>1</v>
      </c>
      <c r="P5476" s="12" t="n">
        <v>480</v>
      </c>
      <c r="Q5476" s="12" t="n">
        <v>30</v>
      </c>
      <c r="R5476" s="12" t="n">
        <v>42.5</v>
      </c>
      <c r="S5476" s="12" t="inlineStr">
        <is>
          <t>Duct bank</t>
        </is>
      </c>
      <c r="T5476" s="15" t="n">
        <v>35</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is>
          <t>VD 0.6 %</t>
        </is>
      </c>
      <c r="AA5476" s="12">
        <f>N5476*O5476</f>
        <v/>
      </c>
    </row>
    <row r="5477">
      <c r="A5477" s="12" t="inlineStr">
        <is>
          <t>I-P-0309</t>
        </is>
      </c>
      <c r="B5477" s="12" t="inlineStr">
        <is>
          <t>I</t>
        </is>
      </c>
      <c r="C5477" s="12" t="inlineStr">
        <is>
          <t>Modular / portable power</t>
        </is>
      </c>
      <c r="D5477" s="12" t="inlineStr">
        <is>
          <t>Motor 5 of 10, 30 kW</t>
        </is>
      </c>
      <c r="E5477" s="12" t="inlineStr"/>
      <c r="F5477" s="12" t="inlineStr">
        <is>
          <t>SC-2 PCM + 15 kV GCB</t>
        </is>
      </c>
      <c r="G5477" s="12" t="inlineStr">
        <is>
          <t>SC-2</t>
        </is>
      </c>
      <c r="H5477" s="12" t="inlineStr">
        <is>
          <t>SC-2: aeroderivative simple-cycle unit (LM6000 class)</t>
        </is>
      </c>
      <c r="I5477" s="12" t="inlineStr">
        <is>
          <t>LV 600 V</t>
        </is>
      </c>
      <c r="J5477" s="12" t="inlineStr">
        <is>
          <t>Type TC-ER 600 V 3/C Cu XHHW-2 + ground, PVC jacket</t>
        </is>
      </c>
      <c r="K5477" s="12" t="inlineStr">
        <is>
          <t>LV|3/C+G|6</t>
        </is>
      </c>
      <c r="L5477" s="12" t="inlineStr">
        <is>
          <t>3/C+G</t>
        </is>
      </c>
      <c r="M5477" s="12" t="inlineStr">
        <is>
          <t>6</t>
        </is>
      </c>
      <c r="N5477" s="12" t="n">
        <v>1</v>
      </c>
      <c r="O5477" s="12" t="n">
        <v>1</v>
      </c>
      <c r="P5477" s="12" t="n">
        <v>480</v>
      </c>
      <c r="Q5477" s="12" t="n">
        <v>30</v>
      </c>
      <c r="R5477" s="12" t="n">
        <v>42.5</v>
      </c>
      <c r="S5477" s="12" t="inlineStr">
        <is>
          <t>Duct bank</t>
        </is>
      </c>
      <c r="T5477" s="15" t="n">
        <v>35</v>
      </c>
      <c r="U5477" s="15" t="n">
        <v>32</v>
      </c>
      <c r="V5477" s="15">
        <f>ROUNDUP((T5477+U5477+2*'Read Me'!$B$13)*(1+'Read Me'!$B$12),-1)</f>
        <v/>
      </c>
      <c r="W5477" s="15">
        <f>V5477*N5477*O5477</f>
        <v/>
      </c>
      <c r="X5477" s="12">
        <f>IF(LEFT(I5477,2)="MV",2*N5477*IF(L5477="1/C",O5477,1),0)</f>
        <v/>
      </c>
      <c r="Y5477" s="12">
        <f>IF(OR(LEFT(K5477,4)="LVAX",LEFT(K5477,6)="MV15AX",LEFT(K5477,4)="CTAX",LEFT(K5477,2)="W|"),2*N5477*O5477,0)</f>
        <v/>
      </c>
      <c r="Z5477" s="12" t="inlineStr">
        <is>
          <t>VD 0.6 %</t>
        </is>
      </c>
      <c r="AA5477" s="12">
        <f>N5477*O5477</f>
        <v/>
      </c>
    </row>
    <row r="5478">
      <c r="A5478" s="12" t="inlineStr">
        <is>
          <t>I-P-0310</t>
        </is>
      </c>
      <c r="B5478" s="12" t="inlineStr">
        <is>
          <t>I</t>
        </is>
      </c>
      <c r="C5478" s="12" t="inlineStr">
        <is>
          <t>Modular / portable power</t>
        </is>
      </c>
      <c r="D5478" s="12" t="inlineStr">
        <is>
          <t>Motor 6 of 10, 30 kW</t>
        </is>
      </c>
      <c r="E5478" s="12" t="inlineStr"/>
      <c r="F5478" s="12" t="inlineStr">
        <is>
          <t>SC-2 PCM + 15 kV GCB</t>
        </is>
      </c>
      <c r="G5478" s="12" t="inlineStr">
        <is>
          <t>SC-2</t>
        </is>
      </c>
      <c r="H5478" s="12" t="inlineStr">
        <is>
          <t>SC-2: aeroderivative simple-cycle unit (LM6000 class)</t>
        </is>
      </c>
      <c r="I5478" s="12" t="inlineStr">
        <is>
          <t>LV 600 V</t>
        </is>
      </c>
      <c r="J5478" s="12" t="inlineStr">
        <is>
          <t>Type TC-ER 600 V 3/C Cu XHHW-2 + ground, PVC jacket</t>
        </is>
      </c>
      <c r="K5478" s="12" t="inlineStr">
        <is>
          <t>LV|3/C+G|6</t>
        </is>
      </c>
      <c r="L5478" s="12" t="inlineStr">
        <is>
          <t>3/C+G</t>
        </is>
      </c>
      <c r="M5478" s="12" t="inlineStr">
        <is>
          <t>6</t>
        </is>
      </c>
      <c r="N5478" s="12" t="n">
        <v>1</v>
      </c>
      <c r="O5478" s="12" t="n">
        <v>1</v>
      </c>
      <c r="P5478" s="12" t="n">
        <v>480</v>
      </c>
      <c r="Q5478" s="12" t="n">
        <v>30</v>
      </c>
      <c r="R5478" s="12" t="n">
        <v>42.5</v>
      </c>
      <c r="S5478" s="12" t="inlineStr">
        <is>
          <t>Duct bank</t>
        </is>
      </c>
      <c r="T5478" s="15" t="n">
        <v>35</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is>
          <t>VD 0.6 %</t>
        </is>
      </c>
      <c r="AA5478" s="12">
        <f>N5478*O5478</f>
        <v/>
      </c>
    </row>
    <row r="5479">
      <c r="A5479" s="12" t="inlineStr">
        <is>
          <t>I-P-0311</t>
        </is>
      </c>
      <c r="B5479" s="12" t="inlineStr">
        <is>
          <t>I</t>
        </is>
      </c>
      <c r="C5479" s="12" t="inlineStr">
        <is>
          <t>Modular / portable power</t>
        </is>
      </c>
      <c r="D5479" s="12" t="inlineStr">
        <is>
          <t>Motor 7 of 10, 30 kW</t>
        </is>
      </c>
      <c r="E5479" s="12" t="inlineStr"/>
      <c r="F5479" s="12" t="inlineStr">
        <is>
          <t>SC-2 PCM + 15 kV GCB</t>
        </is>
      </c>
      <c r="G5479" s="12" t="inlineStr">
        <is>
          <t>SC-2</t>
        </is>
      </c>
      <c r="H5479" s="12" t="inlineStr">
        <is>
          <t>SC-2: aeroderivative simple-cycle unit (LM6000 class)</t>
        </is>
      </c>
      <c r="I5479" s="12" t="inlineStr">
        <is>
          <t>LV 600 V</t>
        </is>
      </c>
      <c r="J5479" s="12" t="inlineStr">
        <is>
          <t>Type TC-ER 600 V 3/C Cu XHHW-2 + ground, PVC jacket</t>
        </is>
      </c>
      <c r="K5479" s="12" t="inlineStr">
        <is>
          <t>LV|3/C+G|6</t>
        </is>
      </c>
      <c r="L5479" s="12" t="inlineStr">
        <is>
          <t>3/C+G</t>
        </is>
      </c>
      <c r="M5479" s="12" t="inlineStr">
        <is>
          <t>6</t>
        </is>
      </c>
      <c r="N5479" s="12" t="n">
        <v>1</v>
      </c>
      <c r="O5479" s="12" t="n">
        <v>1</v>
      </c>
      <c r="P5479" s="12" t="n">
        <v>480</v>
      </c>
      <c r="Q5479" s="12" t="n">
        <v>30</v>
      </c>
      <c r="R5479" s="12" t="n">
        <v>42.5</v>
      </c>
      <c r="S5479" s="12" t="inlineStr">
        <is>
          <t>Duct bank</t>
        </is>
      </c>
      <c r="T5479" s="15" t="n">
        <v>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VD 0.6 %</t>
        </is>
      </c>
      <c r="AA5479" s="12">
        <f>N5479*O5479</f>
        <v/>
      </c>
    </row>
    <row r="5480">
      <c r="A5480" s="12" t="inlineStr">
        <is>
          <t>I-P-0312</t>
        </is>
      </c>
      <c r="B5480" s="12" t="inlineStr">
        <is>
          <t>I</t>
        </is>
      </c>
      <c r="C5480" s="12" t="inlineStr">
        <is>
          <t>Modular / portable power</t>
        </is>
      </c>
      <c r="D5480" s="12" t="inlineStr">
        <is>
          <t>Motor 8 of 10, 30 kW</t>
        </is>
      </c>
      <c r="E5480" s="12" t="inlineStr"/>
      <c r="F5480" s="12" t="inlineStr">
        <is>
          <t>SC-2 PCM + 15 kV GCB</t>
        </is>
      </c>
      <c r="G5480" s="12" t="inlineStr">
        <is>
          <t>SC-2</t>
        </is>
      </c>
      <c r="H5480" s="12" t="inlineStr">
        <is>
          <t>SC-2: aeroderivative simple-cycle unit (LM6000 class)</t>
        </is>
      </c>
      <c r="I5480" s="12" t="inlineStr">
        <is>
          <t>LV 600 V</t>
        </is>
      </c>
      <c r="J5480" s="12" t="inlineStr">
        <is>
          <t>Type TC-ER 600 V 3/C Cu XHHW-2 + ground, PVC jacket</t>
        </is>
      </c>
      <c r="K5480" s="12" t="inlineStr">
        <is>
          <t>LV|3/C+G|6</t>
        </is>
      </c>
      <c r="L5480" s="12" t="inlineStr">
        <is>
          <t>3/C+G</t>
        </is>
      </c>
      <c r="M5480" s="12" t="inlineStr">
        <is>
          <t>6</t>
        </is>
      </c>
      <c r="N5480" s="12" t="n">
        <v>1</v>
      </c>
      <c r="O5480" s="12" t="n">
        <v>1</v>
      </c>
      <c r="P5480" s="12" t="n">
        <v>480</v>
      </c>
      <c r="Q5480" s="12" t="n">
        <v>30</v>
      </c>
      <c r="R5480" s="12" t="n">
        <v>42.5</v>
      </c>
      <c r="S5480" s="12" t="inlineStr">
        <is>
          <t>Duct bank</t>
        </is>
      </c>
      <c r="T5480" s="15" t="n">
        <v>35</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is>
          <t>VD 0.6 %</t>
        </is>
      </c>
      <c r="AA5480" s="12">
        <f>N5480*O5480</f>
        <v/>
      </c>
    </row>
    <row r="5481">
      <c r="A5481" s="12" t="inlineStr">
        <is>
          <t>I-P-0313</t>
        </is>
      </c>
      <c r="B5481" s="12" t="inlineStr">
        <is>
          <t>I</t>
        </is>
      </c>
      <c r="C5481" s="12" t="inlineStr">
        <is>
          <t>Modular / portable power</t>
        </is>
      </c>
      <c r="D5481" s="12" t="inlineStr">
        <is>
          <t>Motor 9 of 10, 30 kW</t>
        </is>
      </c>
      <c r="E5481" s="12" t="inlineStr"/>
      <c r="F5481" s="12" t="inlineStr">
        <is>
          <t>SC-2 PCM + 15 kV GCB</t>
        </is>
      </c>
      <c r="G5481" s="12" t="inlineStr">
        <is>
          <t>SC-2</t>
        </is>
      </c>
      <c r="H5481" s="12" t="inlineStr">
        <is>
          <t>SC-2: aeroderivative simple-cycle unit (LM6000 class)</t>
        </is>
      </c>
      <c r="I5481" s="12" t="inlineStr">
        <is>
          <t>LV 600 V</t>
        </is>
      </c>
      <c r="J5481" s="12" t="inlineStr">
        <is>
          <t>Type TC-ER 600 V 3/C Cu XHHW-2 + ground, PVC jacket</t>
        </is>
      </c>
      <c r="K5481" s="12" t="inlineStr">
        <is>
          <t>LV|3/C+G|6</t>
        </is>
      </c>
      <c r="L5481" s="12" t="inlineStr">
        <is>
          <t>3/C+G</t>
        </is>
      </c>
      <c r="M5481" s="12" t="inlineStr">
        <is>
          <t>6</t>
        </is>
      </c>
      <c r="N5481" s="12" t="n">
        <v>1</v>
      </c>
      <c r="O5481" s="12" t="n">
        <v>1</v>
      </c>
      <c r="P5481" s="12" t="n">
        <v>480</v>
      </c>
      <c r="Q5481" s="12" t="n">
        <v>30</v>
      </c>
      <c r="R5481" s="12" t="n">
        <v>42.5</v>
      </c>
      <c r="S5481" s="12" t="inlineStr">
        <is>
          <t>Duct bank</t>
        </is>
      </c>
      <c r="T5481" s="15" t="n">
        <v>35</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VD 0.6 %</t>
        </is>
      </c>
      <c r="AA5481" s="12">
        <f>N5481*O5481</f>
        <v/>
      </c>
    </row>
    <row r="5482">
      <c r="A5482" s="12" t="inlineStr">
        <is>
          <t>I-P-0314</t>
        </is>
      </c>
      <c r="B5482" s="12" t="inlineStr">
        <is>
          <t>I</t>
        </is>
      </c>
      <c r="C5482" s="12" t="inlineStr">
        <is>
          <t>Modular / portable power</t>
        </is>
      </c>
      <c r="D5482" s="12" t="inlineStr">
        <is>
          <t>Motor 10 of 10, 30 kW</t>
        </is>
      </c>
      <c r="E5482" s="12" t="inlineStr"/>
      <c r="F5482" s="12" t="inlineStr">
        <is>
          <t>SC-2 PCM + 15 kV GCB</t>
        </is>
      </c>
      <c r="G5482" s="12" t="inlineStr">
        <is>
          <t>SC-2</t>
        </is>
      </c>
      <c r="H5482" s="12" t="inlineStr">
        <is>
          <t>SC-2: aeroderivative simple-cycle unit (LM6000 class)</t>
        </is>
      </c>
      <c r="I5482" s="12" t="inlineStr">
        <is>
          <t>LV 600 V</t>
        </is>
      </c>
      <c r="J5482" s="12" t="inlineStr">
        <is>
          <t>Type TC-ER 600 V 3/C Cu XHHW-2 + ground, PVC jacket</t>
        </is>
      </c>
      <c r="K5482" s="12" t="inlineStr">
        <is>
          <t>LV|3/C+G|6</t>
        </is>
      </c>
      <c r="L5482" s="12" t="inlineStr">
        <is>
          <t>3/C+G</t>
        </is>
      </c>
      <c r="M5482" s="12" t="inlineStr">
        <is>
          <t>6</t>
        </is>
      </c>
      <c r="N5482" s="12" t="n">
        <v>1</v>
      </c>
      <c r="O5482" s="12" t="n">
        <v>1</v>
      </c>
      <c r="P5482" s="12" t="n">
        <v>480</v>
      </c>
      <c r="Q5482" s="12" t="n">
        <v>30</v>
      </c>
      <c r="R5482" s="12" t="n">
        <v>42.5</v>
      </c>
      <c r="S5482" s="12" t="inlineStr">
        <is>
          <t>Duct bank</t>
        </is>
      </c>
      <c r="T5482" s="15" t="n">
        <v>35</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is>
          <t>VD 0.6 %</t>
        </is>
      </c>
      <c r="AA5482" s="12">
        <f>N5482*O5482</f>
        <v/>
      </c>
    </row>
    <row r="5483">
      <c r="A5483" s="12" t="inlineStr">
        <is>
          <t>I-P-0315</t>
        </is>
      </c>
      <c r="B5483" s="12" t="inlineStr">
        <is>
          <t>I</t>
        </is>
      </c>
      <c r="C5483" s="12" t="inlineStr">
        <is>
          <t>Modular / portable power</t>
        </is>
      </c>
      <c r="D5483" s="12" t="inlineStr">
        <is>
          <t>Area / platform lighting circuit 1 (8 fixtures)</t>
        </is>
      </c>
      <c r="E5483" s="12" t="inlineStr"/>
      <c r="F5483" s="12" t="inlineStr">
        <is>
          <t>SC-2 PCM + 15 kV GCB</t>
        </is>
      </c>
      <c r="G5483" s="12" t="inlineStr">
        <is>
          <t>SC-2</t>
        </is>
      </c>
      <c r="H5483" s="12" t="inlineStr">
        <is>
          <t>SC-2: aeroderivative simple-cycle unit (LM6000 class)</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3</v>
      </c>
      <c r="R5483" s="12" t="n">
        <v>5</v>
      </c>
      <c r="S5483" s="12" t="inlineStr">
        <is>
          <t>Duct bank</t>
        </is>
      </c>
      <c r="T5483" s="15" t="n">
        <v>335</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fixture-to-fixture run included</t>
        </is>
      </c>
      <c r="AA5483" s="12">
        <f>N5483*O5483</f>
        <v/>
      </c>
    </row>
    <row r="5484">
      <c r="A5484" s="12" t="inlineStr">
        <is>
          <t>I-P-0316</t>
        </is>
      </c>
      <c r="B5484" s="12" t="inlineStr">
        <is>
          <t>I</t>
        </is>
      </c>
      <c r="C5484" s="12" t="inlineStr">
        <is>
          <t>Modular / portable power</t>
        </is>
      </c>
      <c r="D5484" s="12" t="inlineStr">
        <is>
          <t>SWG-MY station service from its internal 480 V aux transformer: charger, heaters, HVAC</t>
        </is>
      </c>
      <c r="E5484" s="12" t="inlineStr">
        <is>
          <t>SWG-MY</t>
        </is>
      </c>
      <c r="F5484" s="12" t="inlineStr">
        <is>
          <t xml:space="preserve">SWG-MY: 35 kV switchgear lineup for the modular blocks (group breaker </t>
        </is>
      </c>
      <c r="G5484" s="12" t="inlineStr">
        <is>
          <t>SWG-MY</t>
        </is>
      </c>
      <c r="H5484" s="12" t="inlineStr">
        <is>
          <t xml:space="preserve">SWG-MY: 35 kV switchgear lineup for the modular blocks (group breaker </t>
        </is>
      </c>
      <c r="I5484" s="12" t="inlineStr">
        <is>
          <t>LV 600 V</t>
        </is>
      </c>
      <c r="J5484" s="12" t="inlineStr">
        <is>
          <t>Type TC-ER 600 V 3/C Cu XHHW-2 + ground, PVC jacket</t>
        </is>
      </c>
      <c r="K5484" s="12" t="inlineStr">
        <is>
          <t>LV|3/C+G|2</t>
        </is>
      </c>
      <c r="L5484" s="12" t="inlineStr">
        <is>
          <t>3/C+G</t>
        </is>
      </c>
      <c r="M5484" s="12" t="inlineStr">
        <is>
          <t>2</t>
        </is>
      </c>
      <c r="N5484" s="12" t="n">
        <v>1</v>
      </c>
      <c r="O5484" s="12" t="n">
        <v>1</v>
      </c>
      <c r="P5484" s="12" t="n">
        <v>480</v>
      </c>
      <c r="Q5484" s="12" t="n">
        <v>45</v>
      </c>
      <c r="R5484" s="12" t="n">
        <v>60</v>
      </c>
      <c r="S5484" s="12" t="inlineStr">
        <is>
          <t>Tray</t>
        </is>
      </c>
      <c r="T5484" s="15" t="n">
        <v>40</v>
      </c>
      <c r="U5484" s="15" t="n">
        <v>10</v>
      </c>
      <c r="V5484" s="15">
        <f>ROUNDUP((T5484+U5484+2*'Read Me'!$B$13)*(1+'Read Me'!$B$12),-1)</f>
        <v/>
      </c>
      <c r="W5484" s="15">
        <f>V5484*N5484*O5484</f>
        <v/>
      </c>
      <c r="X5484" s="12">
        <f>IF(LEFT(I5484,2)="MV",2*N5484*IF(L5484="1/C",O5484,1),0)</f>
        <v/>
      </c>
      <c r="Y5484" s="12">
        <f>IF(OR(LEFT(K5484,4)="LVAX",LEFT(K5484,6)="MV15AX",LEFT(K5484,4)="CTAX",LEFT(K5484,2)="W|"),2*N5484*O5484,0)</f>
        <v/>
      </c>
      <c r="Z5484" s="12" t="inlineStr">
        <is>
          <t>internal to the lineup</t>
        </is>
      </c>
      <c r="AA5484" s="12">
        <f>N5484*O5484</f>
        <v/>
      </c>
    </row>
    <row r="5485">
      <c r="A5485" s="12" t="inlineStr">
        <is>
          <t>I-P-0317</t>
        </is>
      </c>
      <c r="B5485" s="12" t="inlineStr">
        <is>
          <t>I</t>
        </is>
      </c>
      <c r="C5485" s="12" t="inlineStr">
        <is>
          <t>Modular / portable power</t>
        </is>
      </c>
      <c r="D5485" s="12" t="inlineStr">
        <is>
          <t>SWG-PK station service, HVAC, lighting, DC charger (station-service transformer inside)</t>
        </is>
      </c>
      <c r="E5485" s="12" t="inlineStr">
        <is>
          <t>SWG-PK</t>
        </is>
      </c>
      <c r="F5485" s="12" t="inlineStr">
        <is>
          <t>SWG-PK: 34.5 kV park collector switchgear (2 bus sections, tie; 8 feed</t>
        </is>
      </c>
      <c r="G5485" s="12" t="inlineStr">
        <is>
          <t>SWG-PK</t>
        </is>
      </c>
      <c r="H5485" s="12" t="inlineStr">
        <is>
          <t>SWG-PK: 34.5 kV park collector switchgear (2 bus sections, tie; 8 feed</t>
        </is>
      </c>
      <c r="I5485" s="12" t="inlineStr">
        <is>
          <t>LV 600 V</t>
        </is>
      </c>
      <c r="J5485" s="12" t="inlineStr">
        <is>
          <t>Type TC-ER 600 V 3/C Cu XHHW-2 + ground, PVC jacket</t>
        </is>
      </c>
      <c r="K5485" s="12" t="inlineStr">
        <is>
          <t>LV|3/C+G|2</t>
        </is>
      </c>
      <c r="L5485" s="12" t="inlineStr">
        <is>
          <t>3/C+G</t>
        </is>
      </c>
      <c r="M5485" s="12" t="inlineStr">
        <is>
          <t>2</t>
        </is>
      </c>
      <c r="N5485" s="12" t="n">
        <v>1</v>
      </c>
      <c r="O5485" s="12" t="n">
        <v>1</v>
      </c>
      <c r="P5485" s="12" t="n">
        <v>480</v>
      </c>
      <c r="Q5485" s="12" t="n">
        <v>60</v>
      </c>
      <c r="R5485" s="12" t="n">
        <v>85</v>
      </c>
      <c r="S5485" s="12" t="inlineStr">
        <is>
          <t>Tray</t>
        </is>
      </c>
      <c r="T5485" s="15" t="n">
        <v>100</v>
      </c>
      <c r="U5485" s="15" t="n">
        <v>10</v>
      </c>
      <c r="V5485" s="15">
        <f>ROUNDUP((T5485+U5485+2*'Read Me'!$B$13)*(1+'Read Me'!$B$12),-1)</f>
        <v/>
      </c>
      <c r="W5485" s="15">
        <f>V5485*N5485*O5485</f>
        <v/>
      </c>
      <c r="X5485" s="12">
        <f>IF(LEFT(I5485,2)="MV",2*N5485*IF(L5485="1/C",O5485,1),0)</f>
        <v/>
      </c>
      <c r="Y5485" s="12">
        <f>IF(OR(LEFT(K5485,4)="LVAX",LEFT(K5485,6)="MV15AX",LEFT(K5485,4)="CTAX",LEFT(K5485,2)="W|"),2*N5485*O5485,0)</f>
        <v/>
      </c>
      <c r="Z5485" s="12" t="inlineStr">
        <is>
          <t>internal to the e-house</t>
        </is>
      </c>
      <c r="AA5485" s="12">
        <f>N5485*O5485</f>
        <v/>
      </c>
    </row>
    <row r="5486">
      <c r="A5486" s="12" t="inlineStr">
        <is>
          <t>I-P-0318</t>
        </is>
      </c>
      <c r="B5486" s="12" t="inlineStr">
        <is>
          <t>I</t>
        </is>
      </c>
      <c r="C5486" s="12" t="inlineStr">
        <is>
          <t>Modular / portable power</t>
        </is>
      </c>
      <c r="D5486" s="12" t="inlineStr">
        <is>
          <t>Motor 1 of 6, 2 kW</t>
        </is>
      </c>
      <c r="E5486" s="12" t="inlineStr"/>
      <c r="F5486" s="12" t="inlineStr">
        <is>
          <t>MOD-LV 480 V board + 480 V : 13.8 kV step-up</t>
        </is>
      </c>
      <c r="G5486" s="12" t="inlineStr"/>
      <c r="H5486" s="12" t="inlineStr">
        <is>
          <t>T-MOD 230 kV take-off gantry with arresters</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290</v>
      </c>
      <c r="U5486" s="15" t="n">
        <v>47</v>
      </c>
      <c r="V5486" s="15">
        <f>ROUNDUP((T5486+U5486+2*'Read Me'!$B$13)*(1+'Read Me'!$B$12),-1)</f>
        <v/>
      </c>
      <c r="W5486" s="15">
        <f>V5486*N5486*O5486</f>
        <v/>
      </c>
      <c r="X5486" s="12">
        <f>IF(LEFT(I5486,2)="MV",2*N5486*IF(L5486="1/C",O5486,1),0)</f>
        <v/>
      </c>
      <c r="Y5486" s="12">
        <f>IF(OR(LEFT(K5486,4)="LVAX",LEFT(K5486,6)="MV15AX",LEFT(K5486,4)="CTAX",LEFT(K5486,2)="W|"),2*N5486*O5486,0)</f>
        <v/>
      </c>
      <c r="Z5486" s="12" t="inlineStr">
        <is>
          <t>VD 0.5 %</t>
        </is>
      </c>
      <c r="AA5486" s="12">
        <f>N5486*O5486</f>
        <v/>
      </c>
    </row>
    <row r="5487">
      <c r="A5487" s="12" t="inlineStr">
        <is>
          <t>I-P-0319</t>
        </is>
      </c>
      <c r="B5487" s="12" t="inlineStr">
        <is>
          <t>I</t>
        </is>
      </c>
      <c r="C5487" s="12" t="inlineStr">
        <is>
          <t>Modular / portable power</t>
        </is>
      </c>
      <c r="D5487" s="12" t="inlineStr">
        <is>
          <t>Motor 2 of 6, 2 kW</t>
        </is>
      </c>
      <c r="E5487" s="12" t="inlineStr"/>
      <c r="F5487" s="12" t="inlineStr">
        <is>
          <t>MOD-LV 480 V board + 480 V : 13.8 kV step-up</t>
        </is>
      </c>
      <c r="G5487" s="12" t="inlineStr"/>
      <c r="H5487" s="12" t="inlineStr">
        <is>
          <t>T-MOD 230 kV take-off gantry with arresters</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290</v>
      </c>
      <c r="U5487" s="15" t="n">
        <v>47</v>
      </c>
      <c r="V5487" s="15">
        <f>ROUNDUP((T5487+U5487+2*'Read Me'!$B$13)*(1+'Read Me'!$B$12),-1)</f>
        <v/>
      </c>
      <c r="W5487" s="15">
        <f>V5487*N5487*O5487</f>
        <v/>
      </c>
      <c r="X5487" s="12">
        <f>IF(LEFT(I5487,2)="MV",2*N5487*IF(L5487="1/C",O5487,1),0)</f>
        <v/>
      </c>
      <c r="Y5487" s="12">
        <f>IF(OR(LEFT(K5487,4)="LVAX",LEFT(K5487,6)="MV15AX",LEFT(K5487,4)="CTAX",LEFT(K5487,2)="W|"),2*N5487*O5487,0)</f>
        <v/>
      </c>
      <c r="Z5487" s="12" t="inlineStr">
        <is>
          <t>VD 0.5 %</t>
        </is>
      </c>
      <c r="AA5487" s="12">
        <f>N5487*O5487</f>
        <v/>
      </c>
    </row>
    <row r="5488">
      <c r="A5488" s="12" t="inlineStr">
        <is>
          <t>I-P-0320</t>
        </is>
      </c>
      <c r="B5488" s="12" t="inlineStr">
        <is>
          <t>I</t>
        </is>
      </c>
      <c r="C5488" s="12" t="inlineStr">
        <is>
          <t>Modular / portable power</t>
        </is>
      </c>
      <c r="D5488" s="12" t="inlineStr">
        <is>
          <t>Motor 3 of 6, 2 kW</t>
        </is>
      </c>
      <c r="E5488" s="12" t="inlineStr"/>
      <c r="F5488" s="12" t="inlineStr">
        <is>
          <t>MOD-LV 480 V board + 480 V : 13.8 kV step-up</t>
        </is>
      </c>
      <c r="G5488" s="12" t="inlineStr"/>
      <c r="H5488" s="12" t="inlineStr">
        <is>
          <t>T-MOD 230 kV take-off gantry with arresters</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290</v>
      </c>
      <c r="U5488" s="15" t="n">
        <v>47</v>
      </c>
      <c r="V5488" s="15">
        <f>ROUNDUP((T5488+U5488+2*'Read Me'!$B$13)*(1+'Read Me'!$B$12),-1)</f>
        <v/>
      </c>
      <c r="W5488" s="15">
        <f>V5488*N5488*O5488</f>
        <v/>
      </c>
      <c r="X5488" s="12">
        <f>IF(LEFT(I5488,2)="MV",2*N5488*IF(L5488="1/C",O5488,1),0)</f>
        <v/>
      </c>
      <c r="Y5488" s="12">
        <f>IF(OR(LEFT(K5488,4)="LVAX",LEFT(K5488,6)="MV15AX",LEFT(K5488,4)="CTAX",LEFT(K5488,2)="W|"),2*N5488*O5488,0)</f>
        <v/>
      </c>
      <c r="Z5488" s="12" t="inlineStr">
        <is>
          <t>VD 0.5 %</t>
        </is>
      </c>
      <c r="AA5488" s="12">
        <f>N5488*O5488</f>
        <v/>
      </c>
    </row>
    <row r="5489">
      <c r="A5489" s="12" t="inlineStr">
        <is>
          <t>I-P-0321</t>
        </is>
      </c>
      <c r="B5489" s="12" t="inlineStr">
        <is>
          <t>I</t>
        </is>
      </c>
      <c r="C5489" s="12" t="inlineStr">
        <is>
          <t>Modular / portable power</t>
        </is>
      </c>
      <c r="D5489" s="12" t="inlineStr">
        <is>
          <t>Motor 4 of 6, 2 kW</t>
        </is>
      </c>
      <c r="E5489" s="12" t="inlineStr"/>
      <c r="F5489" s="12" t="inlineStr">
        <is>
          <t>MOD-LV 480 V board + 480 V : 13.8 kV step-up</t>
        </is>
      </c>
      <c r="G5489" s="12" t="inlineStr"/>
      <c r="H5489" s="12" t="inlineStr">
        <is>
          <t>T-MOD 230 kV take-off gantry with arresters</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290</v>
      </c>
      <c r="U5489" s="15" t="n">
        <v>47</v>
      </c>
      <c r="V5489" s="15">
        <f>ROUNDUP((T5489+U5489+2*'Read Me'!$B$13)*(1+'Read Me'!$B$12),-1)</f>
        <v/>
      </c>
      <c r="W5489" s="15">
        <f>V5489*N5489*O5489</f>
        <v/>
      </c>
      <c r="X5489" s="12">
        <f>IF(LEFT(I5489,2)="MV",2*N5489*IF(L5489="1/C",O5489,1),0)</f>
        <v/>
      </c>
      <c r="Y5489" s="12">
        <f>IF(OR(LEFT(K5489,4)="LVAX",LEFT(K5489,6)="MV15AX",LEFT(K5489,4)="CTAX",LEFT(K5489,2)="W|"),2*N5489*O5489,0)</f>
        <v/>
      </c>
      <c r="Z5489" s="12" t="inlineStr">
        <is>
          <t>VD 0.5 %</t>
        </is>
      </c>
      <c r="AA5489" s="12">
        <f>N5489*O5489</f>
        <v/>
      </c>
    </row>
    <row r="5490">
      <c r="A5490" s="12" t="inlineStr">
        <is>
          <t>I-P-0322</t>
        </is>
      </c>
      <c r="B5490" s="12" t="inlineStr">
        <is>
          <t>I</t>
        </is>
      </c>
      <c r="C5490" s="12" t="inlineStr">
        <is>
          <t>Modular / portable power</t>
        </is>
      </c>
      <c r="D5490" s="12" t="inlineStr">
        <is>
          <t>Motor 5 of 6, 2 kW</t>
        </is>
      </c>
      <c r="E5490" s="12" t="inlineStr"/>
      <c r="F5490" s="12" t="inlineStr">
        <is>
          <t>MOD-LV 480 V board + 480 V : 13.8 kV step-up</t>
        </is>
      </c>
      <c r="G5490" s="12" t="inlineStr"/>
      <c r="H5490" s="12" t="inlineStr">
        <is>
          <t>T-MOD 230 kV take-off gantry with arresters</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290</v>
      </c>
      <c r="U5490" s="15" t="n">
        <v>47</v>
      </c>
      <c r="V5490" s="15">
        <f>ROUNDUP((T5490+U5490+2*'Read Me'!$B$13)*(1+'Read Me'!$B$12),-1)</f>
        <v/>
      </c>
      <c r="W5490" s="15">
        <f>V5490*N5490*O5490</f>
        <v/>
      </c>
      <c r="X5490" s="12">
        <f>IF(LEFT(I5490,2)="MV",2*N5490*IF(L5490="1/C",O5490,1),0)</f>
        <v/>
      </c>
      <c r="Y5490" s="12">
        <f>IF(OR(LEFT(K5490,4)="LVAX",LEFT(K5490,6)="MV15AX",LEFT(K5490,4)="CTAX",LEFT(K5490,2)="W|"),2*N5490*O5490,0)</f>
        <v/>
      </c>
      <c r="Z5490" s="12" t="inlineStr">
        <is>
          <t>VD 0.5 %</t>
        </is>
      </c>
      <c r="AA5490" s="12">
        <f>N5490*O5490</f>
        <v/>
      </c>
    </row>
    <row r="5491">
      <c r="A5491" s="12" t="inlineStr">
        <is>
          <t>I-P-0323</t>
        </is>
      </c>
      <c r="B5491" s="12" t="inlineStr">
        <is>
          <t>I</t>
        </is>
      </c>
      <c r="C5491" s="12" t="inlineStr">
        <is>
          <t>Modular / portable power</t>
        </is>
      </c>
      <c r="D5491" s="12" t="inlineStr">
        <is>
          <t>Motor 6 of 6, 2 kW</t>
        </is>
      </c>
      <c r="E5491" s="12" t="inlineStr"/>
      <c r="F5491" s="12" t="inlineStr">
        <is>
          <t>MOD-LV 480 V board + 480 V : 13.8 kV step-up</t>
        </is>
      </c>
      <c r="G5491" s="12" t="inlineStr"/>
      <c r="H5491" s="12" t="inlineStr">
        <is>
          <t>T-MOD 230 kV take-off gantry with arresters</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290</v>
      </c>
      <c r="U5491" s="15" t="n">
        <v>47</v>
      </c>
      <c r="V5491" s="15">
        <f>ROUNDUP((T5491+U5491+2*'Read Me'!$B$13)*(1+'Read Me'!$B$12),-1)</f>
        <v/>
      </c>
      <c r="W5491" s="15">
        <f>V5491*N5491*O5491</f>
        <v/>
      </c>
      <c r="X5491" s="12">
        <f>IF(LEFT(I5491,2)="MV",2*N5491*IF(L5491="1/C",O5491,1),0)</f>
        <v/>
      </c>
      <c r="Y5491" s="12">
        <f>IF(OR(LEFT(K5491,4)="LVAX",LEFT(K5491,6)="MV15AX",LEFT(K5491,4)="CTAX",LEFT(K5491,2)="W|"),2*N5491*O5491,0)</f>
        <v/>
      </c>
      <c r="Z5491" s="12" t="inlineStr">
        <is>
          <t>VD 0.5 %</t>
        </is>
      </c>
      <c r="AA5491" s="12">
        <f>N5491*O5491</f>
        <v/>
      </c>
    </row>
    <row r="5492">
      <c r="A5492" s="12" t="inlineStr">
        <is>
          <t>I-P-0324</t>
        </is>
      </c>
      <c r="B5492" s="12" t="inlineStr">
        <is>
          <t>I</t>
        </is>
      </c>
      <c r="C5492" s="12" t="inlineStr">
        <is>
          <t>Modular / portable power</t>
        </is>
      </c>
      <c r="D5492" s="12" t="inlineStr">
        <is>
          <t>Motor 1 of 6, 2 kW</t>
        </is>
      </c>
      <c r="E5492" s="12" t="inlineStr"/>
      <c r="F5492" s="12" t="inlineStr">
        <is>
          <t>MOD-LV 480 V board + 480 V : 13.8 kV step-up</t>
        </is>
      </c>
      <c r="G5492" s="12" t="inlineStr"/>
      <c r="H5492" s="12" t="inlineStr">
        <is>
          <t>T-MOD-1 / T-MOD-2 firewall</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91</v>
      </c>
      <c r="V5492" s="15">
        <f>ROUNDUP((T5492+U5492+2*'Read Me'!$B$13)*(1+'Read Me'!$B$12),-1)</f>
        <v/>
      </c>
      <c r="W5492" s="15">
        <f>V5492*N5492*O5492</f>
        <v/>
      </c>
      <c r="X5492" s="12">
        <f>IF(LEFT(I5492,2)="MV",2*N5492*IF(L5492="1/C",O5492,1),0)</f>
        <v/>
      </c>
      <c r="Y5492" s="12">
        <f>IF(OR(LEFT(K5492,4)="LVAX",LEFT(K5492,6)="MV15AX",LEFT(K5492,4)="CTAX",LEFT(K5492,2)="W|"),2*N5492*O5492,0)</f>
        <v/>
      </c>
      <c r="Z5492" s="12" t="inlineStr">
        <is>
          <t>VD 0.7 %</t>
        </is>
      </c>
      <c r="AA5492" s="12">
        <f>N5492*O5492</f>
        <v/>
      </c>
    </row>
    <row r="5493">
      <c r="A5493" s="12" t="inlineStr">
        <is>
          <t>I-P-0325</t>
        </is>
      </c>
      <c r="B5493" s="12" t="inlineStr">
        <is>
          <t>I</t>
        </is>
      </c>
      <c r="C5493" s="12" t="inlineStr">
        <is>
          <t>Modular / portable power</t>
        </is>
      </c>
      <c r="D5493" s="12" t="inlineStr">
        <is>
          <t>Motor 2 of 6, 2 kW</t>
        </is>
      </c>
      <c r="E5493" s="12" t="inlineStr"/>
      <c r="F5493" s="12" t="inlineStr">
        <is>
          <t>MOD-LV 480 V board + 480 V : 13.8 kV step-up</t>
        </is>
      </c>
      <c r="G5493" s="12" t="inlineStr"/>
      <c r="H5493" s="12" t="inlineStr">
        <is>
          <t>T-MOD-1 / T-MOD-2 firewall</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91</v>
      </c>
      <c r="V5493" s="15">
        <f>ROUNDUP((T5493+U5493+2*'Read Me'!$B$13)*(1+'Read Me'!$B$12),-1)</f>
        <v/>
      </c>
      <c r="W5493" s="15">
        <f>V5493*N5493*O5493</f>
        <v/>
      </c>
      <c r="X5493" s="12">
        <f>IF(LEFT(I5493,2)="MV",2*N5493*IF(L5493="1/C",O5493,1),0)</f>
        <v/>
      </c>
      <c r="Y5493" s="12">
        <f>IF(OR(LEFT(K5493,4)="LVAX",LEFT(K5493,6)="MV15AX",LEFT(K5493,4)="CTAX",LEFT(K5493,2)="W|"),2*N5493*O5493,0)</f>
        <v/>
      </c>
      <c r="Z5493" s="12" t="inlineStr">
        <is>
          <t>VD 0.7 %</t>
        </is>
      </c>
      <c r="AA5493" s="12">
        <f>N5493*O5493</f>
        <v/>
      </c>
    </row>
    <row r="5494">
      <c r="A5494" s="12" t="inlineStr">
        <is>
          <t>I-P-0326</t>
        </is>
      </c>
      <c r="B5494" s="12" t="inlineStr">
        <is>
          <t>I</t>
        </is>
      </c>
      <c r="C5494" s="12" t="inlineStr">
        <is>
          <t>Modular / portable power</t>
        </is>
      </c>
      <c r="D5494" s="12" t="inlineStr">
        <is>
          <t>Motor 3 of 6, 2 kW</t>
        </is>
      </c>
      <c r="E5494" s="12" t="inlineStr"/>
      <c r="F5494" s="12" t="inlineStr">
        <is>
          <t>MOD-LV 480 V board + 480 V : 13.8 kV step-up</t>
        </is>
      </c>
      <c r="G5494" s="12" t="inlineStr"/>
      <c r="H5494" s="12" t="inlineStr">
        <is>
          <t>T-MOD-1 / T-MOD-2 firewall</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91</v>
      </c>
      <c r="V5494" s="15">
        <f>ROUNDUP((T5494+U5494+2*'Read Me'!$B$13)*(1+'Read Me'!$B$12),-1)</f>
        <v/>
      </c>
      <c r="W5494" s="15">
        <f>V5494*N5494*O5494</f>
        <v/>
      </c>
      <c r="X5494" s="12">
        <f>IF(LEFT(I5494,2)="MV",2*N5494*IF(L5494="1/C",O5494,1),0)</f>
        <v/>
      </c>
      <c r="Y5494" s="12">
        <f>IF(OR(LEFT(K5494,4)="LVAX",LEFT(K5494,6)="MV15AX",LEFT(K5494,4)="CTAX",LEFT(K5494,2)="W|"),2*N5494*O5494,0)</f>
        <v/>
      </c>
      <c r="Z5494" s="12" t="inlineStr">
        <is>
          <t>VD 0.7 %</t>
        </is>
      </c>
      <c r="AA5494" s="12">
        <f>N5494*O5494</f>
        <v/>
      </c>
    </row>
    <row r="5495">
      <c r="A5495" s="12" t="inlineStr">
        <is>
          <t>I-P-0327</t>
        </is>
      </c>
      <c r="B5495" s="12" t="inlineStr">
        <is>
          <t>I</t>
        </is>
      </c>
      <c r="C5495" s="12" t="inlineStr">
        <is>
          <t>Modular / portable power</t>
        </is>
      </c>
      <c r="D5495" s="12" t="inlineStr">
        <is>
          <t>Motor 4 of 6, 2 kW</t>
        </is>
      </c>
      <c r="E5495" s="12" t="inlineStr"/>
      <c r="F5495" s="12" t="inlineStr">
        <is>
          <t>MOD-LV 480 V board + 480 V : 13.8 kV step-up</t>
        </is>
      </c>
      <c r="G5495" s="12" t="inlineStr"/>
      <c r="H5495" s="12" t="inlineStr">
        <is>
          <t>T-MOD-1 / T-MOD-2 firewall</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404</v>
      </c>
      <c r="U5495" s="15" t="n">
        <v>91</v>
      </c>
      <c r="V5495" s="15">
        <f>ROUNDUP((T5495+U5495+2*'Read Me'!$B$13)*(1+'Read Me'!$B$12),-1)</f>
        <v/>
      </c>
      <c r="W5495" s="15">
        <f>V5495*N5495*O5495</f>
        <v/>
      </c>
      <c r="X5495" s="12">
        <f>IF(LEFT(I5495,2)="MV",2*N5495*IF(L5495="1/C",O5495,1),0)</f>
        <v/>
      </c>
      <c r="Y5495" s="12">
        <f>IF(OR(LEFT(K5495,4)="LVAX",LEFT(K5495,6)="MV15AX",LEFT(K5495,4)="CTAX",LEFT(K5495,2)="W|"),2*N5495*O5495,0)</f>
        <v/>
      </c>
      <c r="Z5495" s="12" t="inlineStr">
        <is>
          <t>VD 0.7 %</t>
        </is>
      </c>
      <c r="AA5495" s="12">
        <f>N5495*O5495</f>
        <v/>
      </c>
    </row>
    <row r="5496">
      <c r="A5496" s="12" t="inlineStr">
        <is>
          <t>I-P-0328</t>
        </is>
      </c>
      <c r="B5496" s="12" t="inlineStr">
        <is>
          <t>I</t>
        </is>
      </c>
      <c r="C5496" s="12" t="inlineStr">
        <is>
          <t>Modular / portable power</t>
        </is>
      </c>
      <c r="D5496" s="12" t="inlineStr">
        <is>
          <t>Motor 5 of 6, 2 kW</t>
        </is>
      </c>
      <c r="E5496" s="12" t="inlineStr"/>
      <c r="F5496" s="12" t="inlineStr">
        <is>
          <t>MOD-LV 480 V board + 480 V : 13.8 kV step-up</t>
        </is>
      </c>
      <c r="G5496" s="12" t="inlineStr"/>
      <c r="H5496" s="12" t="inlineStr">
        <is>
          <t>T-MOD-1 / T-MOD-2 firewall</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404</v>
      </c>
      <c r="U5496" s="15" t="n">
        <v>91</v>
      </c>
      <c r="V5496" s="15">
        <f>ROUNDUP((T5496+U5496+2*'Read Me'!$B$13)*(1+'Read Me'!$B$12),-1)</f>
        <v/>
      </c>
      <c r="W5496" s="15">
        <f>V5496*N5496*O5496</f>
        <v/>
      </c>
      <c r="X5496" s="12">
        <f>IF(LEFT(I5496,2)="MV",2*N5496*IF(L5496="1/C",O5496,1),0)</f>
        <v/>
      </c>
      <c r="Y5496" s="12">
        <f>IF(OR(LEFT(K5496,4)="LVAX",LEFT(K5496,6)="MV15AX",LEFT(K5496,4)="CTAX",LEFT(K5496,2)="W|"),2*N5496*O5496,0)</f>
        <v/>
      </c>
      <c r="Z5496" s="12" t="inlineStr">
        <is>
          <t>VD 0.7 %</t>
        </is>
      </c>
      <c r="AA5496" s="12">
        <f>N5496*O5496</f>
        <v/>
      </c>
    </row>
    <row r="5497">
      <c r="A5497" s="12" t="inlineStr">
        <is>
          <t>I-P-0329</t>
        </is>
      </c>
      <c r="B5497" s="12" t="inlineStr">
        <is>
          <t>I</t>
        </is>
      </c>
      <c r="C5497" s="12" t="inlineStr">
        <is>
          <t>Modular / portable power</t>
        </is>
      </c>
      <c r="D5497" s="12" t="inlineStr">
        <is>
          <t>Motor 6 of 6, 2 kW</t>
        </is>
      </c>
      <c r="E5497" s="12" t="inlineStr"/>
      <c r="F5497" s="12" t="inlineStr">
        <is>
          <t>MOD-LV 480 V board + 480 V : 13.8 kV step-up</t>
        </is>
      </c>
      <c r="G5497" s="12" t="inlineStr"/>
      <c r="H5497" s="12" t="inlineStr">
        <is>
          <t>T-MOD-1 / T-MOD-2 firewall</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404</v>
      </c>
      <c r="U5497" s="15" t="n">
        <v>91</v>
      </c>
      <c r="V5497" s="15">
        <f>ROUNDUP((T5497+U5497+2*'Read Me'!$B$13)*(1+'Read Me'!$B$12),-1)</f>
        <v/>
      </c>
      <c r="W5497" s="15">
        <f>V5497*N5497*O5497</f>
        <v/>
      </c>
      <c r="X5497" s="12">
        <f>IF(LEFT(I5497,2)="MV",2*N5497*IF(L5497="1/C",O5497,1),0)</f>
        <v/>
      </c>
      <c r="Y5497" s="12">
        <f>IF(OR(LEFT(K5497,4)="LVAX",LEFT(K5497,6)="MV15AX",LEFT(K5497,4)="CTAX",LEFT(K5497,2)="W|"),2*N5497*O5497,0)</f>
        <v/>
      </c>
      <c r="Z5497" s="12" t="inlineStr">
        <is>
          <t>VD 0.7 %</t>
        </is>
      </c>
      <c r="AA5497" s="12">
        <f>N5497*O5497</f>
        <v/>
      </c>
    </row>
    <row r="5498">
      <c r="A5498" s="12" t="inlineStr">
        <is>
          <t>I-P-0330</t>
        </is>
      </c>
      <c r="B5498" s="12" t="inlineStr">
        <is>
          <t>I</t>
        </is>
      </c>
      <c r="C5498" s="12" t="inlineStr">
        <is>
          <t>Modular / portable power</t>
        </is>
      </c>
      <c r="D5498" s="12" t="inlineStr">
        <is>
          <t>Motor 1 of 6, 2 kW</t>
        </is>
      </c>
      <c r="E5498" s="12" t="inlineStr"/>
      <c r="F5498" s="12" t="inlineStr">
        <is>
          <t>MOD-LV 480 V board + 480 V : 13.8 kV step-up</t>
        </is>
      </c>
      <c r="G5498" s="12" t="inlineStr">
        <is>
          <t>T-MOD-1</t>
        </is>
      </c>
      <c r="H5498" s="12" t="inlineStr">
        <is>
          <t>T-MOD-1: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404</v>
      </c>
      <c r="U5498" s="15" t="n">
        <v>43</v>
      </c>
      <c r="V5498" s="15">
        <f>ROUNDUP((T5498+U5498+2*'Read Me'!$B$13)*(1+'Read Me'!$B$12),-1)</f>
        <v/>
      </c>
      <c r="W5498" s="15">
        <f>V5498*N5498*O5498</f>
        <v/>
      </c>
      <c r="X5498" s="12">
        <f>IF(LEFT(I5498,2)="MV",2*N5498*IF(L5498="1/C",O5498,1),0)</f>
        <v/>
      </c>
      <c r="Y5498" s="12">
        <f>IF(OR(LEFT(K5498,4)="LVAX",LEFT(K5498,6)="MV15AX",LEFT(K5498,4)="CTAX",LEFT(K5498,2)="W|"),2*N5498*O5498,0)</f>
        <v/>
      </c>
      <c r="Z5498" s="12" t="inlineStr">
        <is>
          <t>VD 0.6 %</t>
        </is>
      </c>
      <c r="AA5498" s="12">
        <f>N5498*O5498</f>
        <v/>
      </c>
    </row>
    <row r="5499">
      <c r="A5499" s="12" t="inlineStr">
        <is>
          <t>I-P-0331</t>
        </is>
      </c>
      <c r="B5499" s="12" t="inlineStr">
        <is>
          <t>I</t>
        </is>
      </c>
      <c r="C5499" s="12" t="inlineStr">
        <is>
          <t>Modular / portable power</t>
        </is>
      </c>
      <c r="D5499" s="12" t="inlineStr">
        <is>
          <t>Motor 2 of 6, 2 kW</t>
        </is>
      </c>
      <c r="E5499" s="12" t="inlineStr"/>
      <c r="F5499" s="12" t="inlineStr">
        <is>
          <t>MOD-LV 480 V board + 480 V : 13.8 kV step-up</t>
        </is>
      </c>
      <c r="G5499" s="12" t="inlineStr">
        <is>
          <t>T-MOD-1</t>
        </is>
      </c>
      <c r="H5499" s="12" t="inlineStr">
        <is>
          <t>T-MOD-1: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404</v>
      </c>
      <c r="U5499" s="15" t="n">
        <v>43</v>
      </c>
      <c r="V5499" s="15">
        <f>ROUNDUP((T5499+U5499+2*'Read Me'!$B$13)*(1+'Read Me'!$B$12),-1)</f>
        <v/>
      </c>
      <c r="W5499" s="15">
        <f>V5499*N5499*O5499</f>
        <v/>
      </c>
      <c r="X5499" s="12">
        <f>IF(LEFT(I5499,2)="MV",2*N5499*IF(L5499="1/C",O5499,1),0)</f>
        <v/>
      </c>
      <c r="Y5499" s="12">
        <f>IF(OR(LEFT(K5499,4)="LVAX",LEFT(K5499,6)="MV15AX",LEFT(K5499,4)="CTAX",LEFT(K5499,2)="W|"),2*N5499*O5499,0)</f>
        <v/>
      </c>
      <c r="Z5499" s="12" t="inlineStr">
        <is>
          <t>VD 0.6 %</t>
        </is>
      </c>
      <c r="AA5499" s="12">
        <f>N5499*O5499</f>
        <v/>
      </c>
    </row>
    <row r="5500">
      <c r="A5500" s="12" t="inlineStr">
        <is>
          <t>I-P-0332</t>
        </is>
      </c>
      <c r="B5500" s="12" t="inlineStr">
        <is>
          <t>I</t>
        </is>
      </c>
      <c r="C5500" s="12" t="inlineStr">
        <is>
          <t>Modular / portable power</t>
        </is>
      </c>
      <c r="D5500" s="12" t="inlineStr">
        <is>
          <t>Motor 3 of 6, 2 kW</t>
        </is>
      </c>
      <c r="E5500" s="12" t="inlineStr"/>
      <c r="F5500" s="12" t="inlineStr">
        <is>
          <t>MOD-LV 480 V board + 480 V : 13.8 kV step-up</t>
        </is>
      </c>
      <c r="G5500" s="12" t="inlineStr">
        <is>
          <t>T-MOD-1</t>
        </is>
      </c>
      <c r="H5500" s="12" t="inlineStr">
        <is>
          <t>T-MOD-1: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404</v>
      </c>
      <c r="U5500" s="15" t="n">
        <v>43</v>
      </c>
      <c r="V5500" s="15">
        <f>ROUNDUP((T5500+U5500+2*'Read Me'!$B$13)*(1+'Read Me'!$B$12),-1)</f>
        <v/>
      </c>
      <c r="W5500" s="15">
        <f>V5500*N5500*O5500</f>
        <v/>
      </c>
      <c r="X5500" s="12">
        <f>IF(LEFT(I5500,2)="MV",2*N5500*IF(L5500="1/C",O5500,1),0)</f>
        <v/>
      </c>
      <c r="Y5500" s="12">
        <f>IF(OR(LEFT(K5500,4)="LVAX",LEFT(K5500,6)="MV15AX",LEFT(K5500,4)="CTAX",LEFT(K5500,2)="W|"),2*N5500*O5500,0)</f>
        <v/>
      </c>
      <c r="Z5500" s="12" t="inlineStr">
        <is>
          <t>VD 0.6 %</t>
        </is>
      </c>
      <c r="AA5500" s="12">
        <f>N5500*O5500</f>
        <v/>
      </c>
    </row>
    <row r="5501">
      <c r="A5501" s="12" t="inlineStr">
        <is>
          <t>I-P-0333</t>
        </is>
      </c>
      <c r="B5501" s="12" t="inlineStr">
        <is>
          <t>I</t>
        </is>
      </c>
      <c r="C5501" s="12" t="inlineStr">
        <is>
          <t>Modular / portable power</t>
        </is>
      </c>
      <c r="D5501" s="12" t="inlineStr">
        <is>
          <t>Motor 4 of 6, 2 kW</t>
        </is>
      </c>
      <c r="E5501" s="12" t="inlineStr"/>
      <c r="F5501" s="12" t="inlineStr">
        <is>
          <t>MOD-LV 480 V board + 480 V : 13.8 kV step-up</t>
        </is>
      </c>
      <c r="G5501" s="12" t="inlineStr">
        <is>
          <t>T-MOD-1</t>
        </is>
      </c>
      <c r="H5501" s="12" t="inlineStr">
        <is>
          <t>T-MOD-1: 230 / 34.5 kV</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404</v>
      </c>
      <c r="U5501" s="15" t="n">
        <v>43</v>
      </c>
      <c r="V5501" s="15">
        <f>ROUNDUP((T5501+U5501+2*'Read Me'!$B$13)*(1+'Read Me'!$B$12),-1)</f>
        <v/>
      </c>
      <c r="W5501" s="15">
        <f>V5501*N5501*O5501</f>
        <v/>
      </c>
      <c r="X5501" s="12">
        <f>IF(LEFT(I5501,2)="MV",2*N5501*IF(L5501="1/C",O5501,1),0)</f>
        <v/>
      </c>
      <c r="Y5501" s="12">
        <f>IF(OR(LEFT(K5501,4)="LVAX",LEFT(K5501,6)="MV15AX",LEFT(K5501,4)="CTAX",LEFT(K5501,2)="W|"),2*N5501*O5501,0)</f>
        <v/>
      </c>
      <c r="Z5501" s="12" t="inlineStr">
        <is>
          <t>VD 0.6 %</t>
        </is>
      </c>
      <c r="AA5501" s="12">
        <f>N5501*O5501</f>
        <v/>
      </c>
    </row>
    <row r="5502">
      <c r="A5502" s="12" t="inlineStr">
        <is>
          <t>I-P-0334</t>
        </is>
      </c>
      <c r="B5502" s="12" t="inlineStr">
        <is>
          <t>I</t>
        </is>
      </c>
      <c r="C5502" s="12" t="inlineStr">
        <is>
          <t>Modular / portable power</t>
        </is>
      </c>
      <c r="D5502" s="12" t="inlineStr">
        <is>
          <t>Motor 5 of 6, 2 kW</t>
        </is>
      </c>
      <c r="E5502" s="12" t="inlineStr"/>
      <c r="F5502" s="12" t="inlineStr">
        <is>
          <t>MOD-LV 480 V board + 480 V : 13.8 kV step-up</t>
        </is>
      </c>
      <c r="G5502" s="12" t="inlineStr">
        <is>
          <t>T-MOD-1</t>
        </is>
      </c>
      <c r="H5502" s="12" t="inlineStr">
        <is>
          <t>T-MOD-1: 230 / 34.5 kV</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404</v>
      </c>
      <c r="U5502" s="15" t="n">
        <v>43</v>
      </c>
      <c r="V5502" s="15">
        <f>ROUNDUP((T5502+U5502+2*'Read Me'!$B$13)*(1+'Read Me'!$B$12),-1)</f>
        <v/>
      </c>
      <c r="W5502" s="15">
        <f>V5502*N5502*O5502</f>
        <v/>
      </c>
      <c r="X5502" s="12">
        <f>IF(LEFT(I5502,2)="MV",2*N5502*IF(L5502="1/C",O5502,1),0)</f>
        <v/>
      </c>
      <c r="Y5502" s="12">
        <f>IF(OR(LEFT(K5502,4)="LVAX",LEFT(K5502,6)="MV15AX",LEFT(K5502,4)="CTAX",LEFT(K5502,2)="W|"),2*N5502*O5502,0)</f>
        <v/>
      </c>
      <c r="Z5502" s="12" t="inlineStr">
        <is>
          <t>VD 0.6 %</t>
        </is>
      </c>
      <c r="AA5502" s="12">
        <f>N5502*O5502</f>
        <v/>
      </c>
    </row>
    <row r="5503">
      <c r="A5503" s="12" t="inlineStr">
        <is>
          <t>I-P-0335</t>
        </is>
      </c>
      <c r="B5503" s="12" t="inlineStr">
        <is>
          <t>I</t>
        </is>
      </c>
      <c r="C5503" s="12" t="inlineStr">
        <is>
          <t>Modular / portable power</t>
        </is>
      </c>
      <c r="D5503" s="12" t="inlineStr">
        <is>
          <t>Motor 6 of 6, 2 kW</t>
        </is>
      </c>
      <c r="E5503" s="12" t="inlineStr"/>
      <c r="F5503" s="12" t="inlineStr">
        <is>
          <t>MOD-LV 480 V board + 480 V : 13.8 kV step-up</t>
        </is>
      </c>
      <c r="G5503" s="12" t="inlineStr">
        <is>
          <t>T-MOD-1</t>
        </is>
      </c>
      <c r="H5503" s="12" t="inlineStr">
        <is>
          <t>T-MOD-1: 230 / 34.5 kV</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404</v>
      </c>
      <c r="U5503" s="15" t="n">
        <v>43</v>
      </c>
      <c r="V5503" s="15">
        <f>ROUNDUP((T5503+U5503+2*'Read Me'!$B$13)*(1+'Read Me'!$B$12),-1)</f>
        <v/>
      </c>
      <c r="W5503" s="15">
        <f>V5503*N5503*O5503</f>
        <v/>
      </c>
      <c r="X5503" s="12">
        <f>IF(LEFT(I5503,2)="MV",2*N5503*IF(L5503="1/C",O5503,1),0)</f>
        <v/>
      </c>
      <c r="Y5503" s="12">
        <f>IF(OR(LEFT(K5503,4)="LVAX",LEFT(K5503,6)="MV15AX",LEFT(K5503,4)="CTAX",LEFT(K5503,2)="W|"),2*N5503*O5503,0)</f>
        <v/>
      </c>
      <c r="Z5503" s="12" t="inlineStr">
        <is>
          <t>VD 0.6 %</t>
        </is>
      </c>
      <c r="AA5503" s="12">
        <f>N5503*O5503</f>
        <v/>
      </c>
    </row>
    <row r="5504">
      <c r="A5504" s="12" t="inlineStr">
        <is>
          <t>I-P-0336</t>
        </is>
      </c>
      <c r="B5504" s="12" t="inlineStr">
        <is>
          <t>I</t>
        </is>
      </c>
      <c r="C5504" s="12" t="inlineStr">
        <is>
          <t>Modular / portable power</t>
        </is>
      </c>
      <c r="D5504" s="12" t="inlineStr">
        <is>
          <t>Motor 1 of 6, 2 kW</t>
        </is>
      </c>
      <c r="E5504" s="12" t="inlineStr"/>
      <c r="F5504" s="12" t="inlineStr">
        <is>
          <t>MOD-LV 480 V board + 480 V : 13.8 kV step-up</t>
        </is>
      </c>
      <c r="G5504" s="12" t="inlineStr">
        <is>
          <t>T-MOD-2</t>
        </is>
      </c>
      <c r="H5504" s="12" t="inlineStr">
        <is>
          <t>T-MOD-2: 230 / 34.5 kV</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61</v>
      </c>
      <c r="V5504" s="15">
        <f>ROUNDUP((T5504+U5504+2*'Read Me'!$B$13)*(1+'Read Me'!$B$12),-1)</f>
        <v/>
      </c>
      <c r="W5504" s="15">
        <f>V5504*N5504*O5504</f>
        <v/>
      </c>
      <c r="X5504" s="12">
        <f>IF(LEFT(I5504,2)="MV",2*N5504*IF(L5504="1/C",O5504,1),0)</f>
        <v/>
      </c>
      <c r="Y5504" s="12">
        <f>IF(OR(LEFT(K5504,4)="LVAX",LEFT(K5504,6)="MV15AX",LEFT(K5504,4)="CTAX",LEFT(K5504,2)="W|"),2*N5504*O5504,0)</f>
        <v/>
      </c>
      <c r="Z5504" s="12" t="inlineStr">
        <is>
          <t>VD 0.5 %</t>
        </is>
      </c>
      <c r="AA5504" s="12">
        <f>N5504*O5504</f>
        <v/>
      </c>
    </row>
    <row r="5505">
      <c r="A5505" s="12" t="inlineStr">
        <is>
          <t>I-P-0337</t>
        </is>
      </c>
      <c r="B5505" s="12" t="inlineStr">
        <is>
          <t>I</t>
        </is>
      </c>
      <c r="C5505" s="12" t="inlineStr">
        <is>
          <t>Modular / portable power</t>
        </is>
      </c>
      <c r="D5505" s="12" t="inlineStr">
        <is>
          <t>Motor 2 of 6, 2 kW</t>
        </is>
      </c>
      <c r="E5505" s="12" t="inlineStr"/>
      <c r="F5505" s="12" t="inlineStr">
        <is>
          <t>MOD-LV 480 V board + 480 V : 13.8 kV step-up</t>
        </is>
      </c>
      <c r="G5505" s="12" t="inlineStr">
        <is>
          <t>T-MOD-2</t>
        </is>
      </c>
      <c r="H5505" s="12" t="inlineStr">
        <is>
          <t>T-MOD-2: 230 / 34.5 kV</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61</v>
      </c>
      <c r="V5505" s="15">
        <f>ROUNDUP((T5505+U5505+2*'Read Me'!$B$13)*(1+'Read Me'!$B$12),-1)</f>
        <v/>
      </c>
      <c r="W5505" s="15">
        <f>V5505*N5505*O5505</f>
        <v/>
      </c>
      <c r="X5505" s="12">
        <f>IF(LEFT(I5505,2)="MV",2*N5505*IF(L5505="1/C",O5505,1),0)</f>
        <v/>
      </c>
      <c r="Y5505" s="12">
        <f>IF(OR(LEFT(K5505,4)="LVAX",LEFT(K5505,6)="MV15AX",LEFT(K5505,4)="CTAX",LEFT(K5505,2)="W|"),2*N5505*O5505,0)</f>
        <v/>
      </c>
      <c r="Z5505" s="12" t="inlineStr">
        <is>
          <t>VD 0.5 %</t>
        </is>
      </c>
      <c r="AA5505" s="12">
        <f>N5505*O5505</f>
        <v/>
      </c>
    </row>
    <row r="5506">
      <c r="A5506" s="12" t="inlineStr">
        <is>
          <t>I-P-0338</t>
        </is>
      </c>
      <c r="B5506" s="12" t="inlineStr">
        <is>
          <t>I</t>
        </is>
      </c>
      <c r="C5506" s="12" t="inlineStr">
        <is>
          <t>Modular / portable power</t>
        </is>
      </c>
      <c r="D5506" s="12" t="inlineStr">
        <is>
          <t>Motor 3 of 6, 2 kW</t>
        </is>
      </c>
      <c r="E5506" s="12" t="inlineStr"/>
      <c r="F5506" s="12" t="inlineStr">
        <is>
          <t>MOD-LV 480 V board + 480 V : 13.8 kV step-up</t>
        </is>
      </c>
      <c r="G5506" s="12" t="inlineStr">
        <is>
          <t>T-MOD-2</t>
        </is>
      </c>
      <c r="H5506" s="12" t="inlineStr">
        <is>
          <t>T-MOD-2: 230 / 34.5 kV</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61</v>
      </c>
      <c r="V5506" s="15">
        <f>ROUNDUP((T5506+U5506+2*'Read Me'!$B$13)*(1+'Read Me'!$B$12),-1)</f>
        <v/>
      </c>
      <c r="W5506" s="15">
        <f>V5506*N5506*O5506</f>
        <v/>
      </c>
      <c r="X5506" s="12">
        <f>IF(LEFT(I5506,2)="MV",2*N5506*IF(L5506="1/C",O5506,1),0)</f>
        <v/>
      </c>
      <c r="Y5506" s="12">
        <f>IF(OR(LEFT(K5506,4)="LVAX",LEFT(K5506,6)="MV15AX",LEFT(K5506,4)="CTAX",LEFT(K5506,2)="W|"),2*N5506*O5506,0)</f>
        <v/>
      </c>
      <c r="Z5506" s="12" t="inlineStr">
        <is>
          <t>VD 0.5 %</t>
        </is>
      </c>
      <c r="AA5506" s="12">
        <f>N5506*O5506</f>
        <v/>
      </c>
    </row>
    <row r="5507">
      <c r="A5507" s="12" t="inlineStr">
        <is>
          <t>I-P-0339</t>
        </is>
      </c>
      <c r="B5507" s="12" t="inlineStr">
        <is>
          <t>I</t>
        </is>
      </c>
      <c r="C5507" s="12" t="inlineStr">
        <is>
          <t>Modular / portable power</t>
        </is>
      </c>
      <c r="D5507" s="12" t="inlineStr">
        <is>
          <t>Motor 4 of 6, 2 kW</t>
        </is>
      </c>
      <c r="E5507" s="12" t="inlineStr"/>
      <c r="F5507" s="12" t="inlineStr">
        <is>
          <t>MOD-LV 480 V board + 480 V : 13.8 kV step-up</t>
        </is>
      </c>
      <c r="G5507" s="12" t="inlineStr">
        <is>
          <t>T-MOD-2</t>
        </is>
      </c>
      <c r="H5507" s="12" t="inlineStr">
        <is>
          <t>T-MOD-2: 230 / 34.5 kV</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290</v>
      </c>
      <c r="U5507" s="15" t="n">
        <v>61</v>
      </c>
      <c r="V5507" s="15">
        <f>ROUNDUP((T5507+U5507+2*'Read Me'!$B$13)*(1+'Read Me'!$B$12),-1)</f>
        <v/>
      </c>
      <c r="W5507" s="15">
        <f>V5507*N5507*O5507</f>
        <v/>
      </c>
      <c r="X5507" s="12">
        <f>IF(LEFT(I5507,2)="MV",2*N5507*IF(L5507="1/C",O5507,1),0)</f>
        <v/>
      </c>
      <c r="Y5507" s="12">
        <f>IF(OR(LEFT(K5507,4)="LVAX",LEFT(K5507,6)="MV15AX",LEFT(K5507,4)="CTAX",LEFT(K5507,2)="W|"),2*N5507*O5507,0)</f>
        <v/>
      </c>
      <c r="Z5507" s="12" t="inlineStr">
        <is>
          <t>VD 0.5 %</t>
        </is>
      </c>
      <c r="AA5507" s="12">
        <f>N5507*O5507</f>
        <v/>
      </c>
    </row>
    <row r="5508">
      <c r="A5508" s="12" t="inlineStr">
        <is>
          <t>I-P-0340</t>
        </is>
      </c>
      <c r="B5508" s="12" t="inlineStr">
        <is>
          <t>I</t>
        </is>
      </c>
      <c r="C5508" s="12" t="inlineStr">
        <is>
          <t>Modular / portable power</t>
        </is>
      </c>
      <c r="D5508" s="12" t="inlineStr">
        <is>
          <t>Motor 5 of 6, 2 kW</t>
        </is>
      </c>
      <c r="E5508" s="12" t="inlineStr"/>
      <c r="F5508" s="12" t="inlineStr">
        <is>
          <t>MOD-LV 480 V board + 480 V : 13.8 kV step-up</t>
        </is>
      </c>
      <c r="G5508" s="12" t="inlineStr">
        <is>
          <t>T-MOD-2</t>
        </is>
      </c>
      <c r="H5508" s="12" t="inlineStr">
        <is>
          <t>T-MOD-2: 230 / 34.5 kV</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290</v>
      </c>
      <c r="U5508" s="15" t="n">
        <v>61</v>
      </c>
      <c r="V5508" s="15">
        <f>ROUNDUP((T5508+U5508+2*'Read Me'!$B$13)*(1+'Read Me'!$B$12),-1)</f>
        <v/>
      </c>
      <c r="W5508" s="15">
        <f>V5508*N5508*O5508</f>
        <v/>
      </c>
      <c r="X5508" s="12">
        <f>IF(LEFT(I5508,2)="MV",2*N5508*IF(L5508="1/C",O5508,1),0)</f>
        <v/>
      </c>
      <c r="Y5508" s="12">
        <f>IF(OR(LEFT(K5508,4)="LVAX",LEFT(K5508,6)="MV15AX",LEFT(K5508,4)="CTAX",LEFT(K5508,2)="W|"),2*N5508*O5508,0)</f>
        <v/>
      </c>
      <c r="Z5508" s="12" t="inlineStr">
        <is>
          <t>VD 0.5 %</t>
        </is>
      </c>
      <c r="AA5508" s="12">
        <f>N5508*O5508</f>
        <v/>
      </c>
    </row>
    <row r="5509">
      <c r="A5509" s="12" t="inlineStr">
        <is>
          <t>I-P-0341</t>
        </is>
      </c>
      <c r="B5509" s="12" t="inlineStr">
        <is>
          <t>I</t>
        </is>
      </c>
      <c r="C5509" s="12" t="inlineStr">
        <is>
          <t>Modular / portable power</t>
        </is>
      </c>
      <c r="D5509" s="12" t="inlineStr">
        <is>
          <t>Motor 6 of 6, 2 kW</t>
        </is>
      </c>
      <c r="E5509" s="12" t="inlineStr"/>
      <c r="F5509" s="12" t="inlineStr">
        <is>
          <t>MOD-LV 480 V board + 480 V : 13.8 kV step-up</t>
        </is>
      </c>
      <c r="G5509" s="12" t="inlineStr">
        <is>
          <t>T-MOD-2</t>
        </is>
      </c>
      <c r="H5509" s="12" t="inlineStr">
        <is>
          <t>T-MOD-2: 230 / 34.5 kV</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290</v>
      </c>
      <c r="U5509" s="15" t="n">
        <v>61</v>
      </c>
      <c r="V5509" s="15">
        <f>ROUNDUP((T5509+U5509+2*'Read Me'!$B$13)*(1+'Read Me'!$B$12),-1)</f>
        <v/>
      </c>
      <c r="W5509" s="15">
        <f>V5509*N5509*O5509</f>
        <v/>
      </c>
      <c r="X5509" s="12">
        <f>IF(LEFT(I5509,2)="MV",2*N5509*IF(L5509="1/C",O5509,1),0)</f>
        <v/>
      </c>
      <c r="Y5509" s="12">
        <f>IF(OR(LEFT(K5509,4)="LVAX",LEFT(K5509,6)="MV15AX",LEFT(K5509,4)="CTAX",LEFT(K5509,2)="W|"),2*N5509*O5509,0)</f>
        <v/>
      </c>
      <c r="Z5509" s="12" t="inlineStr">
        <is>
          <t>VD 0.5 %</t>
        </is>
      </c>
      <c r="AA5509" s="12">
        <f>N5509*O5509</f>
        <v/>
      </c>
    </row>
    <row r="5510">
      <c r="A5510" s="12" t="inlineStr">
        <is>
          <t>I-P-0342</t>
        </is>
      </c>
      <c r="B5510" s="12" t="inlineStr">
        <is>
          <t>I</t>
        </is>
      </c>
      <c r="C5510" s="12" t="inlineStr">
        <is>
          <t>Modular / portable power</t>
        </is>
      </c>
      <c r="D5510" s="12" t="inlineStr">
        <is>
          <t>Motor 1 of 6, 2 kW</t>
        </is>
      </c>
      <c r="E5510" s="12" t="inlineStr"/>
      <c r="F5510" s="12" t="inlineStr">
        <is>
          <t>MOD-LV 480 V board + 480 V : 13.8 kV step-up</t>
        </is>
      </c>
      <c r="G5510" s="12" t="inlineStr"/>
      <c r="H5510" s="12" t="inlineStr">
        <is>
          <t>T-MOD-3 230 kV gantry extension with arresters</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290</v>
      </c>
      <c r="U5510" s="15" t="n">
        <v>36</v>
      </c>
      <c r="V5510" s="15">
        <f>ROUNDUP((T5510+U5510+2*'Read Me'!$B$13)*(1+'Read Me'!$B$12),-1)</f>
        <v/>
      </c>
      <c r="W5510" s="15">
        <f>V5510*N5510*O5510</f>
        <v/>
      </c>
      <c r="X5510" s="12">
        <f>IF(LEFT(I5510,2)="MV",2*N5510*IF(L5510="1/C",O5510,1),0)</f>
        <v/>
      </c>
      <c r="Y5510" s="12">
        <f>IF(OR(LEFT(K5510,4)="LVAX",LEFT(K5510,6)="MV15AX",LEFT(K5510,4)="CTAX",LEFT(K5510,2)="W|"),2*N5510*O5510,0)</f>
        <v/>
      </c>
      <c r="Z5510" s="12" t="inlineStr">
        <is>
          <t>VD 0.4 %</t>
        </is>
      </c>
      <c r="AA5510" s="12">
        <f>N5510*O5510</f>
        <v/>
      </c>
    </row>
    <row r="5511">
      <c r="A5511" s="12" t="inlineStr">
        <is>
          <t>I-P-0343</t>
        </is>
      </c>
      <c r="B5511" s="12" t="inlineStr">
        <is>
          <t>I</t>
        </is>
      </c>
      <c r="C5511" s="12" t="inlineStr">
        <is>
          <t>Modular / portable power</t>
        </is>
      </c>
      <c r="D5511" s="12" t="inlineStr">
        <is>
          <t>Motor 2 of 6, 2 kW</t>
        </is>
      </c>
      <c r="E5511" s="12" t="inlineStr"/>
      <c r="F5511" s="12" t="inlineStr">
        <is>
          <t>MOD-LV 480 V board + 480 V : 13.8 kV step-up</t>
        </is>
      </c>
      <c r="G5511" s="12" t="inlineStr"/>
      <c r="H5511" s="12" t="inlineStr">
        <is>
          <t>T-MOD-3 230 kV gantry extension with arresters</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290</v>
      </c>
      <c r="U5511" s="15" t="n">
        <v>36</v>
      </c>
      <c r="V5511" s="15">
        <f>ROUNDUP((T5511+U5511+2*'Read Me'!$B$13)*(1+'Read Me'!$B$12),-1)</f>
        <v/>
      </c>
      <c r="W5511" s="15">
        <f>V5511*N5511*O5511</f>
        <v/>
      </c>
      <c r="X5511" s="12">
        <f>IF(LEFT(I5511,2)="MV",2*N5511*IF(L5511="1/C",O5511,1),0)</f>
        <v/>
      </c>
      <c r="Y5511" s="12">
        <f>IF(OR(LEFT(K5511,4)="LVAX",LEFT(K5511,6)="MV15AX",LEFT(K5511,4)="CTAX",LEFT(K5511,2)="W|"),2*N5511*O5511,0)</f>
        <v/>
      </c>
      <c r="Z5511" s="12" t="inlineStr">
        <is>
          <t>VD 0.4 %</t>
        </is>
      </c>
      <c r="AA5511" s="12">
        <f>N5511*O5511</f>
        <v/>
      </c>
    </row>
    <row r="5512">
      <c r="A5512" s="12" t="inlineStr">
        <is>
          <t>I-P-0344</t>
        </is>
      </c>
      <c r="B5512" s="12" t="inlineStr">
        <is>
          <t>I</t>
        </is>
      </c>
      <c r="C5512" s="12" t="inlineStr">
        <is>
          <t>Modular / portable power</t>
        </is>
      </c>
      <c r="D5512" s="12" t="inlineStr">
        <is>
          <t>Motor 3 of 6, 2 kW</t>
        </is>
      </c>
      <c r="E5512" s="12" t="inlineStr"/>
      <c r="F5512" s="12" t="inlineStr">
        <is>
          <t>MOD-LV 480 V board + 480 V : 13.8 kV step-up</t>
        </is>
      </c>
      <c r="G5512" s="12" t="inlineStr"/>
      <c r="H5512" s="12" t="inlineStr">
        <is>
          <t>T-MOD-3 230 kV gantry extension with arresters</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2</v>
      </c>
      <c r="R5512" s="12" t="n">
        <v>2.8</v>
      </c>
      <c r="S5512" s="12" t="inlineStr">
        <is>
          <t>Duct bank</t>
        </is>
      </c>
      <c r="T5512" s="15" t="n">
        <v>290</v>
      </c>
      <c r="U5512" s="15" t="n">
        <v>36</v>
      </c>
      <c r="V5512" s="15">
        <f>ROUNDUP((T5512+U5512+2*'Read Me'!$B$13)*(1+'Read Me'!$B$12),-1)</f>
        <v/>
      </c>
      <c r="W5512" s="15">
        <f>V5512*N5512*O5512</f>
        <v/>
      </c>
      <c r="X5512" s="12">
        <f>IF(LEFT(I5512,2)="MV",2*N5512*IF(L5512="1/C",O5512,1),0)</f>
        <v/>
      </c>
      <c r="Y5512" s="12">
        <f>IF(OR(LEFT(K5512,4)="LVAX",LEFT(K5512,6)="MV15AX",LEFT(K5512,4)="CTAX",LEFT(K5512,2)="W|"),2*N5512*O5512,0)</f>
        <v/>
      </c>
      <c r="Z5512" s="12" t="inlineStr">
        <is>
          <t>VD 0.4 %</t>
        </is>
      </c>
      <c r="AA5512" s="12">
        <f>N5512*O5512</f>
        <v/>
      </c>
    </row>
    <row r="5513">
      <c r="A5513" s="12" t="inlineStr">
        <is>
          <t>I-P-0345</t>
        </is>
      </c>
      <c r="B5513" s="12" t="inlineStr">
        <is>
          <t>I</t>
        </is>
      </c>
      <c r="C5513" s="12" t="inlineStr">
        <is>
          <t>Modular / portable power</t>
        </is>
      </c>
      <c r="D5513" s="12" t="inlineStr">
        <is>
          <t>Motor 4 of 6, 2 kW</t>
        </is>
      </c>
      <c r="E5513" s="12" t="inlineStr"/>
      <c r="F5513" s="12" t="inlineStr">
        <is>
          <t>MOD-LV 480 V board + 480 V : 13.8 kV step-up</t>
        </is>
      </c>
      <c r="G5513" s="12" t="inlineStr"/>
      <c r="H5513" s="12" t="inlineStr">
        <is>
          <t>T-MOD-3 230 kV gantry extension with arresters</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2</v>
      </c>
      <c r="R5513" s="12" t="n">
        <v>2.8</v>
      </c>
      <c r="S5513" s="12" t="inlineStr">
        <is>
          <t>Duct bank</t>
        </is>
      </c>
      <c r="T5513" s="15" t="n">
        <v>290</v>
      </c>
      <c r="U5513" s="15" t="n">
        <v>36</v>
      </c>
      <c r="V5513" s="15">
        <f>ROUNDUP((T5513+U5513+2*'Read Me'!$B$13)*(1+'Read Me'!$B$12),-1)</f>
        <v/>
      </c>
      <c r="W5513" s="15">
        <f>V5513*N5513*O5513</f>
        <v/>
      </c>
      <c r="X5513" s="12">
        <f>IF(LEFT(I5513,2)="MV",2*N5513*IF(L5513="1/C",O5513,1),0)</f>
        <v/>
      </c>
      <c r="Y5513" s="12">
        <f>IF(OR(LEFT(K5513,4)="LVAX",LEFT(K5513,6)="MV15AX",LEFT(K5513,4)="CTAX",LEFT(K5513,2)="W|"),2*N5513*O5513,0)</f>
        <v/>
      </c>
      <c r="Z5513" s="12" t="inlineStr">
        <is>
          <t>VD 0.4 %</t>
        </is>
      </c>
      <c r="AA5513" s="12">
        <f>N5513*O5513</f>
        <v/>
      </c>
    </row>
    <row r="5514">
      <c r="A5514" s="12" t="inlineStr">
        <is>
          <t>I-P-0346</t>
        </is>
      </c>
      <c r="B5514" s="12" t="inlineStr">
        <is>
          <t>I</t>
        </is>
      </c>
      <c r="C5514" s="12" t="inlineStr">
        <is>
          <t>Modular / portable power</t>
        </is>
      </c>
      <c r="D5514" s="12" t="inlineStr">
        <is>
          <t>Motor 5 of 6, 2 kW</t>
        </is>
      </c>
      <c r="E5514" s="12" t="inlineStr"/>
      <c r="F5514" s="12" t="inlineStr">
        <is>
          <t>MOD-LV 480 V board + 480 V : 13.8 kV step-up</t>
        </is>
      </c>
      <c r="G5514" s="12" t="inlineStr"/>
      <c r="H5514" s="12" t="inlineStr">
        <is>
          <t>T-MOD-3 230 kV gantry extension with arresters</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2</v>
      </c>
      <c r="R5514" s="12" t="n">
        <v>2.8</v>
      </c>
      <c r="S5514" s="12" t="inlineStr">
        <is>
          <t>Duct bank</t>
        </is>
      </c>
      <c r="T5514" s="15" t="n">
        <v>290</v>
      </c>
      <c r="U5514" s="15" t="n">
        <v>36</v>
      </c>
      <c r="V5514" s="15">
        <f>ROUNDUP((T5514+U5514+2*'Read Me'!$B$13)*(1+'Read Me'!$B$12),-1)</f>
        <v/>
      </c>
      <c r="W5514" s="15">
        <f>V5514*N5514*O5514</f>
        <v/>
      </c>
      <c r="X5514" s="12">
        <f>IF(LEFT(I5514,2)="MV",2*N5514*IF(L5514="1/C",O5514,1),0)</f>
        <v/>
      </c>
      <c r="Y5514" s="12">
        <f>IF(OR(LEFT(K5514,4)="LVAX",LEFT(K5514,6)="MV15AX",LEFT(K5514,4)="CTAX",LEFT(K5514,2)="W|"),2*N5514*O5514,0)</f>
        <v/>
      </c>
      <c r="Z5514" s="12" t="inlineStr">
        <is>
          <t>VD 0.4 %</t>
        </is>
      </c>
      <c r="AA5514" s="12">
        <f>N5514*O5514</f>
        <v/>
      </c>
    </row>
    <row r="5515">
      <c r="A5515" s="12" t="inlineStr">
        <is>
          <t>I-P-0347</t>
        </is>
      </c>
      <c r="B5515" s="12" t="inlineStr">
        <is>
          <t>I</t>
        </is>
      </c>
      <c r="C5515" s="12" t="inlineStr">
        <is>
          <t>Modular / portable power</t>
        </is>
      </c>
      <c r="D5515" s="12" t="inlineStr">
        <is>
          <t>Motor 6 of 6, 2 kW</t>
        </is>
      </c>
      <c r="E5515" s="12" t="inlineStr"/>
      <c r="F5515" s="12" t="inlineStr">
        <is>
          <t>MOD-LV 480 V board + 480 V : 13.8 kV step-up</t>
        </is>
      </c>
      <c r="G5515" s="12" t="inlineStr"/>
      <c r="H5515" s="12" t="inlineStr">
        <is>
          <t>T-MOD-3 230 kV gantry extension with arresters</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2</v>
      </c>
      <c r="R5515" s="12" t="n">
        <v>2.8</v>
      </c>
      <c r="S5515" s="12" t="inlineStr">
        <is>
          <t>Duct bank</t>
        </is>
      </c>
      <c r="T5515" s="15" t="n">
        <v>290</v>
      </c>
      <c r="U5515" s="15" t="n">
        <v>36</v>
      </c>
      <c r="V5515" s="15">
        <f>ROUNDUP((T5515+U5515+2*'Read Me'!$B$13)*(1+'Read Me'!$B$12),-1)</f>
        <v/>
      </c>
      <c r="W5515" s="15">
        <f>V5515*N5515*O5515</f>
        <v/>
      </c>
      <c r="X5515" s="12">
        <f>IF(LEFT(I5515,2)="MV",2*N5515*IF(L5515="1/C",O5515,1),0)</f>
        <v/>
      </c>
      <c r="Y5515" s="12">
        <f>IF(OR(LEFT(K5515,4)="LVAX",LEFT(K5515,6)="MV15AX",LEFT(K5515,4)="CTAX",LEFT(K5515,2)="W|"),2*N5515*O5515,0)</f>
        <v/>
      </c>
      <c r="Z5515" s="12" t="inlineStr">
        <is>
          <t>VD 0.4 %</t>
        </is>
      </c>
      <c r="AA5515" s="12">
        <f>N5515*O5515</f>
        <v/>
      </c>
    </row>
    <row r="5516">
      <c r="A5516" s="12" t="inlineStr">
        <is>
          <t>I-P-0348</t>
        </is>
      </c>
      <c r="B5516" s="12" t="inlineStr">
        <is>
          <t>I</t>
        </is>
      </c>
      <c r="C5516" s="12" t="inlineStr">
        <is>
          <t>Modular / portable power</t>
        </is>
      </c>
      <c r="D5516" s="12" t="inlineStr">
        <is>
          <t>TGF-SWG station service from its internal 480 V aux transformer: charger, heaters, HVAC</t>
        </is>
      </c>
      <c r="E5516" s="12" t="inlineStr">
        <is>
          <t>TGF-SWG</t>
        </is>
      </c>
      <c r="F5516" s="12" t="inlineStr">
        <is>
          <t>TGF-SWG: mobile 13.8 kV switchgear trailer (fleet collector)</t>
        </is>
      </c>
      <c r="G5516" s="12" t="inlineStr">
        <is>
          <t>TGF-SWG</t>
        </is>
      </c>
      <c r="H5516" s="12" t="inlineStr">
        <is>
          <t>TGF-SWG: mobile 13.8 kV switchgear trailer (fleet collector)</t>
        </is>
      </c>
      <c r="I5516" s="12" t="inlineStr">
        <is>
          <t>LV 600 V</t>
        </is>
      </c>
      <c r="J5516" s="12" t="inlineStr">
        <is>
          <t>Type TC-ER 600 V 3/C Cu XHHW-2 + ground, PVC jacket</t>
        </is>
      </c>
      <c r="K5516" s="12" t="inlineStr">
        <is>
          <t>LV|3/C+G|2</t>
        </is>
      </c>
      <c r="L5516" s="12" t="inlineStr">
        <is>
          <t>3/C+G</t>
        </is>
      </c>
      <c r="M5516" s="12" t="inlineStr">
        <is>
          <t>2</t>
        </is>
      </c>
      <c r="N5516" s="12" t="n">
        <v>1</v>
      </c>
      <c r="O5516" s="12" t="n">
        <v>1</v>
      </c>
      <c r="P5516" s="12" t="n">
        <v>480</v>
      </c>
      <c r="Q5516" s="12" t="n">
        <v>45</v>
      </c>
      <c r="R5516" s="12" t="n">
        <v>60</v>
      </c>
      <c r="S5516" s="12" t="inlineStr">
        <is>
          <t>Tray</t>
        </is>
      </c>
      <c r="T5516" s="15" t="n">
        <v>40</v>
      </c>
      <c r="U5516" s="15" t="n">
        <v>10</v>
      </c>
      <c r="V5516" s="15">
        <f>ROUNDUP((T5516+U5516+2*'Read Me'!$B$13)*(1+'Read Me'!$B$12),-1)</f>
        <v/>
      </c>
      <c r="W5516" s="15">
        <f>V5516*N5516*O5516</f>
        <v/>
      </c>
      <c r="X5516" s="12">
        <f>IF(LEFT(I5516,2)="MV",2*N5516*IF(L5516="1/C",O5516,1),0)</f>
        <v/>
      </c>
      <c r="Y5516" s="12">
        <f>IF(OR(LEFT(K5516,4)="LVAX",LEFT(K5516,6)="MV15AX",LEFT(K5516,4)="CTAX",LEFT(K5516,2)="W|"),2*N5516*O5516,0)</f>
        <v/>
      </c>
      <c r="Z5516" s="12" t="inlineStr">
        <is>
          <t>internal to the lineup</t>
        </is>
      </c>
      <c r="AA5516" s="12">
        <f>N5516*O5516</f>
        <v/>
      </c>
    </row>
    <row r="5517">
      <c r="A5517" s="12" t="inlineStr">
        <is>
          <t>I-P-0349</t>
        </is>
      </c>
      <c r="B5517" s="12" t="inlineStr">
        <is>
          <t>I</t>
        </is>
      </c>
      <c r="C5517" s="12" t="inlineStr">
        <is>
          <t>Modular / portable power</t>
        </is>
      </c>
      <c r="D5517" s="12" t="inlineStr">
        <is>
          <t>Motor 1 of 6, 22 kW</t>
        </is>
      </c>
      <c r="E5517" s="12" t="inlineStr"/>
      <c r="F5517" s="12" t="inlineStr">
        <is>
          <t>MOD-LV 480 V board + 480 V : 13.8 kV step-up</t>
        </is>
      </c>
      <c r="G5517" s="12" t="inlineStr">
        <is>
          <t>TM-1</t>
        </is>
      </c>
      <c r="H5517" s="12" t="inlineStr">
        <is>
          <t>TM-1: trailer-mounted aeroderivative GT (TM2500 class, ~35 MW)</t>
        </is>
      </c>
      <c r="I5517" s="12" t="inlineStr">
        <is>
          <t>LV 600 V</t>
        </is>
      </c>
      <c r="J5517" s="12" t="inlineStr">
        <is>
          <t>Type TC-ER 600 V 3/C Cu XHHW-2 + ground, PVC jacket</t>
        </is>
      </c>
      <c r="K5517" s="12" t="inlineStr">
        <is>
          <t>LV|3/C+G|6</t>
        </is>
      </c>
      <c r="L5517" s="12" t="inlineStr">
        <is>
          <t>3/C+G</t>
        </is>
      </c>
      <c r="M5517" s="12" t="inlineStr">
        <is>
          <t>6</t>
        </is>
      </c>
      <c r="N5517" s="12" t="n">
        <v>1</v>
      </c>
      <c r="O5517" s="12" t="n">
        <v>1</v>
      </c>
      <c r="P5517" s="12" t="n">
        <v>480</v>
      </c>
      <c r="Q5517" s="12" t="n">
        <v>22</v>
      </c>
      <c r="R5517" s="12" t="n">
        <v>31.1</v>
      </c>
      <c r="S5517" s="12" t="inlineStr">
        <is>
          <t>Duct bank</t>
        </is>
      </c>
      <c r="T5517" s="15" t="n">
        <v>323</v>
      </c>
      <c r="U5517" s="15" t="n">
        <v>38</v>
      </c>
      <c r="V5517" s="15">
        <f>ROUNDUP((T5517+U5517+2*'Read Me'!$B$13)*(1+'Read Me'!$B$12),-1)</f>
        <v/>
      </c>
      <c r="W5517" s="15">
        <f>V5517*N5517*O5517</f>
        <v/>
      </c>
      <c r="X5517" s="12">
        <f>IF(LEFT(I5517,2)="MV",2*N5517*IF(L5517="1/C",O5517,1),0)</f>
        <v/>
      </c>
      <c r="Y5517" s="12">
        <f>IF(OR(LEFT(K5517,4)="LVAX",LEFT(K5517,6)="MV15AX",LEFT(K5517,4)="CTAX",LEFT(K5517,2)="W|"),2*N5517*O5517,0)</f>
        <v/>
      </c>
      <c r="Z5517" s="12" t="inlineStr">
        <is>
          <t>VD 2.2 %</t>
        </is>
      </c>
      <c r="AA5517" s="12">
        <f>N5517*O5517</f>
        <v/>
      </c>
    </row>
    <row r="5518">
      <c r="A5518" s="12" t="inlineStr">
        <is>
          <t>I-P-0350</t>
        </is>
      </c>
      <c r="B5518" s="12" t="inlineStr">
        <is>
          <t>I</t>
        </is>
      </c>
      <c r="C5518" s="12" t="inlineStr">
        <is>
          <t>Modular / portable power</t>
        </is>
      </c>
      <c r="D5518" s="12" t="inlineStr">
        <is>
          <t>Motor 2 of 6, 22 kW</t>
        </is>
      </c>
      <c r="E5518" s="12" t="inlineStr"/>
      <c r="F5518" s="12" t="inlineStr">
        <is>
          <t>MOD-LV 480 V board + 480 V : 13.8 kV step-up</t>
        </is>
      </c>
      <c r="G5518" s="12" t="inlineStr">
        <is>
          <t>TM-1</t>
        </is>
      </c>
      <c r="H5518" s="12" t="inlineStr">
        <is>
          <t>TM-1: trailer-mounted aeroderivative GT (TM2500 class, ~35 MW)</t>
        </is>
      </c>
      <c r="I5518" s="12" t="inlineStr">
        <is>
          <t>LV 600 V</t>
        </is>
      </c>
      <c r="J5518" s="12" t="inlineStr">
        <is>
          <t>Type TC-ER 600 V 3/C Cu XHHW-2 + ground, PVC jacket</t>
        </is>
      </c>
      <c r="K5518" s="12" t="inlineStr">
        <is>
          <t>LV|3/C+G|6</t>
        </is>
      </c>
      <c r="L5518" s="12" t="inlineStr">
        <is>
          <t>3/C+G</t>
        </is>
      </c>
      <c r="M5518" s="12" t="inlineStr">
        <is>
          <t>6</t>
        </is>
      </c>
      <c r="N5518" s="12" t="n">
        <v>1</v>
      </c>
      <c r="O5518" s="12" t="n">
        <v>1</v>
      </c>
      <c r="P5518" s="12" t="n">
        <v>480</v>
      </c>
      <c r="Q5518" s="12" t="n">
        <v>22</v>
      </c>
      <c r="R5518" s="12" t="n">
        <v>31.1</v>
      </c>
      <c r="S5518" s="12" t="inlineStr">
        <is>
          <t>Duct bank</t>
        </is>
      </c>
      <c r="T5518" s="15" t="n">
        <v>323</v>
      </c>
      <c r="U5518" s="15" t="n">
        <v>38</v>
      </c>
      <c r="V5518" s="15">
        <f>ROUNDUP((T5518+U5518+2*'Read Me'!$B$13)*(1+'Read Me'!$B$12),-1)</f>
        <v/>
      </c>
      <c r="W5518" s="15">
        <f>V5518*N5518*O5518</f>
        <v/>
      </c>
      <c r="X5518" s="12">
        <f>IF(LEFT(I5518,2)="MV",2*N5518*IF(L5518="1/C",O5518,1),0)</f>
        <v/>
      </c>
      <c r="Y5518" s="12">
        <f>IF(OR(LEFT(K5518,4)="LVAX",LEFT(K5518,6)="MV15AX",LEFT(K5518,4)="CTAX",LEFT(K5518,2)="W|"),2*N5518*O5518,0)</f>
        <v/>
      </c>
      <c r="Z5518" s="12" t="inlineStr">
        <is>
          <t>VD 2.2 %</t>
        </is>
      </c>
      <c r="AA5518" s="12">
        <f>N5518*O5518</f>
        <v/>
      </c>
    </row>
    <row r="5519">
      <c r="A5519" s="12" t="inlineStr">
        <is>
          <t>I-P-0351</t>
        </is>
      </c>
      <c r="B5519" s="12" t="inlineStr">
        <is>
          <t>I</t>
        </is>
      </c>
      <c r="C5519" s="12" t="inlineStr">
        <is>
          <t>Modular / portable power</t>
        </is>
      </c>
      <c r="D5519" s="12" t="inlineStr">
        <is>
          <t>Motor 3 of 6, 22 kW</t>
        </is>
      </c>
      <c r="E5519" s="12" t="inlineStr"/>
      <c r="F5519" s="12" t="inlineStr">
        <is>
          <t>MOD-LV 480 V board + 480 V : 13.8 kV step-up</t>
        </is>
      </c>
      <c r="G5519" s="12" t="inlineStr">
        <is>
          <t>TM-1</t>
        </is>
      </c>
      <c r="H5519" s="12" t="inlineStr">
        <is>
          <t>TM-1: trailer-mounted aeroderivative GT (TM2500 class, ~35 MW)</t>
        </is>
      </c>
      <c r="I5519" s="12" t="inlineStr">
        <is>
          <t>LV 600 V</t>
        </is>
      </c>
      <c r="J5519" s="12" t="inlineStr">
        <is>
          <t>Type TC-ER 600 V 3/C Cu XHHW-2 + ground, PVC jacket</t>
        </is>
      </c>
      <c r="K5519" s="12" t="inlineStr">
        <is>
          <t>LV|3/C+G|6</t>
        </is>
      </c>
      <c r="L5519" s="12" t="inlineStr">
        <is>
          <t>3/C+G</t>
        </is>
      </c>
      <c r="M5519" s="12" t="inlineStr">
        <is>
          <t>6</t>
        </is>
      </c>
      <c r="N5519" s="12" t="n">
        <v>1</v>
      </c>
      <c r="O5519" s="12" t="n">
        <v>1</v>
      </c>
      <c r="P5519" s="12" t="n">
        <v>480</v>
      </c>
      <c r="Q5519" s="12" t="n">
        <v>22</v>
      </c>
      <c r="R5519" s="12" t="n">
        <v>31.1</v>
      </c>
      <c r="S5519" s="12" t="inlineStr">
        <is>
          <t>Duct bank</t>
        </is>
      </c>
      <c r="T5519" s="15" t="n">
        <v>323</v>
      </c>
      <c r="U5519" s="15" t="n">
        <v>38</v>
      </c>
      <c r="V5519" s="15">
        <f>ROUNDUP((T5519+U5519+2*'Read Me'!$B$13)*(1+'Read Me'!$B$12),-1)</f>
        <v/>
      </c>
      <c r="W5519" s="15">
        <f>V5519*N5519*O5519</f>
        <v/>
      </c>
      <c r="X5519" s="12">
        <f>IF(LEFT(I5519,2)="MV",2*N5519*IF(L5519="1/C",O5519,1),0)</f>
        <v/>
      </c>
      <c r="Y5519" s="12">
        <f>IF(OR(LEFT(K5519,4)="LVAX",LEFT(K5519,6)="MV15AX",LEFT(K5519,4)="CTAX",LEFT(K5519,2)="W|"),2*N5519*O5519,0)</f>
        <v/>
      </c>
      <c r="Z5519" s="12" t="inlineStr">
        <is>
          <t>VD 2.2 %</t>
        </is>
      </c>
      <c r="AA5519" s="12">
        <f>N5519*O5519</f>
        <v/>
      </c>
    </row>
    <row r="5520">
      <c r="A5520" s="12" t="inlineStr">
        <is>
          <t>I-P-0352</t>
        </is>
      </c>
      <c r="B5520" s="12" t="inlineStr">
        <is>
          <t>I</t>
        </is>
      </c>
      <c r="C5520" s="12" t="inlineStr">
        <is>
          <t>Modular / portable power</t>
        </is>
      </c>
      <c r="D5520" s="12" t="inlineStr">
        <is>
          <t>Motor 4 of 6, 22 kW</t>
        </is>
      </c>
      <c r="E5520" s="12" t="inlineStr"/>
      <c r="F5520" s="12" t="inlineStr">
        <is>
          <t>MOD-LV 480 V board + 480 V : 13.8 kV step-up</t>
        </is>
      </c>
      <c r="G5520" s="12" t="inlineStr">
        <is>
          <t>TM-1</t>
        </is>
      </c>
      <c r="H5520" s="12" t="inlineStr">
        <is>
          <t>TM-1: trailer-mounted aeroderivative GT (TM2500 class, ~35 MW)</t>
        </is>
      </c>
      <c r="I5520" s="12" t="inlineStr">
        <is>
          <t>LV 600 V</t>
        </is>
      </c>
      <c r="J5520" s="12" t="inlineStr">
        <is>
          <t>Type TC-ER 600 V 3/C Cu XHHW-2 + ground, PVC jacket</t>
        </is>
      </c>
      <c r="K5520" s="12" t="inlineStr">
        <is>
          <t>LV|3/C+G|6</t>
        </is>
      </c>
      <c r="L5520" s="12" t="inlineStr">
        <is>
          <t>3/C+G</t>
        </is>
      </c>
      <c r="M5520" s="12" t="inlineStr">
        <is>
          <t>6</t>
        </is>
      </c>
      <c r="N5520" s="12" t="n">
        <v>1</v>
      </c>
      <c r="O5520" s="12" t="n">
        <v>1</v>
      </c>
      <c r="P5520" s="12" t="n">
        <v>480</v>
      </c>
      <c r="Q5520" s="12" t="n">
        <v>22</v>
      </c>
      <c r="R5520" s="12" t="n">
        <v>31.1</v>
      </c>
      <c r="S5520" s="12" t="inlineStr">
        <is>
          <t>Duct bank</t>
        </is>
      </c>
      <c r="T5520" s="15" t="n">
        <v>323</v>
      </c>
      <c r="U5520" s="15" t="n">
        <v>38</v>
      </c>
      <c r="V5520" s="15">
        <f>ROUNDUP((T5520+U5520+2*'Read Me'!$B$13)*(1+'Read Me'!$B$12),-1)</f>
        <v/>
      </c>
      <c r="W5520" s="15">
        <f>V5520*N5520*O5520</f>
        <v/>
      </c>
      <c r="X5520" s="12">
        <f>IF(LEFT(I5520,2)="MV",2*N5520*IF(L5520="1/C",O5520,1),0)</f>
        <v/>
      </c>
      <c r="Y5520" s="12">
        <f>IF(OR(LEFT(K5520,4)="LVAX",LEFT(K5520,6)="MV15AX",LEFT(K5520,4)="CTAX",LEFT(K5520,2)="W|"),2*N5520*O5520,0)</f>
        <v/>
      </c>
      <c r="Z5520" s="12" t="inlineStr">
        <is>
          <t>VD 2.2 %</t>
        </is>
      </c>
      <c r="AA5520" s="12">
        <f>N5520*O5520</f>
        <v/>
      </c>
    </row>
    <row r="5521">
      <c r="A5521" s="12" t="inlineStr">
        <is>
          <t>I-P-0353</t>
        </is>
      </c>
      <c r="B5521" s="12" t="inlineStr">
        <is>
          <t>I</t>
        </is>
      </c>
      <c r="C5521" s="12" t="inlineStr">
        <is>
          <t>Modular / portable power</t>
        </is>
      </c>
      <c r="D5521" s="12" t="inlineStr">
        <is>
          <t>Motor 5 of 6, 22 kW</t>
        </is>
      </c>
      <c r="E5521" s="12" t="inlineStr"/>
      <c r="F5521" s="12" t="inlineStr">
        <is>
          <t>MOD-LV 480 V board + 480 V : 13.8 kV step-up</t>
        </is>
      </c>
      <c r="G5521" s="12" t="inlineStr">
        <is>
          <t>TM-1</t>
        </is>
      </c>
      <c r="H5521" s="12" t="inlineStr">
        <is>
          <t>TM-1: trailer-mounted aeroderivative GT (TM2500 class, ~35 MW)</t>
        </is>
      </c>
      <c r="I5521" s="12" t="inlineStr">
        <is>
          <t>LV 600 V</t>
        </is>
      </c>
      <c r="J5521" s="12" t="inlineStr">
        <is>
          <t>Type TC-ER 600 V 3/C Cu XHHW-2 + ground, PVC jacket</t>
        </is>
      </c>
      <c r="K5521" s="12" t="inlineStr">
        <is>
          <t>LV|3/C+G|6</t>
        </is>
      </c>
      <c r="L5521" s="12" t="inlineStr">
        <is>
          <t>3/C+G</t>
        </is>
      </c>
      <c r="M5521" s="12" t="inlineStr">
        <is>
          <t>6</t>
        </is>
      </c>
      <c r="N5521" s="12" t="n">
        <v>1</v>
      </c>
      <c r="O5521" s="12" t="n">
        <v>1</v>
      </c>
      <c r="P5521" s="12" t="n">
        <v>480</v>
      </c>
      <c r="Q5521" s="12" t="n">
        <v>22</v>
      </c>
      <c r="R5521" s="12" t="n">
        <v>31.1</v>
      </c>
      <c r="S5521" s="12" t="inlineStr">
        <is>
          <t>Duct bank</t>
        </is>
      </c>
      <c r="T5521" s="15" t="n">
        <v>323</v>
      </c>
      <c r="U5521" s="15" t="n">
        <v>38</v>
      </c>
      <c r="V5521" s="15">
        <f>ROUNDUP((T5521+U5521+2*'Read Me'!$B$13)*(1+'Read Me'!$B$12),-1)</f>
        <v/>
      </c>
      <c r="W5521" s="15">
        <f>V5521*N5521*O5521</f>
        <v/>
      </c>
      <c r="X5521" s="12">
        <f>IF(LEFT(I5521,2)="MV",2*N5521*IF(L5521="1/C",O5521,1),0)</f>
        <v/>
      </c>
      <c r="Y5521" s="12">
        <f>IF(OR(LEFT(K5521,4)="LVAX",LEFT(K5521,6)="MV15AX",LEFT(K5521,4)="CTAX",LEFT(K5521,2)="W|"),2*N5521*O5521,0)</f>
        <v/>
      </c>
      <c r="Z5521" s="12" t="inlineStr">
        <is>
          <t>VD 2.2 %</t>
        </is>
      </c>
      <c r="AA5521" s="12">
        <f>N5521*O5521</f>
        <v/>
      </c>
    </row>
    <row r="5522">
      <c r="A5522" s="12" t="inlineStr">
        <is>
          <t>I-P-0354</t>
        </is>
      </c>
      <c r="B5522" s="12" t="inlineStr">
        <is>
          <t>I</t>
        </is>
      </c>
      <c r="C5522" s="12" t="inlineStr">
        <is>
          <t>Modular / portable power</t>
        </is>
      </c>
      <c r="D5522" s="12" t="inlineStr">
        <is>
          <t>Motor 6 of 6, 22 kW</t>
        </is>
      </c>
      <c r="E5522" s="12" t="inlineStr"/>
      <c r="F5522" s="12" t="inlineStr">
        <is>
          <t>MOD-LV 480 V board + 480 V : 13.8 kV step-up</t>
        </is>
      </c>
      <c r="G5522" s="12" t="inlineStr">
        <is>
          <t>TM-1</t>
        </is>
      </c>
      <c r="H5522" s="12" t="inlineStr">
        <is>
          <t>TM-1: trailer-mounted aeroderivative GT (TM2500 class, ~35 MW)</t>
        </is>
      </c>
      <c r="I5522" s="12" t="inlineStr">
        <is>
          <t>LV 600 V</t>
        </is>
      </c>
      <c r="J5522" s="12" t="inlineStr">
        <is>
          <t>Type TC-ER 600 V 3/C Cu XHHW-2 + ground, PVC jacket</t>
        </is>
      </c>
      <c r="K5522" s="12" t="inlineStr">
        <is>
          <t>LV|3/C+G|6</t>
        </is>
      </c>
      <c r="L5522" s="12" t="inlineStr">
        <is>
          <t>3/C+G</t>
        </is>
      </c>
      <c r="M5522" s="12" t="inlineStr">
        <is>
          <t>6</t>
        </is>
      </c>
      <c r="N5522" s="12" t="n">
        <v>1</v>
      </c>
      <c r="O5522" s="12" t="n">
        <v>1</v>
      </c>
      <c r="P5522" s="12" t="n">
        <v>480</v>
      </c>
      <c r="Q5522" s="12" t="n">
        <v>22</v>
      </c>
      <c r="R5522" s="12" t="n">
        <v>31.1</v>
      </c>
      <c r="S5522" s="12" t="inlineStr">
        <is>
          <t>Duct bank</t>
        </is>
      </c>
      <c r="T5522" s="15" t="n">
        <v>323</v>
      </c>
      <c r="U5522" s="15" t="n">
        <v>38</v>
      </c>
      <c r="V5522" s="15">
        <f>ROUNDUP((T5522+U5522+2*'Read Me'!$B$13)*(1+'Read Me'!$B$12),-1)</f>
        <v/>
      </c>
      <c r="W5522" s="15">
        <f>V5522*N5522*O5522</f>
        <v/>
      </c>
      <c r="X5522" s="12">
        <f>IF(LEFT(I5522,2)="MV",2*N5522*IF(L5522="1/C",O5522,1),0)</f>
        <v/>
      </c>
      <c r="Y5522" s="12">
        <f>IF(OR(LEFT(K5522,4)="LVAX",LEFT(K5522,6)="MV15AX",LEFT(K5522,4)="CTAX",LEFT(K5522,2)="W|"),2*N5522*O5522,0)</f>
        <v/>
      </c>
      <c r="Z5522" s="12" t="inlineStr">
        <is>
          <t>VD 2.2 %</t>
        </is>
      </c>
      <c r="AA5522" s="12">
        <f>N5522*O5522</f>
        <v/>
      </c>
    </row>
    <row r="5523">
      <c r="A5523" s="12" t="inlineStr">
        <is>
          <t>I-P-0355</t>
        </is>
      </c>
      <c r="B5523" s="12" t="inlineStr">
        <is>
          <t>I</t>
        </is>
      </c>
      <c r="C5523" s="12" t="inlineStr">
        <is>
          <t>Modular / portable power</t>
        </is>
      </c>
      <c r="D5523" s="12" t="inlineStr">
        <is>
          <t>Motor 1 of 2, 75 kW</t>
        </is>
      </c>
      <c r="E5523" s="12" t="inlineStr"/>
      <c r="F5523" s="12" t="inlineStr">
        <is>
          <t>SC-2 PCM + 15 kV GCB</t>
        </is>
      </c>
      <c r="G5523" s="12" t="inlineStr"/>
      <c r="H5523" s="12" t="inlineStr">
        <is>
          <t>Water-injection skid</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75</v>
      </c>
      <c r="R5523" s="12" t="n">
        <v>106.1</v>
      </c>
      <c r="S5523" s="12" t="inlineStr">
        <is>
          <t>Duct bank</t>
        </is>
      </c>
      <c r="T5523" s="15" t="n">
        <v>0</v>
      </c>
      <c r="U5523" s="15" t="n">
        <v>60</v>
      </c>
      <c r="V5523" s="15">
        <f>ROUNDUP((T5523+U5523+2*'Read Me'!$B$13)*(1+'Read Me'!$B$12),-1)</f>
        <v/>
      </c>
      <c r="W5523" s="15">
        <f>V5523*N5523*O5523</f>
        <v/>
      </c>
      <c r="X5523" s="12">
        <f>IF(LEFT(I5523,2)="MV",2*N5523*IF(L5523="1/C",O5523,1),0)</f>
        <v/>
      </c>
      <c r="Y5523" s="12">
        <f>IF(OR(LEFT(K5523,4)="LVAX",LEFT(K5523,6)="MV15AX",LEFT(K5523,4)="CTAX",LEFT(K5523,2)="W|"),2*N5523*O5523,0)</f>
        <v/>
      </c>
      <c r="Z5523" s="12" t="inlineStr">
        <is>
          <t>VD 0.3 %</t>
        </is>
      </c>
      <c r="AA5523" s="12">
        <f>N5523*O5523</f>
        <v/>
      </c>
    </row>
    <row r="5524">
      <c r="A5524" s="12" t="inlineStr">
        <is>
          <t>I-P-0356</t>
        </is>
      </c>
      <c r="B5524" s="12" t="inlineStr">
        <is>
          <t>I</t>
        </is>
      </c>
      <c r="C5524" s="12" t="inlineStr">
        <is>
          <t>Modular / portable power</t>
        </is>
      </c>
      <c r="D5524" s="12" t="inlineStr">
        <is>
          <t>Motor 2 of 2, 75 kW</t>
        </is>
      </c>
      <c r="E5524" s="12" t="inlineStr"/>
      <c r="F5524" s="12" t="inlineStr">
        <is>
          <t>SC-2 PCM + 15 kV GCB</t>
        </is>
      </c>
      <c r="G5524" s="12" t="inlineStr"/>
      <c r="H5524" s="12" t="inlineStr">
        <is>
          <t>Water-injection skid</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75</v>
      </c>
      <c r="R5524" s="12" t="n">
        <v>106.1</v>
      </c>
      <c r="S5524" s="12" t="inlineStr">
        <is>
          <t>Duct bank</t>
        </is>
      </c>
      <c r="T5524" s="15" t="n">
        <v>0</v>
      </c>
      <c r="U5524" s="15" t="n">
        <v>60</v>
      </c>
      <c r="V5524" s="15">
        <f>ROUNDUP((T5524+U5524+2*'Read Me'!$B$13)*(1+'Read Me'!$B$12),-1)</f>
        <v/>
      </c>
      <c r="W5524" s="15">
        <f>V5524*N5524*O5524</f>
        <v/>
      </c>
      <c r="X5524" s="12">
        <f>IF(LEFT(I5524,2)="MV",2*N5524*IF(L5524="1/C",O5524,1),0)</f>
        <v/>
      </c>
      <c r="Y5524" s="12">
        <f>IF(OR(LEFT(K5524,4)="LVAX",LEFT(K5524,6)="MV15AX",LEFT(K5524,4)="CTAX",LEFT(K5524,2)="W|"),2*N5524*O5524,0)</f>
        <v/>
      </c>
      <c r="Z5524" s="12" t="inlineStr">
        <is>
          <t>VD 0.3 %</t>
        </is>
      </c>
      <c r="AA5524" s="12">
        <f>N5524*O5524</f>
        <v/>
      </c>
    </row>
    <row r="5525">
      <c r="A5525" s="12" t="inlineStr">
        <is>
          <t>I-MV-0001</t>
        </is>
      </c>
      <c r="B5525" s="12" t="inlineStr">
        <is>
          <t>I</t>
        </is>
      </c>
      <c r="C5525" s="12" t="inlineStr">
        <is>
          <t>Modular / portable power</t>
        </is>
      </c>
      <c r="D5525" s="12" t="inlineStr">
        <is>
          <t>AX-1 generator neutral to its high-resistance grounding resistor (in the package)</t>
        </is>
      </c>
      <c r="E5525" s="12" t="inlineStr">
        <is>
          <t>AX-1</t>
        </is>
      </c>
      <c r="F5525" s="12" t="inlineStr">
        <is>
          <t xml:space="preserve">AX-1: compact modular aeroderivative installation, LM2500XPRESS class </t>
        </is>
      </c>
      <c r="G5525" s="12" t="inlineStr">
        <is>
          <t>AX-1</t>
        </is>
      </c>
      <c r="H5525" s="12" t="inlineStr">
        <is>
          <t xml:space="preserve">AX-1: compact modular aeroderivative installation, LM2500XPRESS class </t>
        </is>
      </c>
      <c r="I5525" s="12" t="inlineStr">
        <is>
          <t>MV 15 kV</t>
        </is>
      </c>
      <c r="J5525" s="12" t="inlineStr">
        <is>
          <t>MV-105 15 kV 1/C Cu, EPR 133%, Cu tape shield, PVC jacket (triplexed)</t>
        </is>
      </c>
      <c r="K5525" s="12" t="inlineStr">
        <is>
          <t>MV15|1/C|2</t>
        </is>
      </c>
      <c r="L5525" s="12" t="inlineStr">
        <is>
          <t>1/C</t>
        </is>
      </c>
      <c r="M5525" s="12" t="inlineStr">
        <is>
          <t>2</t>
        </is>
      </c>
      <c r="N5525" s="12" t="n">
        <v>1</v>
      </c>
      <c r="O5525" s="12" t="n">
        <v>1</v>
      </c>
      <c r="P5525" s="12" t="n">
        <v>13800</v>
      </c>
      <c r="Q5525" s="12" t="n"/>
      <c r="R5525" s="12" t="n"/>
      <c r="S5525" s="12" t="inlineStr">
        <is>
          <t>Conduit</t>
        </is>
      </c>
      <c r="T5525" s="15" t="n">
        <v>15</v>
      </c>
      <c r="U5525" s="15" t="n">
        <v>5</v>
      </c>
      <c r="V5525" s="15">
        <f>ROUNDUP((T5525+U5525+2*'Read Me'!$B$13)*(1+'Read Me'!$B$12),-1)</f>
        <v/>
      </c>
      <c r="W5525" s="15">
        <f>V5525*N5525*O5525</f>
        <v/>
      </c>
      <c r="X5525" s="12">
        <f>IF(LEFT(I5525,2)="MV",2*N5525*IF(L5525="1/C",O5525,1),0)</f>
        <v/>
      </c>
      <c r="Y5525" s="12">
        <f>IF(OR(LEFT(K5525,4)="LVAX",LEFT(K5525,6)="MV15AX",LEFT(K5525,4)="CTAX",LEFT(K5525,2)="W|"),2*N5525*O5525,0)</f>
        <v/>
      </c>
      <c r="Z5525" s="12" t="inlineStr">
        <is>
          <t>NGR in the generator / terminal-box enclosure</t>
        </is>
      </c>
      <c r="AA5525" s="12">
        <f>N5525*O5525</f>
        <v/>
      </c>
    </row>
    <row r="5526">
      <c r="A5526" s="12" t="inlineStr">
        <is>
          <t>I-MV-0002</t>
        </is>
      </c>
      <c r="B5526" s="12" t="inlineStr">
        <is>
          <t>I</t>
        </is>
      </c>
      <c r="C5526" s="12" t="inlineStr">
        <is>
          <t>Modular / portable power</t>
        </is>
      </c>
      <c r="D5526" s="12" t="inlineStr">
        <is>
          <t>AX-1 13.8 kV generator leads to AX-GSU</t>
        </is>
      </c>
      <c r="E5526" s="12" t="inlineStr">
        <is>
          <t>AX-1</t>
        </is>
      </c>
      <c r="F5526" s="12" t="inlineStr">
        <is>
          <t xml:space="preserve">AX-1: compact modular aeroderivative installation, LM2500XPRESS class </t>
        </is>
      </c>
      <c r="G5526" s="12" t="inlineStr">
        <is>
          <t>AX-GSU</t>
        </is>
      </c>
      <c r="H5526" s="12" t="inlineStr">
        <is>
          <t>AX-GSU: 13.8 / 34.5 kV step-up, ~45 MVA (AX-1 unit step-up)</t>
        </is>
      </c>
      <c r="I5526" s="12" t="inlineStr">
        <is>
          <t>MV 15 kV</t>
        </is>
      </c>
      <c r="J5526" s="12" t="inlineStr">
        <is>
          <t>MV-105 15 kV 1/C Cu, EPR 133%, Cu tape shield, PVC jacket (triplexed)</t>
        </is>
      </c>
      <c r="K5526" s="12" t="inlineStr">
        <is>
          <t>MV15|1/C|750</t>
        </is>
      </c>
      <c r="L5526" s="12" t="inlineStr">
        <is>
          <t>1/C</t>
        </is>
      </c>
      <c r="M5526" s="12" t="inlineStr">
        <is>
          <t>750 kcmil</t>
        </is>
      </c>
      <c r="N5526" s="12" t="n">
        <v>4</v>
      </c>
      <c r="O5526" s="12" t="n">
        <v>3</v>
      </c>
      <c r="P5526" s="12" t="n">
        <v>13800</v>
      </c>
      <c r="Q5526" s="12" t="n">
        <v>35000</v>
      </c>
      <c r="R5526" s="12" t="n">
        <v>1627</v>
      </c>
      <c r="S5526" s="12" t="inlineStr">
        <is>
          <t>Duct bank</t>
        </is>
      </c>
      <c r="T5526" s="15" t="n">
        <v>28</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4 sets per phase</t>
        </is>
      </c>
      <c r="AA5526" s="12">
        <f>N5526*O5526</f>
        <v/>
      </c>
    </row>
    <row r="5527">
      <c r="A5527" s="12" t="inlineStr">
        <is>
          <t>I-MV-0003</t>
        </is>
      </c>
      <c r="B5527" s="12" t="inlineStr">
        <is>
          <t>I</t>
        </is>
      </c>
      <c r="C5527" s="12" t="inlineStr">
        <is>
          <t>Modular / portable power</t>
        </is>
      </c>
      <c r="D5527" s="12" t="inlineStr">
        <is>
          <t>CGE-1 generator neutral to its high-resistance grounding resistor (in the package)</t>
        </is>
      </c>
      <c r="E5527" s="12" t="inlineStr">
        <is>
          <t>CGE-1</t>
        </is>
      </c>
      <c r="F5527" s="12" t="inlineStr">
        <is>
          <t>CGE-1: containerized gas-engine generator ~4.4 MW, 13.8 kV (40 ft engi</t>
        </is>
      </c>
      <c r="G5527" s="12" t="inlineStr">
        <is>
          <t>CGE-1</t>
        </is>
      </c>
      <c r="H5527" s="12" t="inlineStr">
        <is>
          <t>CGE-1: containerized gas-engine generator ~4.4 MW, 13.8 kV (40 ft engi</t>
        </is>
      </c>
      <c r="I5527" s="12" t="inlineStr">
        <is>
          <t>MV 15 kV</t>
        </is>
      </c>
      <c r="J5527" s="12" t="inlineStr">
        <is>
          <t>MV-105 15 kV 1/C Cu, EPR 133%, Cu tape shield, PVC jacket (triplexed)</t>
        </is>
      </c>
      <c r="K5527" s="12" t="inlineStr">
        <is>
          <t>MV15|1/C|2</t>
        </is>
      </c>
      <c r="L5527" s="12" t="inlineStr">
        <is>
          <t>1/C</t>
        </is>
      </c>
      <c r="M5527" s="12" t="inlineStr">
        <is>
          <t>2</t>
        </is>
      </c>
      <c r="N5527" s="12" t="n">
        <v>1</v>
      </c>
      <c r="O5527" s="12" t="n">
        <v>1</v>
      </c>
      <c r="P5527" s="12" t="n">
        <v>13800</v>
      </c>
      <c r="Q5527" s="12" t="n"/>
      <c r="R5527" s="12" t="n"/>
      <c r="S5527" s="12" t="inlineStr">
        <is>
          <t>Conduit</t>
        </is>
      </c>
      <c r="T5527" s="15" t="n">
        <v>15</v>
      </c>
      <c r="U5527" s="15" t="n">
        <v>5</v>
      </c>
      <c r="V5527" s="15">
        <f>ROUNDUP((T5527+U5527+2*'Read Me'!$B$13)*(1+'Read Me'!$B$12),-1)</f>
        <v/>
      </c>
      <c r="W5527" s="15">
        <f>V5527*N5527*O5527</f>
        <v/>
      </c>
      <c r="X5527" s="12">
        <f>IF(LEFT(I5527,2)="MV",2*N5527*IF(L5527="1/C",O5527,1),0)</f>
        <v/>
      </c>
      <c r="Y5527" s="12">
        <f>IF(OR(LEFT(K5527,4)="LVAX",LEFT(K5527,6)="MV15AX",LEFT(K5527,4)="CTAX",LEFT(K5527,2)="W|"),2*N5527*O5527,0)</f>
        <v/>
      </c>
      <c r="Z5527" s="12" t="inlineStr">
        <is>
          <t>NGR in the generator / terminal-box enclosure</t>
        </is>
      </c>
      <c r="AA5527" s="12">
        <f>N5527*O5527</f>
        <v/>
      </c>
    </row>
    <row r="5528">
      <c r="A5528" s="12" t="inlineStr">
        <is>
          <t>I-MV-0004</t>
        </is>
      </c>
      <c r="B5528" s="12" t="inlineStr">
        <is>
          <t>I</t>
        </is>
      </c>
      <c r="C5528" s="12" t="inlineStr">
        <is>
          <t>Modular / portable power</t>
        </is>
      </c>
      <c r="D5528" s="12" t="inlineStr">
        <is>
          <t>CGE-2 generator neutral to its high-resistance grounding resistor (in the package)</t>
        </is>
      </c>
      <c r="E5528" s="12" t="inlineStr">
        <is>
          <t>CGE-2</t>
        </is>
      </c>
      <c r="F5528" s="12" t="inlineStr">
        <is>
          <t>CGE-2: containerized gas-engine generator ~4.4 MW, 13.8 kV (40 ft engi</t>
        </is>
      </c>
      <c r="G5528" s="12" t="inlineStr">
        <is>
          <t>CGE-2</t>
        </is>
      </c>
      <c r="H5528" s="12" t="inlineStr">
        <is>
          <t>CGE-2: containerized gas-engine generator ~4.4 MW, 13.8 kV (40 ft engi</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I-MV-0005</t>
        </is>
      </c>
      <c r="B5529" s="12" t="inlineStr">
        <is>
          <t>I</t>
        </is>
      </c>
      <c r="C5529" s="12" t="inlineStr">
        <is>
          <t>Modular / portable power</t>
        </is>
      </c>
      <c r="D5529" s="12" t="inlineStr">
        <is>
          <t>CGE-3 generator neutral to its high-resistance grounding resistor (in the package)</t>
        </is>
      </c>
      <c r="E5529" s="12" t="inlineStr">
        <is>
          <t>CGE-3</t>
        </is>
      </c>
      <c r="F5529" s="12" t="inlineStr">
        <is>
          <t>CGE-3: containerized gas-engine generator ~4.4 MW, 13.8 kV (40 ft engi</t>
        </is>
      </c>
      <c r="G5529" s="12" t="inlineStr">
        <is>
          <t>CGE-3</t>
        </is>
      </c>
      <c r="H5529" s="12" t="inlineStr">
        <is>
          <t>CGE-3: containerized gas-engine generator ~4.4 MW, 13.8 kV (40 ft engi</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I-MV-0006</t>
        </is>
      </c>
      <c r="B5530" s="12" t="inlineStr">
        <is>
          <t>I</t>
        </is>
      </c>
      <c r="C5530" s="12" t="inlineStr">
        <is>
          <t>Modular / portable power</t>
        </is>
      </c>
      <c r="D5530" s="12" t="inlineStr">
        <is>
          <t>CGE-4 generator neutral to its high-resistance grounding resistor (in the package)</t>
        </is>
      </c>
      <c r="E5530" s="12" t="inlineStr">
        <is>
          <t>CGE-4</t>
        </is>
      </c>
      <c r="F5530" s="12" t="inlineStr">
        <is>
          <t>CGE-4: containerized gas-engine generator ~4.4 MW, 13.8 kV (40 ft engi</t>
        </is>
      </c>
      <c r="G5530" s="12" t="inlineStr">
        <is>
          <t>CGE-4</t>
        </is>
      </c>
      <c r="H5530" s="12" t="inlineStr">
        <is>
          <t>CGE-4: containerized gas-engine generator ~4.4 MW, 13.8 kV (40 ft engi</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I-MV-0007</t>
        </is>
      </c>
      <c r="B5531" s="12" t="inlineStr">
        <is>
          <t>I</t>
        </is>
      </c>
      <c r="C5531" s="12" t="inlineStr">
        <is>
          <t>Modular / portable power</t>
        </is>
      </c>
      <c r="D5531" s="12" t="inlineStr">
        <is>
          <t>CGE-AUX 13.8 kV primary</t>
        </is>
      </c>
      <c r="E5531" s="12" t="inlineStr">
        <is>
          <t>CGE-SWG</t>
        </is>
      </c>
      <c r="F5531" s="12" t="inlineStr">
        <is>
          <t>CGE-SWG: 13.8 kV switchgear container (engine breakers, site feeder)</t>
        </is>
      </c>
      <c r="G5531" s="12" t="inlineStr">
        <is>
          <t>CGE-AUX</t>
        </is>
      </c>
      <c r="H5531" s="12" t="inlineStr">
        <is>
          <t>CGE-AUX: 13.8 / 0.48 kV auxiliary transformer (cooling containers, rad</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3</v>
      </c>
      <c r="P5531" s="12" t="n">
        <v>13800</v>
      </c>
      <c r="Q5531" s="12" t="n">
        <v>600</v>
      </c>
      <c r="R5531" s="12" t="n">
        <v>25</v>
      </c>
      <c r="S5531" s="12" t="inlineStr">
        <is>
          <t>Duct bank</t>
        </is>
      </c>
      <c r="T5531" s="15" t="n">
        <v>12</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c r="AA5531" s="12">
        <f>N5531*O5531</f>
        <v/>
      </c>
    </row>
    <row r="5532">
      <c r="A5532" s="12" t="inlineStr">
        <is>
          <t>I-MV-0008</t>
        </is>
      </c>
      <c r="B5532" s="12" t="inlineStr">
        <is>
          <t>I</t>
        </is>
      </c>
      <c r="C5532" s="12" t="inlineStr">
        <is>
          <t>Modular / portable power</t>
        </is>
      </c>
      <c r="D5532" s="12" t="inlineStr">
        <is>
          <t>CGE-SWG 13.8 kV to CGE-GSU</t>
        </is>
      </c>
      <c r="E5532" s="12" t="inlineStr">
        <is>
          <t>CGE-SWG</t>
        </is>
      </c>
      <c r="F5532" s="12" t="inlineStr">
        <is>
          <t>CGE-SWG: 13.8 kV switchgear container (engine breakers, site feeder)</t>
        </is>
      </c>
      <c r="G5532" s="12" t="inlineStr">
        <is>
          <t>CGE-GSU</t>
        </is>
      </c>
      <c r="H5532" s="12" t="inlineStr">
        <is>
          <t>CGE-GSU: 13.8 / 34.5 kV step-up, ~20 MVA (containerized engines)</t>
        </is>
      </c>
      <c r="I5532" s="12" t="inlineStr">
        <is>
          <t>MV 15 kV</t>
        </is>
      </c>
      <c r="J5532" s="12" t="inlineStr">
        <is>
          <t>MV-105 15 kV 1/C Cu, EPR 133%, Cu tape shield, PVC jacket (triplexed)</t>
        </is>
      </c>
      <c r="K5532" s="12" t="inlineStr">
        <is>
          <t>MV15|1/C|750</t>
        </is>
      </c>
      <c r="L5532" s="12" t="inlineStr">
        <is>
          <t>1/C</t>
        </is>
      </c>
      <c r="M5532" s="12" t="inlineStr">
        <is>
          <t>750 kcmil</t>
        </is>
      </c>
      <c r="N5532" s="12" t="n">
        <v>2</v>
      </c>
      <c r="O5532" s="12" t="n">
        <v>3</v>
      </c>
      <c r="P5532" s="12" t="n">
        <v>13800</v>
      </c>
      <c r="Q5532" s="12" t="n">
        <v>17600</v>
      </c>
      <c r="R5532" s="12" t="n">
        <v>818</v>
      </c>
      <c r="S5532" s="12" t="inlineStr">
        <is>
          <t>Duct bank</t>
        </is>
      </c>
      <c r="T5532" s="15" t="n">
        <v>10</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is>
          <t>2 sets per phase</t>
        </is>
      </c>
      <c r="AA5532" s="12">
        <f>N5532*O5532</f>
        <v/>
      </c>
    </row>
    <row r="5533">
      <c r="A5533" s="12" t="inlineStr">
        <is>
          <t>I-MV-0009</t>
        </is>
      </c>
      <c r="B5533" s="12" t="inlineStr">
        <is>
          <t>I</t>
        </is>
      </c>
      <c r="C5533" s="12" t="inlineStr">
        <is>
          <t>Modular / portable power</t>
        </is>
      </c>
      <c r="D5533" s="12" t="inlineStr">
        <is>
          <t>CGE-1 13.8 kV generator leads to the switchgear container</t>
        </is>
      </c>
      <c r="E5533" s="12" t="inlineStr">
        <is>
          <t>CGE-1</t>
        </is>
      </c>
      <c r="F5533" s="12" t="inlineStr">
        <is>
          <t>CGE-1: containerized gas-engine generator ~4.4 MW, 13.8 kV (40 ft engi</t>
        </is>
      </c>
      <c r="G5533" s="12" t="inlineStr">
        <is>
          <t>CGE-SWG</t>
        </is>
      </c>
      <c r="H5533" s="12" t="inlineStr">
        <is>
          <t>CGE-SWG: 13.8 kV switchgear container (engine breakers, site feeder)</t>
        </is>
      </c>
      <c r="I5533" s="12" t="inlineStr">
        <is>
          <t>MV 15 kV</t>
        </is>
      </c>
      <c r="J5533" s="12" t="inlineStr">
        <is>
          <t>MV-105 15 kV 1/C Cu, EPR 133%, Cu tape shield, PVC jacket (triplexed)</t>
        </is>
      </c>
      <c r="K5533" s="12" t="inlineStr">
        <is>
          <t>MV15|1/C|4/0</t>
        </is>
      </c>
      <c r="L5533" s="12" t="inlineStr">
        <is>
          <t>1/C</t>
        </is>
      </c>
      <c r="M5533" s="12" t="inlineStr">
        <is>
          <t>4/0</t>
        </is>
      </c>
      <c r="N5533" s="12" t="n">
        <v>1</v>
      </c>
      <c r="O5533" s="12" t="n">
        <v>3</v>
      </c>
      <c r="P5533" s="12" t="n">
        <v>13800</v>
      </c>
      <c r="Q5533" s="12" t="n">
        <v>4400</v>
      </c>
      <c r="R5533" s="12" t="n">
        <v>205</v>
      </c>
      <c r="S5533" s="12" t="inlineStr">
        <is>
          <t>Duct bank</t>
        </is>
      </c>
      <c r="T5533" s="15" t="n">
        <v>79</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I-MV-0010</t>
        </is>
      </c>
      <c r="B5534" s="12" t="inlineStr">
        <is>
          <t>I</t>
        </is>
      </c>
      <c r="C5534" s="12" t="inlineStr">
        <is>
          <t>Modular / portable power</t>
        </is>
      </c>
      <c r="D5534" s="12" t="inlineStr">
        <is>
          <t>CGE-2 13.8 kV generator leads to the switchgear container</t>
        </is>
      </c>
      <c r="E5534" s="12" t="inlineStr">
        <is>
          <t>CGE-2</t>
        </is>
      </c>
      <c r="F5534" s="12" t="inlineStr">
        <is>
          <t>CGE-2: containerized gas-engine generator ~4.4 MW, 13.8 kV (40 ft engi</t>
        </is>
      </c>
      <c r="G5534" s="12" t="inlineStr">
        <is>
          <t>CGE-SWG</t>
        </is>
      </c>
      <c r="H5534" s="12" t="inlineStr">
        <is>
          <t>CGE-SWG: 13.8 kV switchgear container (engine breakers, site feeder)</t>
        </is>
      </c>
      <c r="I5534" s="12" t="inlineStr">
        <is>
          <t>MV 15 kV</t>
        </is>
      </c>
      <c r="J5534" s="12" t="inlineStr">
        <is>
          <t>MV-105 15 kV 1/C Cu, EPR 133%, Cu tape shield, PVC jacket (triplexed)</t>
        </is>
      </c>
      <c r="K5534" s="12" t="inlineStr">
        <is>
          <t>MV15|1/C|4/0</t>
        </is>
      </c>
      <c r="L5534" s="12" t="inlineStr">
        <is>
          <t>1/C</t>
        </is>
      </c>
      <c r="M5534" s="12" t="inlineStr">
        <is>
          <t>4/0</t>
        </is>
      </c>
      <c r="N5534" s="12" t="n">
        <v>1</v>
      </c>
      <c r="O5534" s="12" t="n">
        <v>3</v>
      </c>
      <c r="P5534" s="12" t="n">
        <v>13800</v>
      </c>
      <c r="Q5534" s="12" t="n">
        <v>4400</v>
      </c>
      <c r="R5534" s="12" t="n">
        <v>205</v>
      </c>
      <c r="S5534" s="12" t="inlineStr">
        <is>
          <t>Duct bank</t>
        </is>
      </c>
      <c r="T5534" s="15" t="n">
        <v>61</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I-MV-0011</t>
        </is>
      </c>
      <c r="B5535" s="12" t="inlineStr">
        <is>
          <t>I</t>
        </is>
      </c>
      <c r="C5535" s="12" t="inlineStr">
        <is>
          <t>Modular / portable power</t>
        </is>
      </c>
      <c r="D5535" s="12" t="inlineStr">
        <is>
          <t>CGE-3 13.8 kV generator leads to the switchgear container</t>
        </is>
      </c>
      <c r="E5535" s="12" t="inlineStr">
        <is>
          <t>CGE-3</t>
        </is>
      </c>
      <c r="F5535" s="12" t="inlineStr">
        <is>
          <t>CGE-3: containerized gas-engine generator ~4.4 MW, 13.8 kV (40 ft engi</t>
        </is>
      </c>
      <c r="G5535" s="12" t="inlineStr">
        <is>
          <t>CGE-SWG</t>
        </is>
      </c>
      <c r="H5535" s="12" t="inlineStr">
        <is>
          <t>CGE-SWG: 13.8 kV switchgear container (engine breakers, site feeder)</t>
        </is>
      </c>
      <c r="I5535" s="12" t="inlineStr">
        <is>
          <t>MV 15 kV</t>
        </is>
      </c>
      <c r="J5535" s="12" t="inlineStr">
        <is>
          <t>MV-105 15 kV 1/C Cu, EPR 133%, Cu tape shield, PVC jacket (triplexed)</t>
        </is>
      </c>
      <c r="K5535" s="12" t="inlineStr">
        <is>
          <t>MV15|1/C|4/0</t>
        </is>
      </c>
      <c r="L5535" s="12" t="inlineStr">
        <is>
          <t>1/C</t>
        </is>
      </c>
      <c r="M5535" s="12" t="inlineStr">
        <is>
          <t>4/0</t>
        </is>
      </c>
      <c r="N5535" s="12" t="n">
        <v>1</v>
      </c>
      <c r="O5535" s="12" t="n">
        <v>3</v>
      </c>
      <c r="P5535" s="12" t="n">
        <v>13800</v>
      </c>
      <c r="Q5535" s="12" t="n">
        <v>4400</v>
      </c>
      <c r="R5535" s="12" t="n">
        <v>205</v>
      </c>
      <c r="S5535" s="12" t="inlineStr">
        <is>
          <t>Duct bank</t>
        </is>
      </c>
      <c r="T5535" s="15" t="n">
        <v>43</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I-MV-0012</t>
        </is>
      </c>
      <c r="B5536" s="12" t="inlineStr">
        <is>
          <t>I</t>
        </is>
      </c>
      <c r="C5536" s="12" t="inlineStr">
        <is>
          <t>Modular / portable power</t>
        </is>
      </c>
      <c r="D5536" s="12" t="inlineStr">
        <is>
          <t>CGE-4 13.8 kV generator leads to the switchgear container</t>
        </is>
      </c>
      <c r="E5536" s="12" t="inlineStr">
        <is>
          <t>CGE-4</t>
        </is>
      </c>
      <c r="F5536" s="12" t="inlineStr">
        <is>
          <t>CGE-4: containerized gas-engine generator ~4.4 MW, 13.8 kV (40 ft engi</t>
        </is>
      </c>
      <c r="G5536" s="12" t="inlineStr">
        <is>
          <t>CGE-SWG</t>
        </is>
      </c>
      <c r="H5536" s="12" t="inlineStr">
        <is>
          <t>CGE-SWG: 13.8 kV switchgear container (engine breakers, site feeder)</t>
        </is>
      </c>
      <c r="I5536" s="12" t="inlineStr">
        <is>
          <t>MV 15 kV</t>
        </is>
      </c>
      <c r="J5536" s="12" t="inlineStr">
        <is>
          <t>MV-105 15 kV 1/C Cu, EPR 133%, Cu tape shield, PVC jacket (triplexed)</t>
        </is>
      </c>
      <c r="K5536" s="12" t="inlineStr">
        <is>
          <t>MV15|1/C|4/0</t>
        </is>
      </c>
      <c r="L5536" s="12" t="inlineStr">
        <is>
          <t>1/C</t>
        </is>
      </c>
      <c r="M5536" s="12" t="inlineStr">
        <is>
          <t>4/0</t>
        </is>
      </c>
      <c r="N5536" s="12" t="n">
        <v>1</v>
      </c>
      <c r="O5536" s="12" t="n">
        <v>3</v>
      </c>
      <c r="P5536" s="12" t="n">
        <v>13800</v>
      </c>
      <c r="Q5536" s="12" t="n">
        <v>4400</v>
      </c>
      <c r="R5536" s="12" t="n">
        <v>205</v>
      </c>
      <c r="S5536" s="12" t="inlineStr">
        <is>
          <t>Duct bank</t>
        </is>
      </c>
      <c r="T5536" s="15" t="n">
        <v>29</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I-MV-0013</t>
        </is>
      </c>
      <c r="B5537" s="12" t="inlineStr">
        <is>
          <t>I</t>
        </is>
      </c>
      <c r="C5537" s="12" t="inlineStr">
        <is>
          <t>Modular / portable power</t>
        </is>
      </c>
      <c r="D5537" s="12" t="inlineStr">
        <is>
          <t>CHP-1 generator neutral to its high-resistance grounding resistor (in the package)</t>
        </is>
      </c>
      <c r="E5537" s="12" t="inlineStr">
        <is>
          <t>CHP-1</t>
        </is>
      </c>
      <c r="F5537" s="12" t="inlineStr">
        <is>
          <t>CHP-1: gas-engine generator ~2.5 MW with exhaust heat recovery, 13.8 k</t>
        </is>
      </c>
      <c r="G5537" s="12" t="inlineStr">
        <is>
          <t>CHP-1</t>
        </is>
      </c>
      <c r="H5537" s="12" t="inlineStr">
        <is>
          <t>CHP-1: gas-engine generator ~2.5 MW with exhaust heat recovery, 13.8 k</t>
        </is>
      </c>
      <c r="I5537" s="12" t="inlineStr">
        <is>
          <t>MV 15 kV</t>
        </is>
      </c>
      <c r="J5537" s="12" t="inlineStr">
        <is>
          <t>MV-105 15 kV 1/C Cu, EPR 133%, Cu tape shield, PVC jacket (triplexed)</t>
        </is>
      </c>
      <c r="K5537" s="12" t="inlineStr">
        <is>
          <t>MV15|1/C|2</t>
        </is>
      </c>
      <c r="L5537" s="12" t="inlineStr">
        <is>
          <t>1/C</t>
        </is>
      </c>
      <c r="M5537" s="12" t="inlineStr">
        <is>
          <t>2</t>
        </is>
      </c>
      <c r="N5537" s="12" t="n">
        <v>1</v>
      </c>
      <c r="O5537" s="12" t="n">
        <v>1</v>
      </c>
      <c r="P5537" s="12" t="n">
        <v>13800</v>
      </c>
      <c r="Q5537" s="12" t="n"/>
      <c r="R5537" s="12" t="n"/>
      <c r="S5537" s="12" t="inlineStr">
        <is>
          <t>Conduit</t>
        </is>
      </c>
      <c r="T5537" s="15" t="n">
        <v>15</v>
      </c>
      <c r="U5537" s="15" t="n">
        <v>5</v>
      </c>
      <c r="V5537" s="15">
        <f>ROUNDUP((T5537+U5537+2*'Read Me'!$B$13)*(1+'Read Me'!$B$12),-1)</f>
        <v/>
      </c>
      <c r="W5537" s="15">
        <f>V5537*N5537*O5537</f>
        <v/>
      </c>
      <c r="X5537" s="12">
        <f>IF(LEFT(I5537,2)="MV",2*N5537*IF(L5537="1/C",O5537,1),0)</f>
        <v/>
      </c>
      <c r="Y5537" s="12">
        <f>IF(OR(LEFT(K5537,4)="LVAX",LEFT(K5537,6)="MV15AX",LEFT(K5537,4)="CTAX",LEFT(K5537,2)="W|"),2*N5537*O5537,0)</f>
        <v/>
      </c>
      <c r="Z5537" s="12" t="inlineStr">
        <is>
          <t>NGR in the generator / terminal-box enclosure</t>
        </is>
      </c>
      <c r="AA5537" s="12">
        <f>N5537*O5537</f>
        <v/>
      </c>
    </row>
    <row r="5538">
      <c r="A5538" s="12" t="inlineStr">
        <is>
          <t>I-MV-0014</t>
        </is>
      </c>
      <c r="B5538" s="12" t="inlineStr">
        <is>
          <t>I</t>
        </is>
      </c>
      <c r="C5538" s="12" t="inlineStr">
        <is>
          <t>Modular / portable power</t>
        </is>
      </c>
      <c r="D5538" s="12" t="inlineStr">
        <is>
          <t>CHP-2 generator neutral to its high-resistance grounding resistor (in the package)</t>
        </is>
      </c>
      <c r="E5538" s="12" t="inlineStr">
        <is>
          <t>CHP-2</t>
        </is>
      </c>
      <c r="F5538" s="12" t="inlineStr">
        <is>
          <t>CHP-2: gas-engine generator ~2.5 MW with exhaust heat recovery, 13.8 k</t>
        </is>
      </c>
      <c r="G5538" s="12" t="inlineStr">
        <is>
          <t>CHP-2</t>
        </is>
      </c>
      <c r="H5538" s="12" t="inlineStr">
        <is>
          <t>CHP-2: gas-engine generator ~2.5 MW with exhaust heat recovery, 13.8 k</t>
        </is>
      </c>
      <c r="I5538" s="12" t="inlineStr">
        <is>
          <t>MV 15 kV</t>
        </is>
      </c>
      <c r="J5538" s="12" t="inlineStr">
        <is>
          <t>MV-105 15 kV 1/C Cu, EPR 133%, Cu tape shield, PVC jacket (triplexed)</t>
        </is>
      </c>
      <c r="K5538" s="12" t="inlineStr">
        <is>
          <t>MV15|1/C|2</t>
        </is>
      </c>
      <c r="L5538" s="12" t="inlineStr">
        <is>
          <t>1/C</t>
        </is>
      </c>
      <c r="M5538" s="12" t="inlineStr">
        <is>
          <t>2</t>
        </is>
      </c>
      <c r="N5538" s="12" t="n">
        <v>1</v>
      </c>
      <c r="O5538" s="12" t="n">
        <v>1</v>
      </c>
      <c r="P5538" s="12" t="n">
        <v>13800</v>
      </c>
      <c r="Q5538" s="12" t="n"/>
      <c r="R5538" s="12" t="n"/>
      <c r="S5538" s="12" t="inlineStr">
        <is>
          <t>Conduit</t>
        </is>
      </c>
      <c r="T5538" s="15" t="n">
        <v>15</v>
      </c>
      <c r="U5538" s="15" t="n">
        <v>5</v>
      </c>
      <c r="V5538" s="15">
        <f>ROUNDUP((T5538+U5538+2*'Read Me'!$B$13)*(1+'Read Me'!$B$12),-1)</f>
        <v/>
      </c>
      <c r="W5538" s="15">
        <f>V5538*N5538*O5538</f>
        <v/>
      </c>
      <c r="X5538" s="12">
        <f>IF(LEFT(I5538,2)="MV",2*N5538*IF(L5538="1/C",O5538,1),0)</f>
        <v/>
      </c>
      <c r="Y5538" s="12">
        <f>IF(OR(LEFT(K5538,4)="LVAX",LEFT(K5538,6)="MV15AX",LEFT(K5538,4)="CTAX",LEFT(K5538,2)="W|"),2*N5538*O5538,0)</f>
        <v/>
      </c>
      <c r="Z5538" s="12" t="inlineStr">
        <is>
          <t>NGR in the generator / terminal-box enclosure</t>
        </is>
      </c>
      <c r="AA5538" s="12">
        <f>N5538*O5538</f>
        <v/>
      </c>
    </row>
    <row r="5539">
      <c r="A5539" s="12" t="inlineStr">
        <is>
          <t>I-MV-0015</t>
        </is>
      </c>
      <c r="B5539" s="12" t="inlineStr">
        <is>
          <t>I</t>
        </is>
      </c>
      <c r="C5539" s="12" t="inlineStr">
        <is>
          <t>Modular / portable power</t>
        </is>
      </c>
      <c r="D5539" s="12" t="inlineStr">
        <is>
          <t>CHP-3 generator neutral to its high-resistance grounding resistor (in the package)</t>
        </is>
      </c>
      <c r="E5539" s="12" t="inlineStr">
        <is>
          <t>CHP-3</t>
        </is>
      </c>
      <c r="F5539" s="12" t="inlineStr">
        <is>
          <t>CHP-3: gas-engine generator ~2.5 MW with exhaust heat recovery, 13.8 k</t>
        </is>
      </c>
      <c r="G5539" s="12" t="inlineStr">
        <is>
          <t>CHP-3</t>
        </is>
      </c>
      <c r="H5539" s="12" t="inlineStr">
        <is>
          <t>CHP-3: gas-engine generator ~2.5 MW with exhaust heat recovery, 13.8 k</t>
        </is>
      </c>
      <c r="I5539" s="12" t="inlineStr">
        <is>
          <t>MV 15 kV</t>
        </is>
      </c>
      <c r="J5539" s="12" t="inlineStr">
        <is>
          <t>MV-105 15 kV 1/C Cu, EPR 133%, Cu tape shield, PVC jacket (triplexed)</t>
        </is>
      </c>
      <c r="K5539" s="12" t="inlineStr">
        <is>
          <t>MV15|1/C|2</t>
        </is>
      </c>
      <c r="L5539" s="12" t="inlineStr">
        <is>
          <t>1/C</t>
        </is>
      </c>
      <c r="M5539" s="12" t="inlineStr">
        <is>
          <t>2</t>
        </is>
      </c>
      <c r="N5539" s="12" t="n">
        <v>1</v>
      </c>
      <c r="O5539" s="12" t="n">
        <v>1</v>
      </c>
      <c r="P5539" s="12" t="n">
        <v>13800</v>
      </c>
      <c r="Q5539" s="12" t="n"/>
      <c r="R5539" s="12" t="n"/>
      <c r="S5539" s="12" t="inlineStr">
        <is>
          <t>Conduit</t>
        </is>
      </c>
      <c r="T5539" s="15" t="n">
        <v>15</v>
      </c>
      <c r="U5539" s="15" t="n">
        <v>5</v>
      </c>
      <c r="V5539" s="15">
        <f>ROUNDUP((T5539+U5539+2*'Read Me'!$B$13)*(1+'Read Me'!$B$12),-1)</f>
        <v/>
      </c>
      <c r="W5539" s="15">
        <f>V5539*N5539*O5539</f>
        <v/>
      </c>
      <c r="X5539" s="12">
        <f>IF(LEFT(I5539,2)="MV",2*N5539*IF(L5539="1/C",O5539,1),0)</f>
        <v/>
      </c>
      <c r="Y5539" s="12">
        <f>IF(OR(LEFT(K5539,4)="LVAX",LEFT(K5539,6)="MV15AX",LEFT(K5539,4)="CTAX",LEFT(K5539,2)="W|"),2*N5539*O5539,0)</f>
        <v/>
      </c>
      <c r="Z5539" s="12" t="inlineStr">
        <is>
          <t>NGR in the generator / terminal-box enclosure</t>
        </is>
      </c>
      <c r="AA5539" s="12">
        <f>N5539*O5539</f>
        <v/>
      </c>
    </row>
    <row r="5540">
      <c r="A5540" s="12" t="inlineStr">
        <is>
          <t>I-MV-0016</t>
        </is>
      </c>
      <c r="B5540" s="12" t="inlineStr">
        <is>
          <t>I</t>
        </is>
      </c>
      <c r="C5540" s="12" t="inlineStr">
        <is>
          <t>Modular / portable power</t>
        </is>
      </c>
      <c r="D5540" s="12" t="inlineStr">
        <is>
          <t>CHP-4 generator neutral to its high-resistance grounding resistor (in the package)</t>
        </is>
      </c>
      <c r="E5540" s="12" t="inlineStr">
        <is>
          <t>CHP-4</t>
        </is>
      </c>
      <c r="F5540" s="12" t="inlineStr">
        <is>
          <t>CHP-4: gas-engine generator ~2.5 MW with exhaust heat recovery, 13.8 k</t>
        </is>
      </c>
      <c r="G5540" s="12" t="inlineStr">
        <is>
          <t>CHP-4</t>
        </is>
      </c>
      <c r="H5540" s="12" t="inlineStr">
        <is>
          <t>CHP-4: gas-engine generator ~2.5 MW with exhaust heat recovery, 13.8 k</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I-MV-0017</t>
        </is>
      </c>
      <c r="B5541" s="12" t="inlineStr">
        <is>
          <t>I</t>
        </is>
      </c>
      <c r="C5541" s="12" t="inlineStr">
        <is>
          <t>Modular / portable power</t>
        </is>
      </c>
      <c r="D5541" s="12" t="inlineStr">
        <is>
          <t>CHP-AUX 13.8 kV primary</t>
        </is>
      </c>
      <c r="E5541" s="12" t="inlineStr">
        <is>
          <t>CHP-SWG</t>
        </is>
      </c>
      <c r="F5541" s="12" t="inlineStr">
        <is>
          <t>CHP-SWG: 13.8 kV switchgear container (4 engine breakers, site feeder)</t>
        </is>
      </c>
      <c r="G5541" s="12" t="inlineStr">
        <is>
          <t>CHP-AUX</t>
        </is>
      </c>
      <c r="H5541" s="12" t="inlineStr">
        <is>
          <t>CHP-AUX: 13.8 / 0.48 kV, 750 kVA auxiliary pad-mount (engine auxiliari</t>
        </is>
      </c>
      <c r="I5541" s="12" t="inlineStr">
        <is>
          <t>MV 15 kV</t>
        </is>
      </c>
      <c r="J5541" s="12" t="inlineStr">
        <is>
          <t>MV-105 15 kV 1/C Cu, EPR 133%, Cu tape shield, PVC jacket (triplexed)</t>
        </is>
      </c>
      <c r="K5541" s="12" t="inlineStr">
        <is>
          <t>MV15|1/C|2</t>
        </is>
      </c>
      <c r="L5541" s="12" t="inlineStr">
        <is>
          <t>1/C</t>
        </is>
      </c>
      <c r="M5541" s="12" t="inlineStr">
        <is>
          <t>2</t>
        </is>
      </c>
      <c r="N5541" s="12" t="n">
        <v>1</v>
      </c>
      <c r="O5541" s="12" t="n">
        <v>3</v>
      </c>
      <c r="P5541" s="12" t="n">
        <v>13800</v>
      </c>
      <c r="Q5541" s="12" t="n">
        <v>750</v>
      </c>
      <c r="R5541" s="12" t="n">
        <v>31</v>
      </c>
      <c r="S5541" s="12" t="inlineStr">
        <is>
          <t>Duct bank</t>
        </is>
      </c>
      <c r="T5541" s="15" t="n">
        <v>4</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c r="AA5541" s="12">
        <f>N5541*O5541</f>
        <v/>
      </c>
    </row>
    <row r="5542">
      <c r="A5542" s="12" t="inlineStr">
        <is>
          <t>I-MV-0018</t>
        </is>
      </c>
      <c r="B5542" s="12" t="inlineStr">
        <is>
          <t>I</t>
        </is>
      </c>
      <c r="C5542" s="12" t="inlineStr">
        <is>
          <t>Modular / portable power</t>
        </is>
      </c>
      <c r="D5542" s="12" t="inlineStr">
        <is>
          <t>CHP-1 13.8 kV generator leads to the switchgear container</t>
        </is>
      </c>
      <c r="E5542" s="12" t="inlineStr">
        <is>
          <t>CHP-1</t>
        </is>
      </c>
      <c r="F5542" s="12" t="inlineStr">
        <is>
          <t>CHP-1: gas-engine generator ~2.5 MW with exhaust heat recovery, 13.8 k</t>
        </is>
      </c>
      <c r="G5542" s="12" t="inlineStr">
        <is>
          <t>CHP-SWG</t>
        </is>
      </c>
      <c r="H5542" s="12" t="inlineStr">
        <is>
          <t>CHP-SWG: 13.8 kV switchgear container (4 engine breakers, site feeder)</t>
        </is>
      </c>
      <c r="I5542" s="12" t="inlineStr">
        <is>
          <t>MV 15 kV</t>
        </is>
      </c>
      <c r="J5542" s="12" t="inlineStr">
        <is>
          <t>MV-105 15 kV 1/C Cu, EPR 133%, Cu tape shield, PVC jacket (triplexed)</t>
        </is>
      </c>
      <c r="K5542" s="12" t="inlineStr">
        <is>
          <t>MV15|1/C|1/0</t>
        </is>
      </c>
      <c r="L5542" s="12" t="inlineStr">
        <is>
          <t>1/C</t>
        </is>
      </c>
      <c r="M5542" s="12" t="inlineStr">
        <is>
          <t>1/0</t>
        </is>
      </c>
      <c r="N5542" s="12" t="n">
        <v>1</v>
      </c>
      <c r="O5542" s="12" t="n">
        <v>3</v>
      </c>
      <c r="P5542" s="12" t="n">
        <v>13800</v>
      </c>
      <c r="Q5542" s="12" t="n">
        <v>2500</v>
      </c>
      <c r="R5542" s="12" t="n">
        <v>116</v>
      </c>
      <c r="S5542" s="12" t="inlineStr">
        <is>
          <t>Duct bank</t>
        </is>
      </c>
      <c r="T5542" s="15" t="n">
        <v>77</v>
      </c>
      <c r="U5542" s="15" t="n">
        <v>32</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I-MV-0019</t>
        </is>
      </c>
      <c r="B5543" s="12" t="inlineStr">
        <is>
          <t>I</t>
        </is>
      </c>
      <c r="C5543" s="12" t="inlineStr">
        <is>
          <t>Modular / portable power</t>
        </is>
      </c>
      <c r="D5543" s="12" t="inlineStr">
        <is>
          <t>CHP-2 13.8 kV generator leads to the switchgear container</t>
        </is>
      </c>
      <c r="E5543" s="12" t="inlineStr">
        <is>
          <t>CHP-2</t>
        </is>
      </c>
      <c r="F5543" s="12" t="inlineStr">
        <is>
          <t>CHP-2: gas-engine generator ~2.5 MW with exhaust heat recovery, 13.8 k</t>
        </is>
      </c>
      <c r="G5543" s="12" t="inlineStr">
        <is>
          <t>CHP-SWG</t>
        </is>
      </c>
      <c r="H5543" s="12" t="inlineStr">
        <is>
          <t>CHP-SWG: 13.8 kV switchgear container (4 engine breakers, site feeder)</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2500</v>
      </c>
      <c r="R5543" s="12" t="n">
        <v>116</v>
      </c>
      <c r="S5543" s="12" t="inlineStr">
        <is>
          <t>Duct bank</t>
        </is>
      </c>
      <c r="T5543" s="15" t="n">
        <v>58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is>
          <t>1 set per phase</t>
        </is>
      </c>
      <c r="AA5543" s="12">
        <f>N5543*O5543</f>
        <v/>
      </c>
    </row>
    <row r="5544">
      <c r="A5544" s="12" t="inlineStr">
        <is>
          <t>I-MV-0020</t>
        </is>
      </c>
      <c r="B5544" s="12" t="inlineStr">
        <is>
          <t>I</t>
        </is>
      </c>
      <c r="C5544" s="12" t="inlineStr">
        <is>
          <t>Modular / portable power</t>
        </is>
      </c>
      <c r="D5544" s="12" t="inlineStr">
        <is>
          <t>CHP-3 13.8 kV generator leads to the switchgear container</t>
        </is>
      </c>
      <c r="E5544" s="12" t="inlineStr">
        <is>
          <t>CHP-3</t>
        </is>
      </c>
      <c r="F5544" s="12" t="inlineStr">
        <is>
          <t>CHP-3: gas-engine generator ~2.5 MW with exhaust heat recovery, 13.8 k</t>
        </is>
      </c>
      <c r="G5544" s="12" t="inlineStr">
        <is>
          <t>CHP-SWG</t>
        </is>
      </c>
      <c r="H5544" s="12" t="inlineStr">
        <is>
          <t>CHP-SWG: 13.8 kV switchgear container (4 engine breakers, site feeder)</t>
        </is>
      </c>
      <c r="I5544" s="12" t="inlineStr">
        <is>
          <t>MV 15 kV</t>
        </is>
      </c>
      <c r="J5544" s="12" t="inlineStr">
        <is>
          <t>MV-105 15 kV 1/C Cu, EPR 133%, Cu tape shield, PVC jacket (triplexed)</t>
        </is>
      </c>
      <c r="K5544" s="12" t="inlineStr">
        <is>
          <t>MV15|1/C|1/0</t>
        </is>
      </c>
      <c r="L5544" s="12" t="inlineStr">
        <is>
          <t>1/C</t>
        </is>
      </c>
      <c r="M5544" s="12" t="inlineStr">
        <is>
          <t>1/0</t>
        </is>
      </c>
      <c r="N5544" s="12" t="n">
        <v>1</v>
      </c>
      <c r="O5544" s="12" t="n">
        <v>3</v>
      </c>
      <c r="P5544" s="12" t="n">
        <v>13800</v>
      </c>
      <c r="Q5544" s="12" t="n">
        <v>2500</v>
      </c>
      <c r="R5544" s="12" t="n">
        <v>116</v>
      </c>
      <c r="S5544" s="12" t="inlineStr">
        <is>
          <t>Duct bank</t>
        </is>
      </c>
      <c r="T5544" s="15" t="n">
        <v>34</v>
      </c>
      <c r="U5544" s="15" t="n">
        <v>32</v>
      </c>
      <c r="V5544" s="15">
        <f>ROUNDUP((T5544+U5544+2*'Read Me'!$B$13)*(1+'Read Me'!$B$12),-1)</f>
        <v/>
      </c>
      <c r="W5544" s="15">
        <f>V5544*N5544*O5544</f>
        <v/>
      </c>
      <c r="X5544" s="12">
        <f>IF(LEFT(I5544,2)="MV",2*N5544*IF(L5544="1/C",O5544,1),0)</f>
        <v/>
      </c>
      <c r="Y5544" s="12">
        <f>IF(OR(LEFT(K5544,4)="LVAX",LEFT(K5544,6)="MV15AX",LEFT(K5544,4)="CTAX",LEFT(K5544,2)="W|"),2*N5544*O5544,0)</f>
        <v/>
      </c>
      <c r="Z5544" s="12" t="inlineStr">
        <is>
          <t>1 set per phase</t>
        </is>
      </c>
      <c r="AA5544" s="12">
        <f>N5544*O5544</f>
        <v/>
      </c>
    </row>
    <row r="5545">
      <c r="A5545" s="12" t="inlineStr">
        <is>
          <t>I-MV-0021</t>
        </is>
      </c>
      <c r="B5545" s="12" t="inlineStr">
        <is>
          <t>I</t>
        </is>
      </c>
      <c r="C5545" s="12" t="inlineStr">
        <is>
          <t>Modular / portable power</t>
        </is>
      </c>
      <c r="D5545" s="12" t="inlineStr">
        <is>
          <t>CHP-4 13.8 kV generator leads to the switchgear container</t>
        </is>
      </c>
      <c r="E5545" s="12" t="inlineStr">
        <is>
          <t>CHP-4</t>
        </is>
      </c>
      <c r="F5545" s="12" t="inlineStr">
        <is>
          <t>CHP-4: gas-engine generator ~2.5 MW with exhaust heat recovery, 13.8 k</t>
        </is>
      </c>
      <c r="G5545" s="12" t="inlineStr">
        <is>
          <t>CHP-SWG</t>
        </is>
      </c>
      <c r="H5545" s="12" t="inlineStr">
        <is>
          <t>CHP-SWG: 13.8 kV switchgear container (4 engine breakers, site feeder)</t>
        </is>
      </c>
      <c r="I5545" s="12" t="inlineStr">
        <is>
          <t>MV 15 kV</t>
        </is>
      </c>
      <c r="J5545" s="12" t="inlineStr">
        <is>
          <t>MV-105 15 kV 1/C Cu, EPR 133%, Cu tape shield, PVC jacket (triplexed)</t>
        </is>
      </c>
      <c r="K5545" s="12" t="inlineStr">
        <is>
          <t>MV15|1/C|1/0</t>
        </is>
      </c>
      <c r="L5545" s="12" t="inlineStr">
        <is>
          <t>1/C</t>
        </is>
      </c>
      <c r="M5545" s="12" t="inlineStr">
        <is>
          <t>1/0</t>
        </is>
      </c>
      <c r="N5545" s="12" t="n">
        <v>1</v>
      </c>
      <c r="O5545" s="12" t="n">
        <v>3</v>
      </c>
      <c r="P5545" s="12" t="n">
        <v>13800</v>
      </c>
      <c r="Q5545" s="12" t="n">
        <v>2500</v>
      </c>
      <c r="R5545" s="12" t="n">
        <v>116</v>
      </c>
      <c r="S5545" s="12" t="inlineStr">
        <is>
          <t>Duct bank</t>
        </is>
      </c>
      <c r="T5545" s="15" t="n">
        <v>20</v>
      </c>
      <c r="U5545" s="15" t="n">
        <v>32</v>
      </c>
      <c r="V5545" s="15">
        <f>ROUNDUP((T5545+U5545+2*'Read Me'!$B$13)*(1+'Read Me'!$B$12),-1)</f>
        <v/>
      </c>
      <c r="W5545" s="15">
        <f>V5545*N5545*O5545</f>
        <v/>
      </c>
      <c r="X5545" s="12">
        <f>IF(LEFT(I5545,2)="MV",2*N5545*IF(L5545="1/C",O5545,1),0)</f>
        <v/>
      </c>
      <c r="Y5545" s="12">
        <f>IF(OR(LEFT(K5545,4)="LVAX",LEFT(K5545,6)="MV15AX",LEFT(K5545,4)="CTAX",LEFT(K5545,2)="W|"),2*N5545*O5545,0)</f>
        <v/>
      </c>
      <c r="Z5545" s="12" t="inlineStr">
        <is>
          <t>1 set per phase</t>
        </is>
      </c>
      <c r="AA5545" s="12">
        <f>N5545*O5545</f>
        <v/>
      </c>
    </row>
    <row r="5546">
      <c r="A5546" s="12" t="inlineStr">
        <is>
          <t>I-MV-0022</t>
        </is>
      </c>
      <c r="B5546" s="12" t="inlineStr">
        <is>
          <t>I</t>
        </is>
      </c>
      <c r="C5546" s="12" t="inlineStr">
        <is>
          <t>Modular / portable power</t>
        </is>
      </c>
      <c r="D5546" s="12" t="inlineStr">
        <is>
          <t>Modular-yard fuel-gas compressor</t>
        </is>
      </c>
      <c r="E5546" s="12" t="inlineStr">
        <is>
          <t>MOD-EH</t>
        </is>
      </c>
      <c r="F5546" s="12" t="inlineStr">
        <is>
          <t>MOD-EH: 34.5 kV modular collector e-house (2 bus sections + 13.8 kV st</t>
        </is>
      </c>
      <c r="G5546" s="12" t="inlineStr"/>
      <c r="H5546" s="12" t="inlineStr">
        <is>
          <t>Fuel-gas compressors 3 x 100% electric</t>
        </is>
      </c>
      <c r="I5546" s="12" t="inlineStr">
        <is>
          <t>MV 15 kV</t>
        </is>
      </c>
      <c r="J5546" s="12" t="inlineStr">
        <is>
          <t>ARMOR-X MC-HL / MV-105 15 kV 3/C Cu, EPR 133%, tape shield, gnd, CWA, red PVC</t>
        </is>
      </c>
      <c r="K5546" s="12" t="inlineStr">
        <is>
          <t>MV15AX|3/C|2</t>
        </is>
      </c>
      <c r="L5546" s="12" t="inlineStr">
        <is>
          <t>3/C</t>
        </is>
      </c>
      <c r="M5546" s="12" t="inlineStr">
        <is>
          <t>2</t>
        </is>
      </c>
      <c r="N5546" s="12" t="n">
        <v>1</v>
      </c>
      <c r="O5546" s="12" t="n">
        <v>1</v>
      </c>
      <c r="P5546" s="12" t="n">
        <v>13800</v>
      </c>
      <c r="Q5546" s="12" t="n">
        <v>1500</v>
      </c>
      <c r="R5546" s="12" t="n">
        <v>70</v>
      </c>
      <c r="S5546" s="12" t="inlineStr">
        <is>
          <t>Duct bank</t>
        </is>
      </c>
      <c r="T5546" s="15" t="n">
        <v>841</v>
      </c>
      <c r="U5546" s="15" t="n">
        <v>108</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I-MV-0023</t>
        </is>
      </c>
      <c r="B5547" s="12" t="inlineStr">
        <is>
          <t>I</t>
        </is>
      </c>
      <c r="C5547" s="12" t="inlineStr">
        <is>
          <t>Modular / portable power</t>
        </is>
      </c>
      <c r="D5547" s="12" t="inlineStr">
        <is>
          <t>Modular-yard fuel-gas compressor</t>
        </is>
      </c>
      <c r="E5547" s="12" t="inlineStr">
        <is>
          <t>MOD-EH</t>
        </is>
      </c>
      <c r="F5547" s="12" t="inlineStr">
        <is>
          <t>MOD-EH: 34.5 kV modular collector e-house (2 bus sections + 13.8 kV st</t>
        </is>
      </c>
      <c r="G5547" s="12" t="inlineStr"/>
      <c r="H5547" s="12" t="inlineStr">
        <is>
          <t>Fuel-gas compressors 3 x 100% electric</t>
        </is>
      </c>
      <c r="I5547" s="12" t="inlineStr">
        <is>
          <t>MV 15 kV</t>
        </is>
      </c>
      <c r="J5547" s="12" t="inlineStr">
        <is>
          <t>ARMOR-X MC-HL / MV-105 15 kV 3/C Cu, EPR 133%, tape shield, gnd, CWA, red PVC</t>
        </is>
      </c>
      <c r="K5547" s="12" t="inlineStr">
        <is>
          <t>MV15AX|3/C|2</t>
        </is>
      </c>
      <c r="L5547" s="12" t="inlineStr">
        <is>
          <t>3/C</t>
        </is>
      </c>
      <c r="M5547" s="12" t="inlineStr">
        <is>
          <t>2</t>
        </is>
      </c>
      <c r="N5547" s="12" t="n">
        <v>1</v>
      </c>
      <c r="O5547" s="12" t="n">
        <v>1</v>
      </c>
      <c r="P5547" s="12" t="n">
        <v>13800</v>
      </c>
      <c r="Q5547" s="12" t="n">
        <v>1500</v>
      </c>
      <c r="R5547" s="12" t="n">
        <v>70</v>
      </c>
      <c r="S5547" s="12" t="inlineStr">
        <is>
          <t>Duct bank</t>
        </is>
      </c>
      <c r="T5547" s="15" t="n">
        <v>841</v>
      </c>
      <c r="U5547" s="15" t="n">
        <v>108</v>
      </c>
      <c r="V5547" s="15">
        <f>ROUNDUP((T5547+U5547+2*'Read Me'!$B$13)*(1+'Read Me'!$B$12),-1)</f>
        <v/>
      </c>
      <c r="W5547" s="15">
        <f>V5547*N5547*O5547</f>
        <v/>
      </c>
      <c r="X5547" s="12">
        <f>IF(LEFT(I5547,2)="MV",2*N5547*IF(L5547="1/C",O5547,1),0)</f>
        <v/>
      </c>
      <c r="Y5547" s="12">
        <f>IF(OR(LEFT(K5547,4)="LVAX",LEFT(K5547,6)="MV15AX",LEFT(K5547,4)="CTAX",LEFT(K5547,2)="W|"),2*N5547*O5547,0)</f>
        <v/>
      </c>
      <c r="Z5547" s="12" t="inlineStr"/>
      <c r="AA5547" s="12">
        <f>N5547*O5547</f>
        <v/>
      </c>
    </row>
    <row r="5548">
      <c r="A5548" s="12" t="inlineStr">
        <is>
          <t>I-MV-0024</t>
        </is>
      </c>
      <c r="B5548" s="12" t="inlineStr">
        <is>
          <t>I</t>
        </is>
      </c>
      <c r="C5548" s="12" t="inlineStr">
        <is>
          <t>Modular / portable power</t>
        </is>
      </c>
      <c r="D5548" s="12" t="inlineStr">
        <is>
          <t>Modular-yard fuel-gas compressor</t>
        </is>
      </c>
      <c r="E5548" s="12" t="inlineStr">
        <is>
          <t>MOD-EH</t>
        </is>
      </c>
      <c r="F5548" s="12" t="inlineStr">
        <is>
          <t>MOD-EH: 34.5 kV modular collector e-house (2 bus sections + 13.8 kV st</t>
        </is>
      </c>
      <c r="G5548" s="12" t="inlineStr"/>
      <c r="H5548" s="12" t="inlineStr">
        <is>
          <t>Fuel-gas compressors 3 x 100% electric</t>
        </is>
      </c>
      <c r="I5548" s="12" t="inlineStr">
        <is>
          <t>MV 15 kV</t>
        </is>
      </c>
      <c r="J5548" s="12" t="inlineStr">
        <is>
          <t>ARMOR-X MC-HL / MV-105 15 kV 3/C Cu, EPR 133%, tape shield, gnd, CWA, red PVC</t>
        </is>
      </c>
      <c r="K5548" s="12" t="inlineStr">
        <is>
          <t>MV15AX|3/C|2</t>
        </is>
      </c>
      <c r="L5548" s="12" t="inlineStr">
        <is>
          <t>3/C</t>
        </is>
      </c>
      <c r="M5548" s="12" t="inlineStr">
        <is>
          <t>2</t>
        </is>
      </c>
      <c r="N5548" s="12" t="n">
        <v>1</v>
      </c>
      <c r="O5548" s="12" t="n">
        <v>1</v>
      </c>
      <c r="P5548" s="12" t="n">
        <v>13800</v>
      </c>
      <c r="Q5548" s="12" t="n">
        <v>1500</v>
      </c>
      <c r="R5548" s="12" t="n">
        <v>70</v>
      </c>
      <c r="S5548" s="12" t="inlineStr">
        <is>
          <t>Duct bank</t>
        </is>
      </c>
      <c r="T5548" s="15" t="n">
        <v>841</v>
      </c>
      <c r="U5548" s="15" t="n">
        <v>108</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I-MV-0025</t>
        </is>
      </c>
      <c r="B5549" s="12" t="inlineStr">
        <is>
          <t>I</t>
        </is>
      </c>
      <c r="C5549" s="12" t="inlineStr">
        <is>
          <t>Modular / portable power</t>
        </is>
      </c>
      <c r="D5549" s="12" t="inlineStr">
        <is>
          <t>IG-1 generator neutral to its high-resistance grounding resistor (in the package)</t>
        </is>
      </c>
      <c r="E5549" s="12" t="inlineStr">
        <is>
          <t>IG-1</t>
        </is>
      </c>
      <c r="F5549" s="12" t="inlineStr">
        <is>
          <t>IG-1: industrial gas-turbine installation, SGT-800 / H-25 class (~50 M</t>
        </is>
      </c>
      <c r="G5549" s="12" t="inlineStr">
        <is>
          <t>IG-1</t>
        </is>
      </c>
      <c r="H5549" s="12" t="inlineStr">
        <is>
          <t>IG-1: industrial gas-turbine installation, SGT-800 / H-25 class (~50 M</t>
        </is>
      </c>
      <c r="I5549" s="12" t="inlineStr">
        <is>
          <t>MV 15 kV</t>
        </is>
      </c>
      <c r="J5549" s="12" t="inlineStr">
        <is>
          <t>MV-105 15 kV 1/C Cu, EPR 133%, Cu tape shield, PVC jacket (triplexed)</t>
        </is>
      </c>
      <c r="K5549" s="12" t="inlineStr">
        <is>
          <t>MV15|1/C|2</t>
        </is>
      </c>
      <c r="L5549" s="12" t="inlineStr">
        <is>
          <t>1/C</t>
        </is>
      </c>
      <c r="M5549" s="12" t="inlineStr">
        <is>
          <t>2</t>
        </is>
      </c>
      <c r="N5549" s="12" t="n">
        <v>1</v>
      </c>
      <c r="O5549" s="12" t="n">
        <v>1</v>
      </c>
      <c r="P5549" s="12" t="n">
        <v>13800</v>
      </c>
      <c r="Q5549" s="12" t="n"/>
      <c r="R5549" s="12" t="n"/>
      <c r="S5549" s="12" t="inlineStr">
        <is>
          <t>Conduit</t>
        </is>
      </c>
      <c r="T5549" s="15" t="n">
        <v>15</v>
      </c>
      <c r="U5549" s="15" t="n">
        <v>5</v>
      </c>
      <c r="V5549" s="15">
        <f>ROUNDUP((T5549+U5549+2*'Read Me'!$B$13)*(1+'Read Me'!$B$12),-1)</f>
        <v/>
      </c>
      <c r="W5549" s="15">
        <f>V5549*N5549*O5549</f>
        <v/>
      </c>
      <c r="X5549" s="12">
        <f>IF(LEFT(I5549,2)="MV",2*N5549*IF(L5549="1/C",O5549,1),0)</f>
        <v/>
      </c>
      <c r="Y5549" s="12">
        <f>IF(OR(LEFT(K5549,4)="LVAX",LEFT(K5549,6)="MV15AX",LEFT(K5549,4)="CTAX",LEFT(K5549,2)="W|"),2*N5549*O5549,0)</f>
        <v/>
      </c>
      <c r="Z5549" s="12" t="inlineStr">
        <is>
          <t>NGR in the generator / terminal-box enclosure</t>
        </is>
      </c>
      <c r="AA5549" s="12">
        <f>N5549*O5549</f>
        <v/>
      </c>
    </row>
    <row r="5550">
      <c r="A5550" s="12" t="inlineStr">
        <is>
          <t>I-MV-0026</t>
        </is>
      </c>
      <c r="B5550" s="12" t="inlineStr">
        <is>
          <t>I</t>
        </is>
      </c>
      <c r="C5550" s="12" t="inlineStr">
        <is>
          <t>Modular / portable power</t>
        </is>
      </c>
      <c r="D5550" s="12" t="inlineStr">
        <is>
          <t>IG-1 13.8 kV generator leads to IG-GSU</t>
        </is>
      </c>
      <c r="E5550" s="12" t="inlineStr">
        <is>
          <t>IG-1</t>
        </is>
      </c>
      <c r="F5550" s="12" t="inlineStr">
        <is>
          <t>IG-1: industrial gas-turbine installation, SGT-800 / H-25 class (~50 M</t>
        </is>
      </c>
      <c r="G5550" s="12" t="inlineStr">
        <is>
          <t>IG-GSU</t>
        </is>
      </c>
      <c r="H5550" s="12" t="inlineStr">
        <is>
          <t>IG-GSU: 13.8 / 34.5 kV step-up, ~60 MVA (IG-1 unit step-up)</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5</v>
      </c>
      <c r="O5550" s="12" t="n">
        <v>3</v>
      </c>
      <c r="P5550" s="12" t="n">
        <v>13800</v>
      </c>
      <c r="Q5550" s="12" t="n">
        <v>50000</v>
      </c>
      <c r="R5550" s="12" t="n">
        <v>2324</v>
      </c>
      <c r="S5550" s="12" t="inlineStr">
        <is>
          <t>Duct bank</t>
        </is>
      </c>
      <c r="T5550" s="15" t="n">
        <v>26</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5 sets per phase</t>
        </is>
      </c>
      <c r="AA5550" s="12">
        <f>N5550*O5550</f>
        <v/>
      </c>
    </row>
    <row r="5551">
      <c r="A5551" s="12" t="inlineStr">
        <is>
          <t>I-MV-0027</t>
        </is>
      </c>
      <c r="B5551" s="12" t="inlineStr">
        <is>
          <t>I</t>
        </is>
      </c>
      <c r="C5551" s="12" t="inlineStr">
        <is>
          <t>Modular / portable power</t>
        </is>
      </c>
      <c r="D5551" s="12" t="inlineStr">
        <is>
          <t>MOD-SST 13.8 kV secondary to the MOD-EH station-service section</t>
        </is>
      </c>
      <c r="E5551" s="12" t="inlineStr">
        <is>
          <t>MOD-SST</t>
        </is>
      </c>
      <c r="F5551" s="12" t="inlineStr">
        <is>
          <t>MOD-SST: 34.5 / 13.8 kV station-service transformer, ~10 MVA (yard sta</t>
        </is>
      </c>
      <c r="G5551" s="12" t="inlineStr">
        <is>
          <t>MOD-EH</t>
        </is>
      </c>
      <c r="H5551" s="12" t="inlineStr">
        <is>
          <t>MOD-EH: 34.5 kV modular collector e-house (2 bus sections + 13.8 kV st</t>
        </is>
      </c>
      <c r="I5551" s="12" t="inlineStr">
        <is>
          <t>MV 15 kV</t>
        </is>
      </c>
      <c r="J5551" s="12" t="inlineStr">
        <is>
          <t>MV-105 15 kV 1/C Cu, EPR 133%, Cu tape shield, PVC jacket (triplexed)</t>
        </is>
      </c>
      <c r="K5551" s="12" t="inlineStr">
        <is>
          <t>MV15|1/C|750</t>
        </is>
      </c>
      <c r="L5551" s="12" t="inlineStr">
        <is>
          <t>1/C</t>
        </is>
      </c>
      <c r="M5551" s="12" t="inlineStr">
        <is>
          <t>750 kcmil</t>
        </is>
      </c>
      <c r="N5551" s="12" t="n">
        <v>1</v>
      </c>
      <c r="O5551" s="12" t="n">
        <v>3</v>
      </c>
      <c r="P5551" s="12" t="n">
        <v>13800</v>
      </c>
      <c r="Q5551" s="12" t="n">
        <v>9000</v>
      </c>
      <c r="R5551" s="12" t="n">
        <v>418</v>
      </c>
      <c r="S5551" s="12" t="inlineStr">
        <is>
          <t>Duct bank</t>
        </is>
      </c>
      <c r="T5551" s="15" t="n">
        <v>40</v>
      </c>
      <c r="U5551" s="15" t="n">
        <v>20</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I-MV-0028</t>
        </is>
      </c>
      <c r="B5552" s="12" t="inlineStr">
        <is>
          <t>I</t>
        </is>
      </c>
      <c r="C5552" s="12" t="inlineStr">
        <is>
          <t>Modular / portable power</t>
        </is>
      </c>
      <c r="D5552" s="12" t="inlineStr">
        <is>
          <t>MOD-LV supply from the MOD-EH 13.8 kV station-service section</t>
        </is>
      </c>
      <c r="E5552" s="12" t="inlineStr">
        <is>
          <t>MOD-EH</t>
        </is>
      </c>
      <c r="F5552" s="12" t="inlineStr">
        <is>
          <t>MOD-EH: 34.5 kV modular collector e-house (2 bus sections + 13.8 kV st</t>
        </is>
      </c>
      <c r="G5552" s="12" t="inlineStr"/>
      <c r="H5552" s="12" t="inlineStr">
        <is>
          <t>MOD-LV 480 V board + 480 V : 13.8 kV step-up</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126</v>
      </c>
      <c r="S5552" s="12" t="inlineStr">
        <is>
          <t>Duct bank</t>
        </is>
      </c>
      <c r="T5552" s="15" t="n">
        <v>538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c r="AA5552" s="12">
        <f>N5552*O5552</f>
        <v/>
      </c>
    </row>
    <row r="5553">
      <c r="A5553" s="12" t="inlineStr">
        <is>
          <t>I-MV-0029</t>
        </is>
      </c>
      <c r="B5553" s="12" t="inlineStr">
        <is>
          <t>I</t>
        </is>
      </c>
      <c r="C5553" s="12" t="inlineStr">
        <is>
          <t>Modular / portable power</t>
        </is>
      </c>
      <c r="D5553" s="12" t="inlineStr">
        <is>
          <t>MTG-1 generator neutral to its high-resistance grounding resistor (in the package)</t>
        </is>
      </c>
      <c r="E5553" s="12" t="inlineStr">
        <is>
          <t>MTG-1</t>
        </is>
      </c>
      <c r="F5553" s="12" t="inlineStr">
        <is>
          <t xml:space="preserve">MTG-1: mid-size industrial gas-turbine generator package ~16 MW, 13.8 </t>
        </is>
      </c>
      <c r="G5553" s="12" t="inlineStr">
        <is>
          <t>MTG-1</t>
        </is>
      </c>
      <c r="H5553" s="12" t="inlineStr">
        <is>
          <t xml:space="preserve">MTG-1: mid-size industrial gas-turbine generator package ~16 MW, 13.8 </t>
        </is>
      </c>
      <c r="I5553" s="12" t="inlineStr">
        <is>
          <t>MV 15 kV</t>
        </is>
      </c>
      <c r="J5553" s="12" t="inlineStr">
        <is>
          <t>MV-105 15 kV 1/C Cu, EPR 133%, Cu tape shield, PVC jacket (triplexed)</t>
        </is>
      </c>
      <c r="K5553" s="12" t="inlineStr">
        <is>
          <t>MV15|1/C|2</t>
        </is>
      </c>
      <c r="L5553" s="12" t="inlineStr">
        <is>
          <t>1/C</t>
        </is>
      </c>
      <c r="M5553" s="12" t="inlineStr">
        <is>
          <t>2</t>
        </is>
      </c>
      <c r="N5553" s="12" t="n">
        <v>1</v>
      </c>
      <c r="O5553" s="12" t="n">
        <v>1</v>
      </c>
      <c r="P5553" s="12" t="n">
        <v>13800</v>
      </c>
      <c r="Q5553" s="12" t="n"/>
      <c r="R5553" s="12" t="n"/>
      <c r="S5553" s="12" t="inlineStr">
        <is>
          <t>Conduit</t>
        </is>
      </c>
      <c r="T5553" s="15" t="n">
        <v>15</v>
      </c>
      <c r="U5553" s="15" t="n">
        <v>5</v>
      </c>
      <c r="V5553" s="15">
        <f>ROUNDUP((T5553+U5553+2*'Read Me'!$B$13)*(1+'Read Me'!$B$12),-1)</f>
        <v/>
      </c>
      <c r="W5553" s="15">
        <f>V5553*N5553*O5553</f>
        <v/>
      </c>
      <c r="X5553" s="12">
        <f>IF(LEFT(I5553,2)="MV",2*N5553*IF(L5553="1/C",O5553,1),0)</f>
        <v/>
      </c>
      <c r="Y5553" s="12">
        <f>IF(OR(LEFT(K5553,4)="LVAX",LEFT(K5553,6)="MV15AX",LEFT(K5553,4)="CTAX",LEFT(K5553,2)="W|"),2*N5553*O5553,0)</f>
        <v/>
      </c>
      <c r="Z5553" s="12" t="inlineStr">
        <is>
          <t>NGR in the generator / terminal-box enclosure</t>
        </is>
      </c>
      <c r="AA5553" s="12">
        <f>N5553*O5553</f>
        <v/>
      </c>
    </row>
    <row r="5554">
      <c r="A5554" s="12" t="inlineStr">
        <is>
          <t>I-MV-0030</t>
        </is>
      </c>
      <c r="B5554" s="12" t="inlineStr">
        <is>
          <t>I</t>
        </is>
      </c>
      <c r="C5554" s="12" t="inlineStr">
        <is>
          <t>Modular / portable power</t>
        </is>
      </c>
      <c r="D5554" s="12" t="inlineStr">
        <is>
          <t>MTG-2 generator neutral to its high-resistance grounding resistor (in the package)</t>
        </is>
      </c>
      <c r="E5554" s="12" t="inlineStr">
        <is>
          <t>MTG-2</t>
        </is>
      </c>
      <c r="F5554" s="12" t="inlineStr">
        <is>
          <t xml:space="preserve">MTG-2: mid-size industrial gas-turbine generator package ~16 MW, 13.8 </t>
        </is>
      </c>
      <c r="G5554" s="12" t="inlineStr">
        <is>
          <t>MTG-2</t>
        </is>
      </c>
      <c r="H5554" s="12" t="inlineStr">
        <is>
          <t xml:space="preserve">MTG-2: mid-size industrial gas-turbine generator package ~16 MW, 13.8 </t>
        </is>
      </c>
      <c r="I5554" s="12" t="inlineStr">
        <is>
          <t>MV 15 kV</t>
        </is>
      </c>
      <c r="J5554" s="12" t="inlineStr">
        <is>
          <t>MV-105 15 kV 1/C Cu, EPR 133%, Cu tape shield, PVC jacket (triplexed)</t>
        </is>
      </c>
      <c r="K5554" s="12" t="inlineStr">
        <is>
          <t>MV15|1/C|2</t>
        </is>
      </c>
      <c r="L5554" s="12" t="inlineStr">
        <is>
          <t>1/C</t>
        </is>
      </c>
      <c r="M5554" s="12" t="inlineStr">
        <is>
          <t>2</t>
        </is>
      </c>
      <c r="N5554" s="12" t="n">
        <v>1</v>
      </c>
      <c r="O5554" s="12" t="n">
        <v>1</v>
      </c>
      <c r="P5554" s="12" t="n">
        <v>13800</v>
      </c>
      <c r="Q5554" s="12" t="n"/>
      <c r="R5554" s="12" t="n"/>
      <c r="S5554" s="12" t="inlineStr">
        <is>
          <t>Conduit</t>
        </is>
      </c>
      <c r="T5554" s="15" t="n">
        <v>15</v>
      </c>
      <c r="U5554" s="15" t="n">
        <v>5</v>
      </c>
      <c r="V5554" s="15">
        <f>ROUNDUP((T5554+U5554+2*'Read Me'!$B$13)*(1+'Read Me'!$B$12),-1)</f>
        <v/>
      </c>
      <c r="W5554" s="15">
        <f>V5554*N5554*O5554</f>
        <v/>
      </c>
      <c r="X5554" s="12">
        <f>IF(LEFT(I5554,2)="MV",2*N5554*IF(L5554="1/C",O5554,1),0)</f>
        <v/>
      </c>
      <c r="Y5554" s="12">
        <f>IF(OR(LEFT(K5554,4)="LVAX",LEFT(K5554,6)="MV15AX",LEFT(K5554,4)="CTAX",LEFT(K5554,2)="W|"),2*N5554*O5554,0)</f>
        <v/>
      </c>
      <c r="Z5554" s="12" t="inlineStr">
        <is>
          <t>NGR in the generator / terminal-box enclosure</t>
        </is>
      </c>
      <c r="AA5554" s="12">
        <f>N5554*O5554</f>
        <v/>
      </c>
    </row>
    <row r="5555">
      <c r="A5555" s="12" t="inlineStr">
        <is>
          <t>I-MV-0031</t>
        </is>
      </c>
      <c r="B5555" s="12" t="inlineStr">
        <is>
          <t>I</t>
        </is>
      </c>
      <c r="C5555" s="12" t="inlineStr">
        <is>
          <t>Modular / portable power</t>
        </is>
      </c>
      <c r="D5555" s="12" t="inlineStr">
        <is>
          <t>MTG-AUX 13.8 kV primary</t>
        </is>
      </c>
      <c r="E5555" s="12" t="inlineStr">
        <is>
          <t>MTG-SWG</t>
        </is>
      </c>
      <c r="F5555" s="12" t="inlineStr">
        <is>
          <t>MTG-SWG: 13.8 kV switchgear e-house (2 generator breakers, site feeder</t>
        </is>
      </c>
      <c r="G5555" s="12" t="inlineStr">
        <is>
          <t>MTG-AUX</t>
        </is>
      </c>
      <c r="H5555" s="12" t="inlineStr">
        <is>
          <t>MTG-AUX: 13.8 / 0.48 kV auxiliary transformer</t>
        </is>
      </c>
      <c r="I5555" s="12" t="inlineStr">
        <is>
          <t>MV 15 kV</t>
        </is>
      </c>
      <c r="J5555" s="12" t="inlineStr">
        <is>
          <t>MV-105 15 kV 1/C Cu, EPR 133%, Cu tape shield, PVC jacket (triplexed)</t>
        </is>
      </c>
      <c r="K5555" s="12" t="inlineStr">
        <is>
          <t>MV15|1/C|2</t>
        </is>
      </c>
      <c r="L5555" s="12" t="inlineStr">
        <is>
          <t>1/C</t>
        </is>
      </c>
      <c r="M5555" s="12" t="inlineStr">
        <is>
          <t>2</t>
        </is>
      </c>
      <c r="N5555" s="12" t="n">
        <v>1</v>
      </c>
      <c r="O5555" s="12" t="n">
        <v>3</v>
      </c>
      <c r="P5555" s="12" t="n">
        <v>13800</v>
      </c>
      <c r="Q5555" s="12" t="n">
        <v>750</v>
      </c>
      <c r="R5555" s="12" t="n">
        <v>31</v>
      </c>
      <c r="S5555" s="12" t="inlineStr">
        <is>
          <t>Duct bank</t>
        </is>
      </c>
      <c r="T5555" s="15" t="n">
        <v>34</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c r="AA5555" s="12">
        <f>N5555*O5555</f>
        <v/>
      </c>
    </row>
    <row r="5556">
      <c r="A5556" s="12" t="inlineStr">
        <is>
          <t>I-MV-0032</t>
        </is>
      </c>
      <c r="B5556" s="12" t="inlineStr">
        <is>
          <t>I</t>
        </is>
      </c>
      <c r="C5556" s="12" t="inlineStr">
        <is>
          <t>Modular / portable power</t>
        </is>
      </c>
      <c r="D5556" s="12" t="inlineStr">
        <is>
          <t>MTG-SWG 13.8 kV to MTG-GSU</t>
        </is>
      </c>
      <c r="E5556" s="12" t="inlineStr">
        <is>
          <t>MTG-SWG</t>
        </is>
      </c>
      <c r="F5556" s="12" t="inlineStr">
        <is>
          <t>MTG-SWG: 13.8 kV switchgear e-house (2 generator breakers, site feeder</t>
        </is>
      </c>
      <c r="G5556" s="12" t="inlineStr">
        <is>
          <t>MTG-GSU</t>
        </is>
      </c>
      <c r="H5556" s="12" t="inlineStr">
        <is>
          <t>MTG-GSU: 13.8 / 34.5 kV step-up, ~40 MVA (mid-size turbines)</t>
        </is>
      </c>
      <c r="I5556" s="12" t="inlineStr">
        <is>
          <t>MV 15 kV</t>
        </is>
      </c>
      <c r="J5556" s="12" t="inlineStr">
        <is>
          <t>MV-105 15 kV 1/C Cu, EPR 133%, Cu tape shield, PVC jacket (triplexed)</t>
        </is>
      </c>
      <c r="K5556" s="12" t="inlineStr">
        <is>
          <t>MV15|1/C|1000</t>
        </is>
      </c>
      <c r="L5556" s="12" t="inlineStr">
        <is>
          <t>1/C</t>
        </is>
      </c>
      <c r="M5556" s="12" t="inlineStr">
        <is>
          <t>1000 kcmil</t>
        </is>
      </c>
      <c r="N5556" s="12" t="n">
        <v>3</v>
      </c>
      <c r="O5556" s="12" t="n">
        <v>3</v>
      </c>
      <c r="P5556" s="12" t="n">
        <v>13800</v>
      </c>
      <c r="Q5556" s="12" t="n">
        <v>32000</v>
      </c>
      <c r="R5556" s="12" t="n">
        <v>1488</v>
      </c>
      <c r="S5556" s="12" t="inlineStr">
        <is>
          <t>Duct bank</t>
        </is>
      </c>
      <c r="T5556" s="15" t="n">
        <v>12</v>
      </c>
      <c r="U5556" s="15" t="n">
        <v>32</v>
      </c>
      <c r="V5556" s="15">
        <f>ROUNDUP((T5556+U5556+2*'Read Me'!$B$13)*(1+'Read Me'!$B$12),-1)</f>
        <v/>
      </c>
      <c r="W5556" s="15">
        <f>V5556*N5556*O5556</f>
        <v/>
      </c>
      <c r="X5556" s="12">
        <f>IF(LEFT(I5556,2)="MV",2*N5556*IF(L5556="1/C",O5556,1),0)</f>
        <v/>
      </c>
      <c r="Y5556" s="12">
        <f>IF(OR(LEFT(K5556,4)="LVAX",LEFT(K5556,6)="MV15AX",LEFT(K5556,4)="CTAX",LEFT(K5556,2)="W|"),2*N5556*O5556,0)</f>
        <v/>
      </c>
      <c r="Z5556" s="12" t="inlineStr">
        <is>
          <t>3 sets per phase</t>
        </is>
      </c>
      <c r="AA5556" s="12">
        <f>N5556*O5556</f>
        <v/>
      </c>
    </row>
    <row r="5557">
      <c r="A5557" s="12" t="inlineStr">
        <is>
          <t>I-MV-0033</t>
        </is>
      </c>
      <c r="B5557" s="12" t="inlineStr">
        <is>
          <t>I</t>
        </is>
      </c>
      <c r="C5557" s="12" t="inlineStr">
        <is>
          <t>Modular / portable power</t>
        </is>
      </c>
      <c r="D5557" s="12" t="inlineStr">
        <is>
          <t>MTG-1 13.8 kV generator leads to the switchgear e-house</t>
        </is>
      </c>
      <c r="E5557" s="12" t="inlineStr">
        <is>
          <t>MTG-1</t>
        </is>
      </c>
      <c r="F5557" s="12" t="inlineStr">
        <is>
          <t xml:space="preserve">MTG-1: mid-size industrial gas-turbine generator package ~16 MW, 13.8 </t>
        </is>
      </c>
      <c r="G5557" s="12" t="inlineStr">
        <is>
          <t>MTG-SWG</t>
        </is>
      </c>
      <c r="H5557" s="12" t="inlineStr">
        <is>
          <t>MTG-SWG: 13.8 kV switchgear e-house (2 generator breakers, site feeder</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16000</v>
      </c>
      <c r="R5557" s="12" t="n">
        <v>744</v>
      </c>
      <c r="S5557" s="12" t="inlineStr">
        <is>
          <t>Duct bank</t>
        </is>
      </c>
      <c r="T5557" s="15" t="n">
        <v>39</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is>
          <t>2 sets per phase</t>
        </is>
      </c>
      <c r="AA5557" s="12">
        <f>N5557*O5557</f>
        <v/>
      </c>
    </row>
    <row r="5558">
      <c r="A5558" s="12" t="inlineStr">
        <is>
          <t>I-MV-0034</t>
        </is>
      </c>
      <c r="B5558" s="12" t="inlineStr">
        <is>
          <t>I</t>
        </is>
      </c>
      <c r="C5558" s="12" t="inlineStr">
        <is>
          <t>Modular / portable power</t>
        </is>
      </c>
      <c r="D5558" s="12" t="inlineStr">
        <is>
          <t>MTG-2 13.8 kV generator leads to the switchgear e-house</t>
        </is>
      </c>
      <c r="E5558" s="12" t="inlineStr">
        <is>
          <t>MTG-2</t>
        </is>
      </c>
      <c r="F5558" s="12" t="inlineStr">
        <is>
          <t xml:space="preserve">MTG-2: mid-size industrial gas-turbine generator package ~16 MW, 13.8 </t>
        </is>
      </c>
      <c r="G5558" s="12" t="inlineStr">
        <is>
          <t>MTG-SWG</t>
        </is>
      </c>
      <c r="H5558" s="12" t="inlineStr">
        <is>
          <t>MTG-SWG: 13.8 kV switchgear e-house (2 generator breakers, site feeder</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16000</v>
      </c>
      <c r="R5558" s="12" t="n">
        <v>744</v>
      </c>
      <c r="S5558" s="12" t="inlineStr">
        <is>
          <t>Duct bank</t>
        </is>
      </c>
      <c r="T5558" s="15" t="n">
        <v>9</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is>
          <t>2 sets per phase</t>
        </is>
      </c>
      <c r="AA5558" s="12">
        <f>N5558*O5558</f>
        <v/>
      </c>
    </row>
    <row r="5559">
      <c r="A5559" s="12" t="inlineStr">
        <is>
          <t>I-MV-0035</t>
        </is>
      </c>
      <c r="B5559" s="12" t="inlineStr">
        <is>
          <t>I</t>
        </is>
      </c>
      <c r="C5559" s="12" t="inlineStr">
        <is>
          <t>Modular / portable power</t>
        </is>
      </c>
      <c r="D5559" s="12" t="inlineStr">
        <is>
          <t>TM-1 (TM2500) generator leads to PAD-EH</t>
        </is>
      </c>
      <c r="E5559" s="12" t="inlineStr">
        <is>
          <t>TM-1</t>
        </is>
      </c>
      <c r="F5559" s="12" t="inlineStr">
        <is>
          <t>TM-1: trailer-mounted aeroderivative GT (TM2500 class, ~35 MW)</t>
        </is>
      </c>
      <c r="G5559" s="12" t="inlineStr">
        <is>
          <t>PAD-EH</t>
        </is>
      </c>
      <c r="H5559" s="12" t="inlineStr">
        <is>
          <t>PAD-EH 13.8 kV switchgear e-house</t>
        </is>
      </c>
      <c r="I5559" s="12" t="inlineStr">
        <is>
          <t>MV 15 kV</t>
        </is>
      </c>
      <c r="J5559" s="12" t="inlineStr">
        <is>
          <t>MV-105 15 kV 1/C Cu, EPR 133%, Cu tape shield, PVC jacket (triplexed)</t>
        </is>
      </c>
      <c r="K5559" s="12" t="inlineStr">
        <is>
          <t>MV15|1/C|1000</t>
        </is>
      </c>
      <c r="L5559" s="12" t="inlineStr">
        <is>
          <t>1/C</t>
        </is>
      </c>
      <c r="M5559" s="12" t="inlineStr">
        <is>
          <t>1000 kcmil</t>
        </is>
      </c>
      <c r="N5559" s="12" t="n">
        <v>3</v>
      </c>
      <c r="O5559" s="12" t="n">
        <v>3</v>
      </c>
      <c r="P5559" s="12" t="n">
        <v>13800</v>
      </c>
      <c r="Q5559" s="12" t="n">
        <v>35000</v>
      </c>
      <c r="R5559" s="12" t="n">
        <v>1464</v>
      </c>
      <c r="S5559" s="12" t="inlineStr">
        <is>
          <t>Duct bank</t>
        </is>
      </c>
      <c r="T5559" s="15" t="n">
        <v>438</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is>
          <t>3 per phase for 125 % (nine cables in the model)</t>
        </is>
      </c>
      <c r="AA5559" s="12">
        <f>N5559*O5559</f>
        <v/>
      </c>
    </row>
    <row r="5560">
      <c r="A5560" s="12" t="inlineStr">
        <is>
          <t>I-MV-0036</t>
        </is>
      </c>
      <c r="B5560" s="12" t="inlineStr">
        <is>
          <t>I</t>
        </is>
      </c>
      <c r="C5560" s="12" t="inlineStr">
        <is>
          <t>Modular / portable power</t>
        </is>
      </c>
      <c r="D5560" s="12" t="inlineStr">
        <is>
          <t>CHP-SWG 13.8 kV site feeder to PAD-EH</t>
        </is>
      </c>
      <c r="E5560" s="12" t="inlineStr">
        <is>
          <t>CHP-SWG</t>
        </is>
      </c>
      <c r="F5560" s="12" t="inlineStr">
        <is>
          <t>CHP-SWG: 13.8 kV switchgear container (4 engine breakers, site feeder)</t>
        </is>
      </c>
      <c r="G5560" s="12" t="inlineStr">
        <is>
          <t>PAD-EH</t>
        </is>
      </c>
      <c r="H5560" s="12" t="inlineStr">
        <is>
          <t>PAD-EH 13.8 kV switchgear e-house</t>
        </is>
      </c>
      <c r="I5560" s="12" t="inlineStr">
        <is>
          <t>MV 15 kV</t>
        </is>
      </c>
      <c r="J5560" s="12" t="inlineStr">
        <is>
          <t>MV-105 15 kV 1/C Cu, EPR 133%, Cu tape shield, PVC jacket (triplexed)</t>
        </is>
      </c>
      <c r="K5560" s="12" t="inlineStr">
        <is>
          <t>MV15|1/C|1000</t>
        </is>
      </c>
      <c r="L5560" s="12" t="inlineStr">
        <is>
          <t>1/C</t>
        </is>
      </c>
      <c r="M5560" s="12" t="inlineStr">
        <is>
          <t>1000 kcmil</t>
        </is>
      </c>
      <c r="N5560" s="12" t="n">
        <v>1</v>
      </c>
      <c r="O5560" s="12" t="n">
        <v>3</v>
      </c>
      <c r="P5560" s="12" t="n">
        <v>13800</v>
      </c>
      <c r="Q5560" s="12" t="n">
        <v>10000</v>
      </c>
      <c r="R5560" s="12" t="n">
        <v>465</v>
      </c>
      <c r="S5560" s="12" t="inlineStr">
        <is>
          <t>Duct bank</t>
        </is>
      </c>
      <c r="T5560" s="15" t="n">
        <v>225</v>
      </c>
      <c r="U5560" s="15" t="n">
        <v>32</v>
      </c>
      <c r="V5560" s="15">
        <f>ROUNDUP((T5560+U5560+2*'Read Me'!$B$13)*(1+'Read Me'!$B$12),-1)</f>
        <v/>
      </c>
      <c r="W5560" s="15">
        <f>V5560*N5560*O5560</f>
        <v/>
      </c>
      <c r="X5560" s="12">
        <f>IF(LEFT(I5560,2)="MV",2*N5560*IF(L5560="1/C",O5560,1),0)</f>
        <v/>
      </c>
      <c r="Y5560" s="12">
        <f>IF(OR(LEFT(K5560,4)="LVAX",LEFT(K5560,6)="MV15AX",LEFT(K5560,4)="CTAX",LEFT(K5560,2)="W|"),2*N5560*O5560,0)</f>
        <v/>
      </c>
      <c r="Z5560" s="12" t="inlineStr">
        <is>
          <t>1 set per phase</t>
        </is>
      </c>
      <c r="AA5560" s="12">
        <f>N5560*O5560</f>
        <v/>
      </c>
    </row>
    <row r="5561">
      <c r="A5561" s="12" t="inlineStr">
        <is>
          <t>I-MV-0037</t>
        </is>
      </c>
      <c r="B5561" s="12" t="inlineStr">
        <is>
          <t>I</t>
        </is>
      </c>
      <c r="C5561" s="12" t="inlineStr">
        <is>
          <t>Modular / portable power</t>
        </is>
      </c>
      <c r="D5561" s="12" t="inlineStr">
        <is>
          <t>MT-TX 13.8 kV to PAD-EH</t>
        </is>
      </c>
      <c r="E5561" s="12" t="inlineStr">
        <is>
          <t>MT-TX</t>
        </is>
      </c>
      <c r="F5561" s="12" t="inlineStr">
        <is>
          <t>MT-TX: 480 V : 13.8 kV, ~3.75 MVA pad-mount (microturbine site)</t>
        </is>
      </c>
      <c r="G5561" s="12" t="inlineStr">
        <is>
          <t>PAD-EH</t>
        </is>
      </c>
      <c r="H5561" s="12" t="inlineStr">
        <is>
          <t>PAD-EH 13.8 kV switchgear e-house</t>
        </is>
      </c>
      <c r="I5561" s="12" t="inlineStr">
        <is>
          <t>MV 15 kV</t>
        </is>
      </c>
      <c r="J5561" s="12" t="inlineStr">
        <is>
          <t>MV-105 15 kV 1/C Cu, EPR 133%, Cu tape shield, PVC jacket (triplexed)</t>
        </is>
      </c>
      <c r="K5561" s="12" t="inlineStr">
        <is>
          <t>MV15|1/C|1/0</t>
        </is>
      </c>
      <c r="L5561" s="12" t="inlineStr">
        <is>
          <t>1/C</t>
        </is>
      </c>
      <c r="M5561" s="12" t="inlineStr">
        <is>
          <t>1/0</t>
        </is>
      </c>
      <c r="N5561" s="12" t="n">
        <v>1</v>
      </c>
      <c r="O5561" s="12" t="n">
        <v>3</v>
      </c>
      <c r="P5561" s="12" t="n">
        <v>13800</v>
      </c>
      <c r="Q5561" s="12" t="n">
        <v>3000</v>
      </c>
      <c r="R5561" s="12" t="n">
        <v>139</v>
      </c>
      <c r="S5561" s="12" t="inlineStr">
        <is>
          <t>Surface</t>
        </is>
      </c>
      <c r="T5561" s="15" t="n">
        <v>148</v>
      </c>
      <c r="U5561" s="15" t="n">
        <v>27</v>
      </c>
      <c r="V5561" s="15">
        <f>ROUNDUP((T5561+U5561+2*'Read Me'!$B$13)*(1+'Read Me'!$B$12),-1)</f>
        <v/>
      </c>
      <c r="W5561" s="15">
        <f>V5561*N5561*O5561</f>
        <v/>
      </c>
      <c r="X5561" s="12">
        <f>IF(LEFT(I5561,2)="MV",2*N5561*IF(L5561="1/C",O5561,1),0)</f>
        <v/>
      </c>
      <c r="Y5561" s="12">
        <f>IF(OR(LEFT(K5561,4)="LVAX",LEFT(K5561,6)="MV15AX",LEFT(K5561,4)="CTAX",LEFT(K5561,2)="W|"),2*N5561*O5561,0)</f>
        <v/>
      </c>
      <c r="Z5561" s="12" t="inlineStr">
        <is>
          <t>1 set per phase</t>
        </is>
      </c>
      <c r="AA5561" s="12">
        <f>N5561*O5561</f>
        <v/>
      </c>
    </row>
    <row r="5562">
      <c r="A5562" s="12" t="inlineStr">
        <is>
          <t>I-MV-0038</t>
        </is>
      </c>
      <c r="B5562" s="12" t="inlineStr">
        <is>
          <t>I</t>
        </is>
      </c>
      <c r="C5562" s="12" t="inlineStr">
        <is>
          <t>Modular / portable power</t>
        </is>
      </c>
      <c r="D5562" s="12" t="inlineStr">
        <is>
          <t>PAD-EH 13.8 kV to PAD-GSU</t>
        </is>
      </c>
      <c r="E5562" s="12" t="inlineStr">
        <is>
          <t>PAD-EH</t>
        </is>
      </c>
      <c r="F5562" s="12" t="inlineStr">
        <is>
          <t>PAD-EH 13.8 kV switchgear e-house</t>
        </is>
      </c>
      <c r="G5562" s="12" t="inlineStr">
        <is>
          <t>PAD-GSU</t>
        </is>
      </c>
      <c r="H5562" s="12" t="inlineStr">
        <is>
          <t>PAD-GSU: 13.8 / 34.5 kV step-up, ~60 MVA (PAD-EH: TM-1, CHP site, MT-T</t>
        </is>
      </c>
      <c r="I5562" s="12" t="inlineStr">
        <is>
          <t>MV 15 kV</t>
        </is>
      </c>
      <c r="J5562" s="12" t="inlineStr">
        <is>
          <t>MV-105 15 kV 1/C Cu, EPR 133%, Cu tape shield, PVC jacket (triplexed)</t>
        </is>
      </c>
      <c r="K5562" s="12" t="inlineStr">
        <is>
          <t>MV15|1/C|1000</t>
        </is>
      </c>
      <c r="L5562" s="12" t="inlineStr">
        <is>
          <t>1/C</t>
        </is>
      </c>
      <c r="M5562" s="12" t="inlineStr">
        <is>
          <t>1000 kcmil</t>
        </is>
      </c>
      <c r="N5562" s="12" t="n">
        <v>5</v>
      </c>
      <c r="O5562" s="12" t="n">
        <v>3</v>
      </c>
      <c r="P5562" s="12" t="n">
        <v>13800</v>
      </c>
      <c r="Q5562" s="12" t="n">
        <v>51000</v>
      </c>
      <c r="R5562" s="12" t="n">
        <v>2371</v>
      </c>
      <c r="S5562" s="12" t="inlineStr">
        <is>
          <t>Duct bank</t>
        </is>
      </c>
      <c r="T5562" s="15" t="n">
        <v>45</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5 sets per phase</t>
        </is>
      </c>
      <c r="AA5562" s="12">
        <f>N5562*O5562</f>
        <v/>
      </c>
    </row>
    <row r="5563">
      <c r="A5563" s="12" t="inlineStr">
        <is>
          <t>I-MV-0039</t>
        </is>
      </c>
      <c r="B5563" s="12" t="inlineStr">
        <is>
          <t>I</t>
        </is>
      </c>
      <c r="C5563" s="12" t="inlineStr">
        <is>
          <t>Modular / portable power</t>
        </is>
      </c>
      <c r="D5563" s="12" t="inlineStr">
        <is>
          <t>RICE-1 generator leads to the PCM</t>
        </is>
      </c>
      <c r="E5563" s="12" t="inlineStr">
        <is>
          <t>RICE-1</t>
        </is>
      </c>
      <c r="F5563" s="12" t="inlineStr">
        <is>
          <t>RICE engine-generator 1</t>
        </is>
      </c>
      <c r="G5563" s="12" t="inlineStr"/>
      <c r="H5563" s="12" t="inlineStr">
        <is>
          <t>PCM: power control module</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2</v>
      </c>
      <c r="O5563" s="12" t="n">
        <v>3</v>
      </c>
      <c r="P5563" s="12" t="n">
        <v>13800</v>
      </c>
      <c r="Q5563" s="12" t="n">
        <v>18400</v>
      </c>
      <c r="R5563" s="12" t="n">
        <v>855</v>
      </c>
      <c r="S5563" s="12" t="inlineStr">
        <is>
          <t>Duct bank</t>
        </is>
      </c>
      <c r="T5563" s="15" t="n">
        <v>542</v>
      </c>
      <c r="U5563" s="15" t="n">
        <v>111</v>
      </c>
      <c r="V5563" s="15">
        <f>ROUNDUP((T5563+U5563+2*'Read Me'!$B$13)*(1+'Read Me'!$B$12),-1)</f>
        <v/>
      </c>
      <c r="W5563" s="15">
        <f>V5563*N5563*O5563</f>
        <v/>
      </c>
      <c r="X5563" s="12">
        <f>IF(LEFT(I5563,2)="MV",2*N5563*IF(L5563="1/C",O5563,1),0)</f>
        <v/>
      </c>
      <c r="Y5563" s="12">
        <f>IF(OR(LEFT(K5563,4)="LVAX",LEFT(K5563,6)="MV15AX",LEFT(K5563,4)="CTAX",LEFT(K5563,2)="W|"),2*N5563*O5563,0)</f>
        <v/>
      </c>
      <c r="Z5563" s="12" t="inlineStr">
        <is>
          <t>18V50 class ~18 MW (typ.), 0.9 pf</t>
        </is>
      </c>
      <c r="AA5563" s="12">
        <f>N5563*O5563</f>
        <v/>
      </c>
    </row>
    <row r="5564">
      <c r="A5564" s="12" t="inlineStr">
        <is>
          <t>I-MV-0040</t>
        </is>
      </c>
      <c r="B5564" s="12" t="inlineStr">
        <is>
          <t>I</t>
        </is>
      </c>
      <c r="C5564" s="12" t="inlineStr">
        <is>
          <t>Modular / portable power</t>
        </is>
      </c>
      <c r="D5564" s="12" t="inlineStr">
        <is>
          <t>RICE-2 generator leads to the PCM</t>
        </is>
      </c>
      <c r="E5564" s="12" t="inlineStr">
        <is>
          <t>RICE-2</t>
        </is>
      </c>
      <c r="F5564" s="12" t="inlineStr">
        <is>
          <t>RICE engine-generator 2</t>
        </is>
      </c>
      <c r="G5564" s="12" t="inlineStr"/>
      <c r="H5564" s="12" t="inlineStr">
        <is>
          <t>PCM: power control module</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2</v>
      </c>
      <c r="O5564" s="12" t="n">
        <v>3</v>
      </c>
      <c r="P5564" s="12" t="n">
        <v>13800</v>
      </c>
      <c r="Q5564" s="12" t="n">
        <v>18400</v>
      </c>
      <c r="R5564" s="12" t="n">
        <v>855</v>
      </c>
      <c r="S5564" s="12" t="inlineStr">
        <is>
          <t>Duct bank</t>
        </is>
      </c>
      <c r="T5564" s="15" t="n">
        <v>516</v>
      </c>
      <c r="U5564" s="15" t="n">
        <v>109</v>
      </c>
      <c r="V5564" s="15">
        <f>ROUNDUP((T5564+U5564+2*'Read Me'!$B$13)*(1+'Read Me'!$B$12),-1)</f>
        <v/>
      </c>
      <c r="W5564" s="15">
        <f>V5564*N5564*O5564</f>
        <v/>
      </c>
      <c r="X5564" s="12">
        <f>IF(LEFT(I5564,2)="MV",2*N5564*IF(L5564="1/C",O5564,1),0)</f>
        <v/>
      </c>
      <c r="Y5564" s="12">
        <f>IF(OR(LEFT(K5564,4)="LVAX",LEFT(K5564,6)="MV15AX",LEFT(K5564,4)="CTAX",LEFT(K5564,2)="W|"),2*N5564*O5564,0)</f>
        <v/>
      </c>
      <c r="Z5564" s="12" t="inlineStr">
        <is>
          <t>18V50 class ~18 MW (typ.), 0.9 pf</t>
        </is>
      </c>
      <c r="AA5564" s="12">
        <f>N5564*O5564</f>
        <v/>
      </c>
    </row>
    <row r="5565">
      <c r="A5565" s="12" t="inlineStr">
        <is>
          <t>I-MV-0041</t>
        </is>
      </c>
      <c r="B5565" s="12" t="inlineStr">
        <is>
          <t>I</t>
        </is>
      </c>
      <c r="C5565" s="12" t="inlineStr">
        <is>
          <t>Modular / portable power</t>
        </is>
      </c>
      <c r="D5565" s="12" t="inlineStr">
        <is>
          <t>RICE-3 generator leads to the PCM</t>
        </is>
      </c>
      <c r="E5565" s="12" t="inlineStr">
        <is>
          <t>RICE-3</t>
        </is>
      </c>
      <c r="F5565" s="12" t="inlineStr">
        <is>
          <t>RICE engine-generator 3</t>
        </is>
      </c>
      <c r="G5565" s="12" t="inlineStr"/>
      <c r="H5565" s="12" t="inlineStr">
        <is>
          <t>PCM: power control module</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2</v>
      </c>
      <c r="O5565" s="12" t="n">
        <v>3</v>
      </c>
      <c r="P5565" s="12" t="n">
        <v>13800</v>
      </c>
      <c r="Q5565" s="12" t="n">
        <v>18400</v>
      </c>
      <c r="R5565" s="12" t="n">
        <v>855</v>
      </c>
      <c r="S5565" s="12" t="inlineStr">
        <is>
          <t>Duct bank</t>
        </is>
      </c>
      <c r="T5565" s="15" t="n">
        <v>516</v>
      </c>
      <c r="U5565" s="15" t="n">
        <v>81</v>
      </c>
      <c r="V5565" s="15">
        <f>ROUNDUP((T5565+U5565+2*'Read Me'!$B$13)*(1+'Read Me'!$B$12),-1)</f>
        <v/>
      </c>
      <c r="W5565" s="15">
        <f>V5565*N5565*O5565</f>
        <v/>
      </c>
      <c r="X5565" s="12">
        <f>IF(LEFT(I5565,2)="MV",2*N5565*IF(L5565="1/C",O5565,1),0)</f>
        <v/>
      </c>
      <c r="Y5565" s="12">
        <f>IF(OR(LEFT(K5565,4)="LVAX",LEFT(K5565,6)="MV15AX",LEFT(K5565,4)="CTAX",LEFT(K5565,2)="W|"),2*N5565*O5565,0)</f>
        <v/>
      </c>
      <c r="Z5565" s="12" t="inlineStr">
        <is>
          <t>18V50 class ~18 MW (typ.), 0.9 pf</t>
        </is>
      </c>
      <c r="AA5565" s="12">
        <f>N5565*O5565</f>
        <v/>
      </c>
    </row>
    <row r="5566">
      <c r="A5566" s="12" t="inlineStr">
        <is>
          <t>I-MV-0042</t>
        </is>
      </c>
      <c r="B5566" s="12" t="inlineStr">
        <is>
          <t>I</t>
        </is>
      </c>
      <c r="C5566" s="12" t="inlineStr">
        <is>
          <t>Modular / portable power</t>
        </is>
      </c>
      <c r="D5566" s="12" t="inlineStr">
        <is>
          <t>RICE-4 generator leads to the PCM</t>
        </is>
      </c>
      <c r="E5566" s="12" t="inlineStr">
        <is>
          <t>RICE-4</t>
        </is>
      </c>
      <c r="F5566" s="12" t="inlineStr">
        <is>
          <t>RICE engine-generator 4</t>
        </is>
      </c>
      <c r="G5566" s="12" t="inlineStr"/>
      <c r="H5566" s="12" t="inlineStr">
        <is>
          <t>PCM: power control module</t>
        </is>
      </c>
      <c r="I5566" s="12" t="inlineStr">
        <is>
          <t>MV 15 kV</t>
        </is>
      </c>
      <c r="J5566" s="12" t="inlineStr">
        <is>
          <t>MV-105 15 kV 1/C Cu, EPR 133%, Cu tape shield, PVC jacket (triplexed)</t>
        </is>
      </c>
      <c r="K5566" s="12" t="inlineStr">
        <is>
          <t>MV15|1/C|750</t>
        </is>
      </c>
      <c r="L5566" s="12" t="inlineStr">
        <is>
          <t>1/C</t>
        </is>
      </c>
      <c r="M5566" s="12" t="inlineStr">
        <is>
          <t>750 kcmil</t>
        </is>
      </c>
      <c r="N5566" s="12" t="n">
        <v>2</v>
      </c>
      <c r="O5566" s="12" t="n">
        <v>3</v>
      </c>
      <c r="P5566" s="12" t="n">
        <v>13800</v>
      </c>
      <c r="Q5566" s="12" t="n">
        <v>18400</v>
      </c>
      <c r="R5566" s="12" t="n">
        <v>855</v>
      </c>
      <c r="S5566" s="12" t="inlineStr">
        <is>
          <t>Duct bank</t>
        </is>
      </c>
      <c r="T5566" s="15" t="n">
        <v>516</v>
      </c>
      <c r="U5566" s="15" t="n">
        <v>53</v>
      </c>
      <c r="V5566" s="15">
        <f>ROUNDUP((T5566+U5566+2*'Read Me'!$B$13)*(1+'Read Me'!$B$12),-1)</f>
        <v/>
      </c>
      <c r="W5566" s="15">
        <f>V5566*N5566*O5566</f>
        <v/>
      </c>
      <c r="X5566" s="12">
        <f>IF(LEFT(I5566,2)="MV",2*N5566*IF(L5566="1/C",O5566,1),0)</f>
        <v/>
      </c>
      <c r="Y5566" s="12">
        <f>IF(OR(LEFT(K5566,4)="LVAX",LEFT(K5566,6)="MV15AX",LEFT(K5566,4)="CTAX",LEFT(K5566,2)="W|"),2*N5566*O5566,0)</f>
        <v/>
      </c>
      <c r="Z5566" s="12" t="inlineStr">
        <is>
          <t>18V50 class ~18 MW (typ.), 0.9 pf</t>
        </is>
      </c>
      <c r="AA5566" s="12">
        <f>N5566*O5566</f>
        <v/>
      </c>
    </row>
    <row r="5567">
      <c r="A5567" s="12" t="inlineStr">
        <is>
          <t>I-MV-0043</t>
        </is>
      </c>
      <c r="B5567" s="12" t="inlineStr">
        <is>
          <t>I</t>
        </is>
      </c>
      <c r="C5567" s="12" t="inlineStr">
        <is>
          <t>Modular / portable power</t>
        </is>
      </c>
      <c r="D5567" s="12" t="inlineStr">
        <is>
          <t>RICE-5 generator leads to the PCM</t>
        </is>
      </c>
      <c r="E5567" s="12" t="inlineStr">
        <is>
          <t>RICE-5</t>
        </is>
      </c>
      <c r="F5567" s="12" t="inlineStr">
        <is>
          <t>RICE engine-generator 5</t>
        </is>
      </c>
      <c r="G5567" s="12" t="inlineStr"/>
      <c r="H5567" s="12" t="inlineStr">
        <is>
          <t>PCM: power control module</t>
        </is>
      </c>
      <c r="I5567" s="12" t="inlineStr">
        <is>
          <t>MV 15 kV</t>
        </is>
      </c>
      <c r="J5567" s="12" t="inlineStr">
        <is>
          <t>MV-105 15 kV 1/C Cu, EPR 133%, Cu tape shield, PVC jacket (triplexed)</t>
        </is>
      </c>
      <c r="K5567" s="12" t="inlineStr">
        <is>
          <t>MV15|1/C|750</t>
        </is>
      </c>
      <c r="L5567" s="12" t="inlineStr">
        <is>
          <t>1/C</t>
        </is>
      </c>
      <c r="M5567" s="12" t="inlineStr">
        <is>
          <t>750 kcmil</t>
        </is>
      </c>
      <c r="N5567" s="12" t="n">
        <v>2</v>
      </c>
      <c r="O5567" s="12" t="n">
        <v>3</v>
      </c>
      <c r="P5567" s="12" t="n">
        <v>13800</v>
      </c>
      <c r="Q5567" s="12" t="n">
        <v>18400</v>
      </c>
      <c r="R5567" s="12" t="n">
        <v>855</v>
      </c>
      <c r="S5567" s="12" t="inlineStr">
        <is>
          <t>Duct bank</t>
        </is>
      </c>
      <c r="T5567" s="15" t="n">
        <v>184</v>
      </c>
      <c r="U5567" s="15" t="n">
        <v>50</v>
      </c>
      <c r="V5567" s="15">
        <f>ROUNDUP((T5567+U5567+2*'Read Me'!$B$13)*(1+'Read Me'!$B$12),-1)</f>
        <v/>
      </c>
      <c r="W5567" s="15">
        <f>V5567*N5567*O5567</f>
        <v/>
      </c>
      <c r="X5567" s="12">
        <f>IF(LEFT(I5567,2)="MV",2*N5567*IF(L5567="1/C",O5567,1),0)</f>
        <v/>
      </c>
      <c r="Y5567" s="12">
        <f>IF(OR(LEFT(K5567,4)="LVAX",LEFT(K5567,6)="MV15AX",LEFT(K5567,4)="CTAX",LEFT(K5567,2)="W|"),2*N5567*O5567,0)</f>
        <v/>
      </c>
      <c r="Z5567" s="12" t="inlineStr">
        <is>
          <t>18V50 class ~18 MW (typ.), 0.9 pf</t>
        </is>
      </c>
      <c r="AA5567" s="12">
        <f>N5567*O5567</f>
        <v/>
      </c>
    </row>
    <row r="5568">
      <c r="A5568" s="12" t="inlineStr">
        <is>
          <t>I-MV-0044</t>
        </is>
      </c>
      <c r="B5568" s="12" t="inlineStr">
        <is>
          <t>I</t>
        </is>
      </c>
      <c r="C5568" s="12" t="inlineStr">
        <is>
          <t>Modular / portable power</t>
        </is>
      </c>
      <c r="D5568" s="12" t="inlineStr">
        <is>
          <t>RICE-6 generator leads to the PCM</t>
        </is>
      </c>
      <c r="E5568" s="12" t="inlineStr">
        <is>
          <t>RICE-6</t>
        </is>
      </c>
      <c r="F5568" s="12" t="inlineStr">
        <is>
          <t>RICE engine-generator 6</t>
        </is>
      </c>
      <c r="G5568" s="12" t="inlineStr"/>
      <c r="H5568" s="12" t="inlineStr">
        <is>
          <t>PCM: power control module</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2</v>
      </c>
      <c r="O5568" s="12" t="n">
        <v>3</v>
      </c>
      <c r="P5568" s="12" t="n">
        <v>13800</v>
      </c>
      <c r="Q5568" s="12" t="n">
        <v>18400</v>
      </c>
      <c r="R5568" s="12" t="n">
        <v>855</v>
      </c>
      <c r="S5568" s="12" t="inlineStr">
        <is>
          <t>Duct bank</t>
        </is>
      </c>
      <c r="T5568" s="15" t="n">
        <v>128</v>
      </c>
      <c r="U5568" s="15" t="n">
        <v>78</v>
      </c>
      <c r="V5568" s="15">
        <f>ROUNDUP((T5568+U5568+2*'Read Me'!$B$13)*(1+'Read Me'!$B$12),-1)</f>
        <v/>
      </c>
      <c r="W5568" s="15">
        <f>V5568*N5568*O5568</f>
        <v/>
      </c>
      <c r="X5568" s="12">
        <f>IF(LEFT(I5568,2)="MV",2*N5568*IF(L5568="1/C",O5568,1),0)</f>
        <v/>
      </c>
      <c r="Y5568" s="12">
        <f>IF(OR(LEFT(K5568,4)="LVAX",LEFT(K5568,6)="MV15AX",LEFT(K5568,4)="CTAX",LEFT(K5568,2)="W|"),2*N5568*O5568,0)</f>
        <v/>
      </c>
      <c r="Z5568" s="12" t="inlineStr">
        <is>
          <t>18V50 class ~18 MW (typ.), 0.9 pf</t>
        </is>
      </c>
      <c r="AA5568" s="12">
        <f>N5568*O5568</f>
        <v/>
      </c>
    </row>
    <row r="5569">
      <c r="A5569" s="12" t="inlineStr">
        <is>
          <t>I-MV-0045</t>
        </is>
      </c>
      <c r="B5569" s="12" t="inlineStr">
        <is>
          <t>I</t>
        </is>
      </c>
      <c r="C5569" s="12" t="inlineStr">
        <is>
          <t>Modular / portable power</t>
        </is>
      </c>
      <c r="D5569" s="12" t="inlineStr">
        <is>
          <t>RICE-7 generator leads to the PCM</t>
        </is>
      </c>
      <c r="E5569" s="12" t="inlineStr">
        <is>
          <t>RICE-7</t>
        </is>
      </c>
      <c r="F5569" s="12" t="inlineStr">
        <is>
          <t>RICE engine-generator 7</t>
        </is>
      </c>
      <c r="G5569" s="12" t="inlineStr"/>
      <c r="H5569" s="12" t="inlineStr">
        <is>
          <t>PCM: power control module</t>
        </is>
      </c>
      <c r="I5569" s="12" t="inlineStr">
        <is>
          <t>MV 15 kV</t>
        </is>
      </c>
      <c r="J5569" s="12" t="inlineStr">
        <is>
          <t>MV-105 15 kV 1/C Cu, EPR 133%, Cu tape shield, PVC jacket (triplexed)</t>
        </is>
      </c>
      <c r="K5569" s="12" t="inlineStr">
        <is>
          <t>MV15|1/C|750</t>
        </is>
      </c>
      <c r="L5569" s="12" t="inlineStr">
        <is>
          <t>1/C</t>
        </is>
      </c>
      <c r="M5569" s="12" t="inlineStr">
        <is>
          <t>750 kcmil</t>
        </is>
      </c>
      <c r="N5569" s="12" t="n">
        <v>2</v>
      </c>
      <c r="O5569" s="12" t="n">
        <v>3</v>
      </c>
      <c r="P5569" s="12" t="n">
        <v>13800</v>
      </c>
      <c r="Q5569" s="12" t="n">
        <v>18400</v>
      </c>
      <c r="R5569" s="12" t="n">
        <v>855</v>
      </c>
      <c r="S5569" s="12" t="inlineStr">
        <is>
          <t>Duct bank</t>
        </is>
      </c>
      <c r="T5569" s="15" t="n">
        <v>72</v>
      </c>
      <c r="U5569" s="15" t="n">
        <v>106</v>
      </c>
      <c r="V5569" s="15">
        <f>ROUNDUP((T5569+U5569+2*'Read Me'!$B$13)*(1+'Read Me'!$B$12),-1)</f>
        <v/>
      </c>
      <c r="W5569" s="15">
        <f>V5569*N5569*O5569</f>
        <v/>
      </c>
      <c r="X5569" s="12">
        <f>IF(LEFT(I5569,2)="MV",2*N5569*IF(L5569="1/C",O5569,1),0)</f>
        <v/>
      </c>
      <c r="Y5569" s="12">
        <f>IF(OR(LEFT(K5569,4)="LVAX",LEFT(K5569,6)="MV15AX",LEFT(K5569,4)="CTAX",LEFT(K5569,2)="W|"),2*N5569*O5569,0)</f>
        <v/>
      </c>
      <c r="Z5569" s="12" t="inlineStr">
        <is>
          <t>18V50 class ~18 MW (typ.), 0.9 pf</t>
        </is>
      </c>
      <c r="AA5569" s="12">
        <f>N5569*O5569</f>
        <v/>
      </c>
    </row>
    <row r="5570">
      <c r="A5570" s="12" t="inlineStr">
        <is>
          <t>I-MV-0046</t>
        </is>
      </c>
      <c r="B5570" s="12" t="inlineStr">
        <is>
          <t>I</t>
        </is>
      </c>
      <c r="C5570" s="12" t="inlineStr">
        <is>
          <t>Modular / portable power</t>
        </is>
      </c>
      <c r="D5570" s="12" t="inlineStr">
        <is>
          <t>RICE-8 generator leads to the PCM</t>
        </is>
      </c>
      <c r="E5570" s="12" t="inlineStr">
        <is>
          <t>RICE-8</t>
        </is>
      </c>
      <c r="F5570" s="12" t="inlineStr">
        <is>
          <t>RICE engine-generator 8</t>
        </is>
      </c>
      <c r="G5570" s="12" t="inlineStr"/>
      <c r="H5570" s="12" t="inlineStr">
        <is>
          <t>PCM: power control module</t>
        </is>
      </c>
      <c r="I5570" s="12" t="inlineStr">
        <is>
          <t>MV 15 kV</t>
        </is>
      </c>
      <c r="J5570" s="12" t="inlineStr">
        <is>
          <t>MV-105 15 kV 1/C Cu, EPR 133%, Cu tape shield, PVC jacket (triplexed)</t>
        </is>
      </c>
      <c r="K5570" s="12" t="inlineStr">
        <is>
          <t>MV15|1/C|750</t>
        </is>
      </c>
      <c r="L5570" s="12" t="inlineStr">
        <is>
          <t>1/C</t>
        </is>
      </c>
      <c r="M5570" s="12" t="inlineStr">
        <is>
          <t>750 kcmil</t>
        </is>
      </c>
      <c r="N5570" s="12" t="n">
        <v>2</v>
      </c>
      <c r="O5570" s="12" t="n">
        <v>3</v>
      </c>
      <c r="P5570" s="12" t="n">
        <v>13800</v>
      </c>
      <c r="Q5570" s="12" t="n">
        <v>18400</v>
      </c>
      <c r="R5570" s="12" t="n">
        <v>855</v>
      </c>
      <c r="S5570" s="12" t="inlineStr">
        <is>
          <t>Duct bank</t>
        </is>
      </c>
      <c r="T5570" s="15" t="n">
        <v>52</v>
      </c>
      <c r="U5570" s="15" t="n">
        <v>98</v>
      </c>
      <c r="V5570" s="15">
        <f>ROUNDUP((T5570+U5570+2*'Read Me'!$B$13)*(1+'Read Me'!$B$12),-1)</f>
        <v/>
      </c>
      <c r="W5570" s="15">
        <f>V5570*N5570*O5570</f>
        <v/>
      </c>
      <c r="X5570" s="12">
        <f>IF(LEFT(I5570,2)="MV",2*N5570*IF(L5570="1/C",O5570,1),0)</f>
        <v/>
      </c>
      <c r="Y5570" s="12">
        <f>IF(OR(LEFT(K5570,4)="LVAX",LEFT(K5570,6)="MV15AX",LEFT(K5570,4)="CTAX",LEFT(K5570,2)="W|"),2*N5570*O5570,0)</f>
        <v/>
      </c>
      <c r="Z5570" s="12" t="inlineStr">
        <is>
          <t>18V50 class ~18 MW (typ.), 0.9 pf</t>
        </is>
      </c>
      <c r="AA5570" s="12">
        <f>N5570*O5570</f>
        <v/>
      </c>
    </row>
    <row r="5571">
      <c r="A5571" s="12" t="inlineStr">
        <is>
          <t>I-MV-0047</t>
        </is>
      </c>
      <c r="B5571" s="12" t="inlineStr">
        <is>
          <t>I</t>
        </is>
      </c>
      <c r="C5571" s="12" t="inlineStr">
        <is>
          <t>Modular / portable power</t>
        </is>
      </c>
      <c r="D5571" s="12" t="inlineStr">
        <is>
          <t>PCM section A (RICE 1-2) to RICE-GSU-A</t>
        </is>
      </c>
      <c r="E5571" s="12" t="inlineStr"/>
      <c r="F5571" s="12" t="inlineStr">
        <is>
          <t>PCM: power control module</t>
        </is>
      </c>
      <c r="G5571" s="12" t="inlineStr">
        <is>
          <t>RICE-GSU-A</t>
        </is>
      </c>
      <c r="H5571" s="12" t="inlineStr">
        <is>
          <t>RICE-GSU-A: 13.8 / 34.5 kV group step-up, ~45 MVA (RICE 1-2)</t>
        </is>
      </c>
      <c r="I5571" s="12" t="inlineStr">
        <is>
          <t>MV 15 kV</t>
        </is>
      </c>
      <c r="J5571" s="12" t="inlineStr">
        <is>
          <t>MV-105 15 kV 1/C Cu, EPR 133%, Cu tape shield, PVC jacket (triplexed)</t>
        </is>
      </c>
      <c r="K5571" s="12" t="inlineStr">
        <is>
          <t>MV15|1/C|750</t>
        </is>
      </c>
      <c r="L5571" s="12" t="inlineStr">
        <is>
          <t>1/C</t>
        </is>
      </c>
      <c r="M5571" s="12" t="inlineStr">
        <is>
          <t>750 kcmil</t>
        </is>
      </c>
      <c r="N5571" s="12" t="n">
        <v>4</v>
      </c>
      <c r="O5571" s="12" t="n">
        <v>3</v>
      </c>
      <c r="P5571" s="12" t="n">
        <v>13800</v>
      </c>
      <c r="Q5571" s="12" t="n">
        <v>36800</v>
      </c>
      <c r="R5571" s="12" t="n">
        <v>1711</v>
      </c>
      <c r="S5571" s="12" t="inlineStr">
        <is>
          <t>Duct bank</t>
        </is>
      </c>
      <c r="T5571" s="15" t="n">
        <v>31</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4 sets per phase</t>
        </is>
      </c>
      <c r="AA5571" s="12">
        <f>N5571*O5571</f>
        <v/>
      </c>
    </row>
    <row r="5572">
      <c r="A5572" s="12" t="inlineStr">
        <is>
          <t>I-MV-0048</t>
        </is>
      </c>
      <c r="B5572" s="12" t="inlineStr">
        <is>
          <t>I</t>
        </is>
      </c>
      <c r="C5572" s="12" t="inlineStr">
        <is>
          <t>Modular / portable power</t>
        </is>
      </c>
      <c r="D5572" s="12" t="inlineStr">
        <is>
          <t>PCM section B (RICE 3-4) to RICE-GSU-B</t>
        </is>
      </c>
      <c r="E5572" s="12" t="inlineStr"/>
      <c r="F5572" s="12" t="inlineStr">
        <is>
          <t>PCM: power control module</t>
        </is>
      </c>
      <c r="G5572" s="12" t="inlineStr">
        <is>
          <t>RICE-GSU-B</t>
        </is>
      </c>
      <c r="H5572" s="12" t="inlineStr">
        <is>
          <t>RICE-GSU-B: 13.8 / 34.5 kV group step-up, ~45 MVA (RICE 3-4)</t>
        </is>
      </c>
      <c r="I5572" s="12" t="inlineStr">
        <is>
          <t>MV 15 kV</t>
        </is>
      </c>
      <c r="J5572" s="12" t="inlineStr">
        <is>
          <t>MV-105 15 kV 1/C Cu, EPR 133%, Cu tape shield, PVC jacket (triplexed)</t>
        </is>
      </c>
      <c r="K5572" s="12" t="inlineStr">
        <is>
          <t>MV15|1/C|750</t>
        </is>
      </c>
      <c r="L5572" s="12" t="inlineStr">
        <is>
          <t>1/C</t>
        </is>
      </c>
      <c r="M5572" s="12" t="inlineStr">
        <is>
          <t>750 kcmil</t>
        </is>
      </c>
      <c r="N5572" s="12" t="n">
        <v>4</v>
      </c>
      <c r="O5572" s="12" t="n">
        <v>3</v>
      </c>
      <c r="P5572" s="12" t="n">
        <v>13800</v>
      </c>
      <c r="Q5572" s="12" t="n">
        <v>36800</v>
      </c>
      <c r="R5572" s="12" t="n">
        <v>1711</v>
      </c>
      <c r="S5572" s="12" t="inlineStr">
        <is>
          <t>Duct bank</t>
        </is>
      </c>
      <c r="T5572" s="15" t="n">
        <v>56</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4 sets per phase</t>
        </is>
      </c>
      <c r="AA5572" s="12">
        <f>N5572*O5572</f>
        <v/>
      </c>
    </row>
    <row r="5573">
      <c r="A5573" s="12" t="inlineStr">
        <is>
          <t>I-MV-0049</t>
        </is>
      </c>
      <c r="B5573" s="12" t="inlineStr">
        <is>
          <t>I</t>
        </is>
      </c>
      <c r="C5573" s="12" t="inlineStr">
        <is>
          <t>Modular / portable power</t>
        </is>
      </c>
      <c r="D5573" s="12" t="inlineStr">
        <is>
          <t>PCM section C (RICE 5-6) to RICE-GSU-C</t>
        </is>
      </c>
      <c r="E5573" s="12" t="inlineStr"/>
      <c r="F5573" s="12" t="inlineStr">
        <is>
          <t>PCM: power control module</t>
        </is>
      </c>
      <c r="G5573" s="12" t="inlineStr">
        <is>
          <t>RICE-GSU-C</t>
        </is>
      </c>
      <c r="H5573" s="12" t="inlineStr">
        <is>
          <t>RICE-GSU-C: 13.8 / 34.5 kV group step-up, ~45 MVA (RICE 5-6)</t>
        </is>
      </c>
      <c r="I5573" s="12" t="inlineStr">
        <is>
          <t>MV 15 kV</t>
        </is>
      </c>
      <c r="J5573" s="12" t="inlineStr">
        <is>
          <t>MV-105 15 kV 1/C Cu, EPR 133%, Cu tape shield, PVC jacket (triplexed)</t>
        </is>
      </c>
      <c r="K5573" s="12" t="inlineStr">
        <is>
          <t>MV15|1/C|750</t>
        </is>
      </c>
      <c r="L5573" s="12" t="inlineStr">
        <is>
          <t>1/C</t>
        </is>
      </c>
      <c r="M5573" s="12" t="inlineStr">
        <is>
          <t>750 kcmil</t>
        </is>
      </c>
      <c r="N5573" s="12" t="n">
        <v>4</v>
      </c>
      <c r="O5573" s="12" t="n">
        <v>3</v>
      </c>
      <c r="P5573" s="12" t="n">
        <v>13800</v>
      </c>
      <c r="Q5573" s="12" t="n">
        <v>36800</v>
      </c>
      <c r="R5573" s="12" t="n">
        <v>1711</v>
      </c>
      <c r="S5573" s="12" t="inlineStr">
        <is>
          <t>Duct bank</t>
        </is>
      </c>
      <c r="T5573" s="15" t="n">
        <v>81</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4 sets per phase</t>
        </is>
      </c>
      <c r="AA5573" s="12">
        <f>N5573*O5573</f>
        <v/>
      </c>
    </row>
    <row r="5574">
      <c r="A5574" s="12" t="inlineStr">
        <is>
          <t>I-MV-0050</t>
        </is>
      </c>
      <c r="B5574" s="12" t="inlineStr">
        <is>
          <t>I</t>
        </is>
      </c>
      <c r="C5574" s="12" t="inlineStr">
        <is>
          <t>Modular / portable power</t>
        </is>
      </c>
      <c r="D5574" s="12" t="inlineStr">
        <is>
          <t>PCM section D (RICE 7-8) to RICE-GSU-D</t>
        </is>
      </c>
      <c r="E5574" s="12" t="inlineStr"/>
      <c r="F5574" s="12" t="inlineStr">
        <is>
          <t>PCM: power control module</t>
        </is>
      </c>
      <c r="G5574" s="12" t="inlineStr">
        <is>
          <t>RICE-GSU-D</t>
        </is>
      </c>
      <c r="H5574" s="12" t="inlineStr">
        <is>
          <t>RICE-GSU-D: 13.8 / 34.5 kV group step-up, ~45 MVA (RICE 7-8)</t>
        </is>
      </c>
      <c r="I5574" s="12" t="inlineStr">
        <is>
          <t>MV 15 kV</t>
        </is>
      </c>
      <c r="J5574" s="12" t="inlineStr">
        <is>
          <t>MV-105 15 kV 1/C Cu, EPR 133%, Cu tape shield, PVC jacket (triplexed)</t>
        </is>
      </c>
      <c r="K5574" s="12" t="inlineStr">
        <is>
          <t>MV15|1/C|750</t>
        </is>
      </c>
      <c r="L5574" s="12" t="inlineStr">
        <is>
          <t>1/C</t>
        </is>
      </c>
      <c r="M5574" s="12" t="inlineStr">
        <is>
          <t>750 kcmil</t>
        </is>
      </c>
      <c r="N5574" s="12" t="n">
        <v>4</v>
      </c>
      <c r="O5574" s="12" t="n">
        <v>3</v>
      </c>
      <c r="P5574" s="12" t="n">
        <v>13800</v>
      </c>
      <c r="Q5574" s="12" t="n">
        <v>36800</v>
      </c>
      <c r="R5574" s="12" t="n">
        <v>1711</v>
      </c>
      <c r="S5574" s="12" t="inlineStr">
        <is>
          <t>Duct bank</t>
        </is>
      </c>
      <c r="T5574" s="15" t="n">
        <v>106</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4 sets per phase</t>
        </is>
      </c>
      <c r="AA5574" s="12">
        <f>N5574*O5574</f>
        <v/>
      </c>
    </row>
    <row r="5575">
      <c r="A5575" s="12" t="inlineStr">
        <is>
          <t>I-MV-0051</t>
        </is>
      </c>
      <c r="B5575" s="12" t="inlineStr">
        <is>
          <t>I</t>
        </is>
      </c>
      <c r="C5575" s="12" t="inlineStr">
        <is>
          <t>Modular / portable power</t>
        </is>
      </c>
      <c r="D5575" s="12" t="inlineStr">
        <is>
          <t>SC-1 (LM6000 class) generator leads to its PCM / GCB</t>
        </is>
      </c>
      <c r="E5575" s="12" t="inlineStr">
        <is>
          <t>SC-1</t>
        </is>
      </c>
      <c r="F5575" s="12" t="inlineStr">
        <is>
          <t>SC-1: aeroderivative simple-cycle unit (LM6000 class)</t>
        </is>
      </c>
      <c r="G5575" s="12" t="inlineStr"/>
      <c r="H5575" s="12" t="inlineStr">
        <is>
          <t>SC-1 PCM + 15 kV GCB</t>
        </is>
      </c>
      <c r="I5575" s="12" t="inlineStr">
        <is>
          <t>MV 15 kV</t>
        </is>
      </c>
      <c r="J5575" s="12" t="inlineStr">
        <is>
          <t>MV-105 15 kV 1/C Cu, EPR 133%, Cu tape shield, PVC jacket (triplexed)</t>
        </is>
      </c>
      <c r="K5575" s="12" t="inlineStr">
        <is>
          <t>MV15|1/C|1000</t>
        </is>
      </c>
      <c r="L5575" s="12" t="inlineStr">
        <is>
          <t>1/C</t>
        </is>
      </c>
      <c r="M5575" s="12" t="inlineStr">
        <is>
          <t>1000 kcmil</t>
        </is>
      </c>
      <c r="N5575" s="12" t="n">
        <v>5</v>
      </c>
      <c r="O5575" s="12" t="n">
        <v>3</v>
      </c>
      <c r="P5575" s="12" t="n">
        <v>13800</v>
      </c>
      <c r="Q5575" s="12" t="n">
        <v>50000</v>
      </c>
      <c r="R5575" s="12" t="n">
        <v>2324</v>
      </c>
      <c r="S5575" s="12" t="inlineStr">
        <is>
          <t>Tray</t>
        </is>
      </c>
      <c r="T5575" s="15" t="n">
        <v>6</v>
      </c>
      <c r="U5575" s="15" t="n">
        <v>61</v>
      </c>
      <c r="V5575" s="15">
        <f>ROUNDUP((T5575+U5575+2*'Read Me'!$B$13)*(1+'Read Me'!$B$12),-1)</f>
        <v/>
      </c>
      <c r="W5575" s="15">
        <f>V5575*N5575*O5575</f>
        <v/>
      </c>
      <c r="X5575" s="12">
        <f>IF(LEFT(I5575,2)="MV",2*N5575*IF(L5575="1/C",O5575,1),0)</f>
        <v/>
      </c>
      <c r="Y5575" s="12">
        <f>IF(OR(LEFT(K5575,4)="LVAX",LEFT(K5575,6)="MV15AX",LEFT(K5575,4)="CTAX",LEFT(K5575,2)="W|"),2*N5575*O5575,0)</f>
        <v/>
      </c>
      <c r="Z5575" s="12" t="inlineStr">
        <is>
          <t>5 sets per phase</t>
        </is>
      </c>
      <c r="AA5575" s="12">
        <f>N5575*O5575</f>
        <v/>
      </c>
    </row>
    <row r="5576">
      <c r="A5576" s="12" t="inlineStr">
        <is>
          <t>I-MV-0052</t>
        </is>
      </c>
      <c r="B5576" s="12" t="inlineStr">
        <is>
          <t>I</t>
        </is>
      </c>
      <c r="C5576" s="12" t="inlineStr">
        <is>
          <t>Modular / portable power</t>
        </is>
      </c>
      <c r="D5576" s="12" t="inlineStr">
        <is>
          <t>SC-1 generator neutral to the NGR (in the terminal-box enclosure)</t>
        </is>
      </c>
      <c r="E5576" s="12" t="inlineStr">
        <is>
          <t>SC-1</t>
        </is>
      </c>
      <c r="F5576" s="12" t="inlineStr">
        <is>
          <t>SC-1: aeroderivative simple-cycle unit (LM6000 class)</t>
        </is>
      </c>
      <c r="G5576" s="12" t="inlineStr"/>
      <c r="H5576" s="12" t="inlineStr">
        <is>
          <t>SC-1 PCM + 15 kV GCB</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10</v>
      </c>
      <c r="V5576" s="15">
        <f>ROUNDUP((T5576+U5576+2*'Read Me'!$B$13)*(1+'Read Me'!$B$12),-1)</f>
        <v/>
      </c>
      <c r="W5576" s="15">
        <f>V5576*N5576*O5576</f>
        <v/>
      </c>
      <c r="X5576" s="12">
        <f>IF(LEFT(I5576,2)="MV",2*N5576*IF(L5576="1/C",O5576,1),0)</f>
        <v/>
      </c>
      <c r="Y5576" s="12">
        <f>IF(OR(LEFT(K5576,4)="LVAX",LEFT(K5576,6)="MV15AX",LEFT(K5576,4)="CTAX",LEFT(K5576,2)="W|"),2*N5576*O5576,0)</f>
        <v/>
      </c>
      <c r="Z5576" s="12" t="inlineStr">
        <is>
          <t>neutral grounding resistor beside the generator enclosure</t>
        </is>
      </c>
      <c r="AA5576" s="12">
        <f>N5576*O5576</f>
        <v/>
      </c>
    </row>
    <row r="5577">
      <c r="A5577" s="12" t="inlineStr">
        <is>
          <t>I-MV-0053</t>
        </is>
      </c>
      <c r="B5577" s="12" t="inlineStr">
        <is>
          <t>I</t>
        </is>
      </c>
      <c r="C5577" s="12" t="inlineStr">
        <is>
          <t>Modular / portable power</t>
        </is>
      </c>
      <c r="D5577" s="12" t="inlineStr">
        <is>
          <t>SC-1 PCM auxiliary transformer primary, 2 MVA 13.8 kV / 480 V (from the GCB bus)</t>
        </is>
      </c>
      <c r="E5577" s="12" t="inlineStr"/>
      <c r="F5577" s="12" t="inlineStr">
        <is>
          <t>SC-1 PCM + 15 kV GCB</t>
        </is>
      </c>
      <c r="G5577" s="12" t="inlineStr"/>
      <c r="H5577" s="12" t="inlineStr">
        <is>
          <t>SC-1 PCM + 15 kV GCB</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3</v>
      </c>
      <c r="P5577" s="12" t="n">
        <v>13800</v>
      </c>
      <c r="Q5577" s="12" t="n">
        <v>2000</v>
      </c>
      <c r="R5577" s="12" t="n">
        <v>84</v>
      </c>
      <c r="S5577" s="12" t="inlineStr">
        <is>
          <t>Tray</t>
        </is>
      </c>
      <c r="T5577" s="15" t="n">
        <v>0</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internal to the PCM; ~1.0-1.1 MW connected 480 V load + 0.5 MW conditional inlet chiller</t>
        </is>
      </c>
      <c r="AA5577" s="12">
        <f>N5577*O5577</f>
        <v/>
      </c>
    </row>
    <row r="5578">
      <c r="A5578" s="12" t="inlineStr">
        <is>
          <t>I-MV-0054</t>
        </is>
      </c>
      <c r="B5578" s="12" t="inlineStr">
        <is>
          <t>I</t>
        </is>
      </c>
      <c r="C5578" s="12" t="inlineStr">
        <is>
          <t>Modular / portable power</t>
        </is>
      </c>
      <c r="D5578" s="12" t="inlineStr">
        <is>
          <t>SC-2 (LM6000 class) generator leads to its PCM / GCB</t>
        </is>
      </c>
      <c r="E5578" s="12" t="inlineStr">
        <is>
          <t>SC-2</t>
        </is>
      </c>
      <c r="F5578" s="12" t="inlineStr">
        <is>
          <t>SC-2: aeroderivative simple-cycle unit (LM6000 class)</t>
        </is>
      </c>
      <c r="G5578" s="12" t="inlineStr"/>
      <c r="H5578" s="12" t="inlineStr">
        <is>
          <t>SC-2 PCM + 15 kV GCB</t>
        </is>
      </c>
      <c r="I5578" s="12" t="inlineStr">
        <is>
          <t>MV 15 kV</t>
        </is>
      </c>
      <c r="J5578" s="12" t="inlineStr">
        <is>
          <t>MV-105 15 kV 1/C Cu, EPR 133%, Cu tape shield, PVC jacket (triplexed)</t>
        </is>
      </c>
      <c r="K5578" s="12" t="inlineStr">
        <is>
          <t>MV15|1/C|1000</t>
        </is>
      </c>
      <c r="L5578" s="12" t="inlineStr">
        <is>
          <t>1/C</t>
        </is>
      </c>
      <c r="M5578" s="12" t="inlineStr">
        <is>
          <t>1000 kcmil</t>
        </is>
      </c>
      <c r="N5578" s="12" t="n">
        <v>5</v>
      </c>
      <c r="O5578" s="12" t="n">
        <v>3</v>
      </c>
      <c r="P5578" s="12" t="n">
        <v>13800</v>
      </c>
      <c r="Q5578" s="12" t="n">
        <v>50000</v>
      </c>
      <c r="R5578" s="12" t="n">
        <v>2324</v>
      </c>
      <c r="S5578" s="12" t="inlineStr">
        <is>
          <t>Duct bank</t>
        </is>
      </c>
      <c r="T5578" s="15" t="n">
        <v>35</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5 sets per phase</t>
        </is>
      </c>
      <c r="AA5578" s="12">
        <f>N5578*O5578</f>
        <v/>
      </c>
    </row>
    <row r="5579">
      <c r="A5579" s="12" t="inlineStr">
        <is>
          <t>I-MV-0055</t>
        </is>
      </c>
      <c r="B5579" s="12" t="inlineStr">
        <is>
          <t>I</t>
        </is>
      </c>
      <c r="C5579" s="12" t="inlineStr">
        <is>
          <t>Modular / portable power</t>
        </is>
      </c>
      <c r="D5579" s="12" t="inlineStr">
        <is>
          <t>SC-2 generator neutral to the NGR (in the terminal-box enclosure)</t>
        </is>
      </c>
      <c r="E5579" s="12" t="inlineStr">
        <is>
          <t>SC-2</t>
        </is>
      </c>
      <c r="F5579" s="12" t="inlineStr">
        <is>
          <t>SC-2: aeroderivative simple-cycle unit (LM6000 class)</t>
        </is>
      </c>
      <c r="G5579" s="12" t="inlineStr"/>
      <c r="H5579" s="12" t="inlineStr">
        <is>
          <t>SC-2 PCM + 15 kV GCB</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10</v>
      </c>
      <c r="V5579" s="15">
        <f>ROUNDUP((T5579+U5579+2*'Read Me'!$B$13)*(1+'Read Me'!$B$12),-1)</f>
        <v/>
      </c>
      <c r="W5579" s="15">
        <f>V5579*N5579*O5579</f>
        <v/>
      </c>
      <c r="X5579" s="12">
        <f>IF(LEFT(I5579,2)="MV",2*N5579*IF(L5579="1/C",O5579,1),0)</f>
        <v/>
      </c>
      <c r="Y5579" s="12">
        <f>IF(OR(LEFT(K5579,4)="LVAX",LEFT(K5579,6)="MV15AX",LEFT(K5579,4)="CTAX",LEFT(K5579,2)="W|"),2*N5579*O5579,0)</f>
        <v/>
      </c>
      <c r="Z5579" s="12" t="inlineStr">
        <is>
          <t>neutral grounding resistor beside the generator enclosure</t>
        </is>
      </c>
      <c r="AA5579" s="12">
        <f>N5579*O5579</f>
        <v/>
      </c>
    </row>
    <row r="5580">
      <c r="A5580" s="12" t="inlineStr">
        <is>
          <t>I-MV-0056</t>
        </is>
      </c>
      <c r="B5580" s="12" t="inlineStr">
        <is>
          <t>I</t>
        </is>
      </c>
      <c r="C5580" s="12" t="inlineStr">
        <is>
          <t>Modular / portable power</t>
        </is>
      </c>
      <c r="D5580" s="12" t="inlineStr">
        <is>
          <t>SC-2 PCM auxiliary transformer primary, 2 MVA 13.8 kV / 480 V (from the GCB bus)</t>
        </is>
      </c>
      <c r="E5580" s="12" t="inlineStr"/>
      <c r="F5580" s="12" t="inlineStr">
        <is>
          <t>SC-2 PCM + 15 kV GCB</t>
        </is>
      </c>
      <c r="G5580" s="12" t="inlineStr"/>
      <c r="H5580" s="12" t="inlineStr">
        <is>
          <t>SC-2 PCM + 15 kV GCB</t>
        </is>
      </c>
      <c r="I5580" s="12" t="inlineStr">
        <is>
          <t>MV 15 kV</t>
        </is>
      </c>
      <c r="J5580" s="12" t="inlineStr">
        <is>
          <t>MV-105 15 kV 1/C Cu, EPR 133%, Cu tape shield, PVC jacket (triplexed)</t>
        </is>
      </c>
      <c r="K5580" s="12" t="inlineStr">
        <is>
          <t>MV15|1/C|2</t>
        </is>
      </c>
      <c r="L5580" s="12" t="inlineStr">
        <is>
          <t>1/C</t>
        </is>
      </c>
      <c r="M5580" s="12" t="inlineStr">
        <is>
          <t>2</t>
        </is>
      </c>
      <c r="N5580" s="12" t="n">
        <v>1</v>
      </c>
      <c r="O5580" s="12" t="n">
        <v>3</v>
      </c>
      <c r="P5580" s="12" t="n">
        <v>13800</v>
      </c>
      <c r="Q5580" s="12" t="n">
        <v>2000</v>
      </c>
      <c r="R5580" s="12" t="n">
        <v>84</v>
      </c>
      <c r="S5580" s="12" t="inlineStr">
        <is>
          <t>Tray</t>
        </is>
      </c>
      <c r="T5580" s="15" t="n">
        <v>0</v>
      </c>
      <c r="U5580" s="15" t="n">
        <v>32</v>
      </c>
      <c r="V5580" s="15">
        <f>ROUNDUP((T5580+U5580+2*'Read Me'!$B$13)*(1+'Read Me'!$B$12),-1)</f>
        <v/>
      </c>
      <c r="W5580" s="15">
        <f>V5580*N5580*O5580</f>
        <v/>
      </c>
      <c r="X5580" s="12">
        <f>IF(LEFT(I5580,2)="MV",2*N5580*IF(L5580="1/C",O5580,1),0)</f>
        <v/>
      </c>
      <c r="Y5580" s="12">
        <f>IF(OR(LEFT(K5580,4)="LVAX",LEFT(K5580,6)="MV15AX",LEFT(K5580,4)="CTAX",LEFT(K5580,2)="W|"),2*N5580*O5580,0)</f>
        <v/>
      </c>
      <c r="Z5580" s="12" t="inlineStr">
        <is>
          <t>internal to the PCM; ~1.0-1.1 MW connected 480 V load + 0.5 MW conditional inlet chiller</t>
        </is>
      </c>
      <c r="AA5580" s="12">
        <f>N5580*O5580</f>
        <v/>
      </c>
    </row>
    <row r="5581">
      <c r="A5581" s="12" t="inlineStr">
        <is>
          <t>I-MV-0057</t>
        </is>
      </c>
      <c r="B5581" s="12" t="inlineStr">
        <is>
          <t>I</t>
        </is>
      </c>
      <c r="C5581" s="12" t="inlineStr">
        <is>
          <t>Modular / portable power</t>
        </is>
      </c>
      <c r="D5581" s="12" t="inlineStr">
        <is>
          <t>SC-1 PCM (GCB) to SC-GSU-1</t>
        </is>
      </c>
      <c r="E5581" s="12" t="inlineStr"/>
      <c r="F5581" s="12" t="inlineStr">
        <is>
          <t>SC-1 PCM + 15 kV GCB</t>
        </is>
      </c>
      <c r="G5581" s="12" t="inlineStr">
        <is>
          <t>SC-GSU-1</t>
        </is>
      </c>
      <c r="H5581" s="12" t="inlineStr">
        <is>
          <t>SC-GSU-1: 13.8 / 34.5 kV unit step-up, ~60 MVA (SC-1)</t>
        </is>
      </c>
      <c r="I5581" s="12" t="inlineStr">
        <is>
          <t>MV 15 kV</t>
        </is>
      </c>
      <c r="J5581" s="12" t="inlineStr">
        <is>
          <t>MV-105 15 kV 1/C Cu, EPR 133%, Cu tape shield, PVC jacket (triplexed)</t>
        </is>
      </c>
      <c r="K5581" s="12" t="inlineStr">
        <is>
          <t>MV15|1/C|1000</t>
        </is>
      </c>
      <c r="L5581" s="12" t="inlineStr">
        <is>
          <t>1/C</t>
        </is>
      </c>
      <c r="M5581" s="12" t="inlineStr">
        <is>
          <t>1000 kcmil</t>
        </is>
      </c>
      <c r="N5581" s="12" t="n">
        <v>5</v>
      </c>
      <c r="O5581" s="12" t="n">
        <v>3</v>
      </c>
      <c r="P5581" s="12" t="n">
        <v>13800</v>
      </c>
      <c r="Q5581" s="12" t="n">
        <v>50000</v>
      </c>
      <c r="R5581" s="12" t="n">
        <v>2324</v>
      </c>
      <c r="S5581" s="12" t="inlineStr">
        <is>
          <t>Duct bank</t>
        </is>
      </c>
      <c r="T5581" s="15" t="n">
        <v>55</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is>
          <t>5 sets per phase</t>
        </is>
      </c>
      <c r="AA5581" s="12">
        <f>N5581*O5581</f>
        <v/>
      </c>
    </row>
    <row r="5582">
      <c r="A5582" s="12" t="inlineStr">
        <is>
          <t>I-MV-0058</t>
        </is>
      </c>
      <c r="B5582" s="12" t="inlineStr">
        <is>
          <t>I</t>
        </is>
      </c>
      <c r="C5582" s="12" t="inlineStr">
        <is>
          <t>Modular / portable power</t>
        </is>
      </c>
      <c r="D5582" s="12" t="inlineStr">
        <is>
          <t>SC-2 PCM (GCB) to SC-GSU-2</t>
        </is>
      </c>
      <c r="E5582" s="12" t="inlineStr"/>
      <c r="F5582" s="12" t="inlineStr">
        <is>
          <t>SC-2 PCM + 15 kV GCB</t>
        </is>
      </c>
      <c r="G5582" s="12" t="inlineStr">
        <is>
          <t>SC-GSU-2</t>
        </is>
      </c>
      <c r="H5582" s="12" t="inlineStr">
        <is>
          <t>SC-GSU-2: 13.8 / 34.5 kV unit step-up, ~60 MVA (SC-2)</t>
        </is>
      </c>
      <c r="I5582" s="12" t="inlineStr">
        <is>
          <t>MV 15 kV</t>
        </is>
      </c>
      <c r="J5582" s="12" t="inlineStr">
        <is>
          <t>MV-105 15 kV 1/C Cu, EPR 133%, Cu tape shield, PVC jacket (triplexed)</t>
        </is>
      </c>
      <c r="K5582" s="12" t="inlineStr">
        <is>
          <t>MV15|1/C|1000</t>
        </is>
      </c>
      <c r="L5582" s="12" t="inlineStr">
        <is>
          <t>1/C</t>
        </is>
      </c>
      <c r="M5582" s="12" t="inlineStr">
        <is>
          <t>1000 kcmil</t>
        </is>
      </c>
      <c r="N5582" s="12" t="n">
        <v>5</v>
      </c>
      <c r="O5582" s="12" t="n">
        <v>3</v>
      </c>
      <c r="P5582" s="12" t="n">
        <v>13800</v>
      </c>
      <c r="Q5582" s="12" t="n">
        <v>50000</v>
      </c>
      <c r="R5582" s="12" t="n">
        <v>2324</v>
      </c>
      <c r="S5582" s="12" t="inlineStr">
        <is>
          <t>Duct bank</t>
        </is>
      </c>
      <c r="T5582" s="15" t="n">
        <v>48</v>
      </c>
      <c r="U5582" s="15" t="n">
        <v>32</v>
      </c>
      <c r="V5582" s="15">
        <f>ROUNDUP((T5582+U5582+2*'Read Me'!$B$13)*(1+'Read Me'!$B$12),-1)</f>
        <v/>
      </c>
      <c r="W5582" s="15">
        <f>V5582*N5582*O5582</f>
        <v/>
      </c>
      <c r="X5582" s="12">
        <f>IF(LEFT(I5582,2)="MV",2*N5582*IF(L5582="1/C",O5582,1),0)</f>
        <v/>
      </c>
      <c r="Y5582" s="12">
        <f>IF(OR(LEFT(K5582,4)="LVAX",LEFT(K5582,6)="MV15AX",LEFT(K5582,4)="CTAX",LEFT(K5582,2)="W|"),2*N5582*O5582,0)</f>
        <v/>
      </c>
      <c r="Z5582" s="12" t="inlineStr">
        <is>
          <t>5 sets per phase</t>
        </is>
      </c>
      <c r="AA5582" s="12">
        <f>N5582*O5582</f>
        <v/>
      </c>
    </row>
    <row r="5583">
      <c r="A5583" s="12" t="inlineStr">
        <is>
          <t>I-MV-0059</t>
        </is>
      </c>
      <c r="B5583" s="12" t="inlineStr">
        <is>
          <t>I</t>
        </is>
      </c>
      <c r="C5583" s="12" t="inlineStr">
        <is>
          <t>Modular / portable power</t>
        </is>
      </c>
      <c r="D5583" s="12" t="inlineStr">
        <is>
          <t>TGF-1 generator neutral to its high-resistance grounding resistor (in the package)</t>
        </is>
      </c>
      <c r="E5583" s="12" t="inlineStr">
        <is>
          <t>TGF-1</t>
        </is>
      </c>
      <c r="F5583" s="12" t="inlineStr">
        <is>
          <t xml:space="preserve">TGF-1: trailer-mounted gas-engine generator ~2.5 MW, 13.8 kV (trailer </t>
        </is>
      </c>
      <c r="G5583" s="12" t="inlineStr">
        <is>
          <t>TGF-1</t>
        </is>
      </c>
      <c r="H5583" s="12" t="inlineStr">
        <is>
          <t xml:space="preserve">TGF-1: trailer-mounted gas-engine generator ~2.5 MW, 13.8 kV (trailer </t>
        </is>
      </c>
      <c r="I5583" s="12" t="inlineStr">
        <is>
          <t>MV 15 kV</t>
        </is>
      </c>
      <c r="J5583" s="12" t="inlineStr">
        <is>
          <t>MV-105 15 kV 1/C Cu, EPR 133%, Cu tape shield, PVC jacket (triplexed)</t>
        </is>
      </c>
      <c r="K5583" s="12" t="inlineStr">
        <is>
          <t>MV15|1/C|2</t>
        </is>
      </c>
      <c r="L5583" s="12" t="inlineStr">
        <is>
          <t>1/C</t>
        </is>
      </c>
      <c r="M5583" s="12" t="inlineStr">
        <is>
          <t>2</t>
        </is>
      </c>
      <c r="N5583" s="12" t="n">
        <v>1</v>
      </c>
      <c r="O5583" s="12" t="n">
        <v>1</v>
      </c>
      <c r="P5583" s="12" t="n">
        <v>13800</v>
      </c>
      <c r="Q5583" s="12" t="n"/>
      <c r="R5583" s="12" t="n"/>
      <c r="S5583" s="12" t="inlineStr">
        <is>
          <t>Conduit</t>
        </is>
      </c>
      <c r="T5583" s="15" t="n">
        <v>15</v>
      </c>
      <c r="U5583" s="15" t="n">
        <v>5</v>
      </c>
      <c r="V5583" s="15">
        <f>ROUNDUP((T5583+U5583+2*'Read Me'!$B$13)*(1+'Read Me'!$B$12),-1)</f>
        <v/>
      </c>
      <c r="W5583" s="15">
        <f>V5583*N5583*O5583</f>
        <v/>
      </c>
      <c r="X5583" s="12">
        <f>IF(LEFT(I5583,2)="MV",2*N5583*IF(L5583="1/C",O5583,1),0)</f>
        <v/>
      </c>
      <c r="Y5583" s="12">
        <f>IF(OR(LEFT(K5583,4)="LVAX",LEFT(K5583,6)="MV15AX",LEFT(K5583,4)="CTAX",LEFT(K5583,2)="W|"),2*N5583*O5583,0)</f>
        <v/>
      </c>
      <c r="Z5583" s="12" t="inlineStr">
        <is>
          <t>NGR in the generator / terminal-box enclosure</t>
        </is>
      </c>
      <c r="AA5583" s="12">
        <f>N5583*O5583</f>
        <v/>
      </c>
    </row>
    <row r="5584">
      <c r="A5584" s="12" t="inlineStr">
        <is>
          <t>I-MV-0060</t>
        </is>
      </c>
      <c r="B5584" s="12" t="inlineStr">
        <is>
          <t>I</t>
        </is>
      </c>
      <c r="C5584" s="12" t="inlineStr">
        <is>
          <t>Modular / portable power</t>
        </is>
      </c>
      <c r="D5584" s="12" t="inlineStr">
        <is>
          <t>TGF-2 generator neutral to its high-resistance grounding resistor (in the package)</t>
        </is>
      </c>
      <c r="E5584" s="12" t="inlineStr">
        <is>
          <t>TGF-2</t>
        </is>
      </c>
      <c r="F5584" s="12" t="inlineStr">
        <is>
          <t xml:space="preserve">TGF-2: trailer-mounted gas-engine generator ~2.5 MW, 13.8 kV (trailer </t>
        </is>
      </c>
      <c r="G5584" s="12" t="inlineStr">
        <is>
          <t>TGF-2</t>
        </is>
      </c>
      <c r="H5584" s="12" t="inlineStr">
        <is>
          <t xml:space="preserve">TGF-2: trailer-mounted gas-engine generator ~2.5 MW, 13.8 kV (trailer </t>
        </is>
      </c>
      <c r="I5584" s="12" t="inlineStr">
        <is>
          <t>MV 15 kV</t>
        </is>
      </c>
      <c r="J5584" s="12" t="inlineStr">
        <is>
          <t>MV-105 15 kV 1/C Cu, EPR 133%, Cu tape shield, PVC jacket (triplexed)</t>
        </is>
      </c>
      <c r="K5584" s="12" t="inlineStr">
        <is>
          <t>MV15|1/C|2</t>
        </is>
      </c>
      <c r="L5584" s="12" t="inlineStr">
        <is>
          <t>1/C</t>
        </is>
      </c>
      <c r="M5584" s="12" t="inlineStr">
        <is>
          <t>2</t>
        </is>
      </c>
      <c r="N5584" s="12" t="n">
        <v>1</v>
      </c>
      <c r="O5584" s="12" t="n">
        <v>1</v>
      </c>
      <c r="P5584" s="12" t="n">
        <v>13800</v>
      </c>
      <c r="Q5584" s="12" t="n"/>
      <c r="R5584" s="12" t="n"/>
      <c r="S5584" s="12" t="inlineStr">
        <is>
          <t>Conduit</t>
        </is>
      </c>
      <c r="T5584" s="15" t="n">
        <v>15</v>
      </c>
      <c r="U5584" s="15" t="n">
        <v>5</v>
      </c>
      <c r="V5584" s="15">
        <f>ROUNDUP((T5584+U5584+2*'Read Me'!$B$13)*(1+'Read Me'!$B$12),-1)</f>
        <v/>
      </c>
      <c r="W5584" s="15">
        <f>V5584*N5584*O5584</f>
        <v/>
      </c>
      <c r="X5584" s="12">
        <f>IF(LEFT(I5584,2)="MV",2*N5584*IF(L5584="1/C",O5584,1),0)</f>
        <v/>
      </c>
      <c r="Y5584" s="12">
        <f>IF(OR(LEFT(K5584,4)="LVAX",LEFT(K5584,6)="MV15AX",LEFT(K5584,4)="CTAX",LEFT(K5584,2)="W|"),2*N5584*O5584,0)</f>
        <v/>
      </c>
      <c r="Z5584" s="12" t="inlineStr">
        <is>
          <t>NGR in the generator / terminal-box enclosure</t>
        </is>
      </c>
      <c r="AA5584" s="12">
        <f>N5584*O5584</f>
        <v/>
      </c>
    </row>
    <row r="5585">
      <c r="A5585" s="12" t="inlineStr">
        <is>
          <t>I-MV-0061</t>
        </is>
      </c>
      <c r="B5585" s="12" t="inlineStr">
        <is>
          <t>I</t>
        </is>
      </c>
      <c r="C5585" s="12" t="inlineStr">
        <is>
          <t>Modular / portable power</t>
        </is>
      </c>
      <c r="D5585" s="12" t="inlineStr">
        <is>
          <t>TGF-3 generator neutral to its high-resistance grounding resistor (in the package)</t>
        </is>
      </c>
      <c r="E5585" s="12" t="inlineStr">
        <is>
          <t>TGF-3</t>
        </is>
      </c>
      <c r="F5585" s="12" t="inlineStr">
        <is>
          <t xml:space="preserve">TGF-3: trailer-mounted gas-engine generator ~2.5 MW, 13.8 kV (trailer </t>
        </is>
      </c>
      <c r="G5585" s="12" t="inlineStr">
        <is>
          <t>TGF-3</t>
        </is>
      </c>
      <c r="H5585" s="12" t="inlineStr">
        <is>
          <t xml:space="preserve">TGF-3: trailer-mounted gas-engine generator ~2.5 MW, 13.8 kV (trailer </t>
        </is>
      </c>
      <c r="I5585" s="12" t="inlineStr">
        <is>
          <t>MV 15 kV</t>
        </is>
      </c>
      <c r="J5585" s="12" t="inlineStr">
        <is>
          <t>MV-105 15 kV 1/C Cu, EPR 133%, Cu tape shield, PVC jacket (triplexed)</t>
        </is>
      </c>
      <c r="K5585" s="12" t="inlineStr">
        <is>
          <t>MV15|1/C|2</t>
        </is>
      </c>
      <c r="L5585" s="12" t="inlineStr">
        <is>
          <t>1/C</t>
        </is>
      </c>
      <c r="M5585" s="12" t="inlineStr">
        <is>
          <t>2</t>
        </is>
      </c>
      <c r="N5585" s="12" t="n">
        <v>1</v>
      </c>
      <c r="O5585" s="12" t="n">
        <v>1</v>
      </c>
      <c r="P5585" s="12" t="n">
        <v>13800</v>
      </c>
      <c r="Q5585" s="12" t="n"/>
      <c r="R5585" s="12" t="n"/>
      <c r="S5585" s="12" t="inlineStr">
        <is>
          <t>Conduit</t>
        </is>
      </c>
      <c r="T5585" s="15" t="n">
        <v>15</v>
      </c>
      <c r="U5585" s="15" t="n">
        <v>5</v>
      </c>
      <c r="V5585" s="15">
        <f>ROUNDUP((T5585+U5585+2*'Read Me'!$B$13)*(1+'Read Me'!$B$12),-1)</f>
        <v/>
      </c>
      <c r="W5585" s="15">
        <f>V5585*N5585*O5585</f>
        <v/>
      </c>
      <c r="X5585" s="12">
        <f>IF(LEFT(I5585,2)="MV",2*N5585*IF(L5585="1/C",O5585,1),0)</f>
        <v/>
      </c>
      <c r="Y5585" s="12">
        <f>IF(OR(LEFT(K5585,4)="LVAX",LEFT(K5585,6)="MV15AX",LEFT(K5585,4)="CTAX",LEFT(K5585,2)="W|"),2*N5585*O5585,0)</f>
        <v/>
      </c>
      <c r="Z5585" s="12" t="inlineStr">
        <is>
          <t>NGR in the generator / terminal-box enclosure</t>
        </is>
      </c>
      <c r="AA5585" s="12">
        <f>N5585*O5585</f>
        <v/>
      </c>
    </row>
    <row r="5586">
      <c r="A5586" s="12" t="inlineStr">
        <is>
          <t>I-MV-0062</t>
        </is>
      </c>
      <c r="B5586" s="12" t="inlineStr">
        <is>
          <t>I</t>
        </is>
      </c>
      <c r="C5586" s="12" t="inlineStr">
        <is>
          <t>Modular / portable power</t>
        </is>
      </c>
      <c r="D5586" s="12" t="inlineStr">
        <is>
          <t>TGF-4 generator neutral to its high-resistance grounding resistor (in the package)</t>
        </is>
      </c>
      <c r="E5586" s="12" t="inlineStr">
        <is>
          <t>TGF-4</t>
        </is>
      </c>
      <c r="F5586" s="12" t="inlineStr">
        <is>
          <t xml:space="preserve">TGF-4: trailer-mounted gas-engine generator ~2.5 MW, 13.8 kV (trailer </t>
        </is>
      </c>
      <c r="G5586" s="12" t="inlineStr">
        <is>
          <t>TGF-4</t>
        </is>
      </c>
      <c r="H5586" s="12" t="inlineStr">
        <is>
          <t xml:space="preserve">TGF-4: trailer-mounted gas-engine generator ~2.5 MW, 13.8 kV (trailer </t>
        </is>
      </c>
      <c r="I5586" s="12" t="inlineStr">
        <is>
          <t>MV 15 kV</t>
        </is>
      </c>
      <c r="J5586" s="12" t="inlineStr">
        <is>
          <t>MV-105 15 kV 1/C Cu, EPR 133%, Cu tape shield, PVC jacket (triplexed)</t>
        </is>
      </c>
      <c r="K5586" s="12" t="inlineStr">
        <is>
          <t>MV15|1/C|2</t>
        </is>
      </c>
      <c r="L5586" s="12" t="inlineStr">
        <is>
          <t>1/C</t>
        </is>
      </c>
      <c r="M5586" s="12" t="inlineStr">
        <is>
          <t>2</t>
        </is>
      </c>
      <c r="N5586" s="12" t="n">
        <v>1</v>
      </c>
      <c r="O5586" s="12" t="n">
        <v>1</v>
      </c>
      <c r="P5586" s="12" t="n">
        <v>13800</v>
      </c>
      <c r="Q5586" s="12" t="n"/>
      <c r="R5586" s="12" t="n"/>
      <c r="S5586" s="12" t="inlineStr">
        <is>
          <t>Conduit</t>
        </is>
      </c>
      <c r="T5586" s="15" t="n">
        <v>15</v>
      </c>
      <c r="U5586" s="15" t="n">
        <v>5</v>
      </c>
      <c r="V5586" s="15">
        <f>ROUNDUP((T5586+U5586+2*'Read Me'!$B$13)*(1+'Read Me'!$B$12),-1)</f>
        <v/>
      </c>
      <c r="W5586" s="15">
        <f>V5586*N5586*O5586</f>
        <v/>
      </c>
      <c r="X5586" s="12">
        <f>IF(LEFT(I5586,2)="MV",2*N5586*IF(L5586="1/C",O5586,1),0)</f>
        <v/>
      </c>
      <c r="Y5586" s="12">
        <f>IF(OR(LEFT(K5586,4)="LVAX",LEFT(K5586,6)="MV15AX",LEFT(K5586,4)="CTAX",LEFT(K5586,2)="W|"),2*N5586*O5586,0)</f>
        <v/>
      </c>
      <c r="Z5586" s="12" t="inlineStr">
        <is>
          <t>NGR in the generator / terminal-box enclosure</t>
        </is>
      </c>
      <c r="AA5586" s="12">
        <f>N5586*O5586</f>
        <v/>
      </c>
    </row>
    <row r="5587">
      <c r="A5587" s="12" t="inlineStr">
        <is>
          <t>I-MV-0063</t>
        </is>
      </c>
      <c r="B5587" s="12" t="inlineStr">
        <is>
          <t>I</t>
        </is>
      </c>
      <c r="C5587" s="12" t="inlineStr">
        <is>
          <t>Modular / portable power</t>
        </is>
      </c>
      <c r="D5587" s="12" t="inlineStr">
        <is>
          <t>TGF-5 generator neutral to its high-resistance grounding resistor (in the package)</t>
        </is>
      </c>
      <c r="E5587" s="12" t="inlineStr">
        <is>
          <t>TGF-5</t>
        </is>
      </c>
      <c r="F5587" s="12" t="inlineStr">
        <is>
          <t xml:space="preserve">TGF-5: trailer-mounted gas-engine generator ~2.5 MW, 13.8 kV (trailer </t>
        </is>
      </c>
      <c r="G5587" s="12" t="inlineStr">
        <is>
          <t>TGF-5</t>
        </is>
      </c>
      <c r="H5587" s="12" t="inlineStr">
        <is>
          <t xml:space="preserve">TGF-5: trailer-mounted gas-engine generator ~2.5 MW, 13.8 kV (trailer </t>
        </is>
      </c>
      <c r="I5587" s="12" t="inlineStr">
        <is>
          <t>MV 15 kV</t>
        </is>
      </c>
      <c r="J5587" s="12" t="inlineStr">
        <is>
          <t>MV-105 15 kV 1/C Cu, EPR 133%, Cu tape shield, PVC jacket (triplexed)</t>
        </is>
      </c>
      <c r="K5587" s="12" t="inlineStr">
        <is>
          <t>MV15|1/C|2</t>
        </is>
      </c>
      <c r="L5587" s="12" t="inlineStr">
        <is>
          <t>1/C</t>
        </is>
      </c>
      <c r="M5587" s="12" t="inlineStr">
        <is>
          <t>2</t>
        </is>
      </c>
      <c r="N5587" s="12" t="n">
        <v>1</v>
      </c>
      <c r="O5587" s="12" t="n">
        <v>1</v>
      </c>
      <c r="P5587" s="12" t="n">
        <v>13800</v>
      </c>
      <c r="Q5587" s="12" t="n"/>
      <c r="R5587" s="12" t="n"/>
      <c r="S5587" s="12" t="inlineStr">
        <is>
          <t>Conduit</t>
        </is>
      </c>
      <c r="T5587" s="15" t="n">
        <v>15</v>
      </c>
      <c r="U5587" s="15" t="n">
        <v>5</v>
      </c>
      <c r="V5587" s="15">
        <f>ROUNDUP((T5587+U5587+2*'Read Me'!$B$13)*(1+'Read Me'!$B$12),-1)</f>
        <v/>
      </c>
      <c r="W5587" s="15">
        <f>V5587*N5587*O5587</f>
        <v/>
      </c>
      <c r="X5587" s="12">
        <f>IF(LEFT(I5587,2)="MV",2*N5587*IF(L5587="1/C",O5587,1),0)</f>
        <v/>
      </c>
      <c r="Y5587" s="12">
        <f>IF(OR(LEFT(K5587,4)="LVAX",LEFT(K5587,6)="MV15AX",LEFT(K5587,4)="CTAX",LEFT(K5587,2)="W|"),2*N5587*O5587,0)</f>
        <v/>
      </c>
      <c r="Z5587" s="12" t="inlineStr">
        <is>
          <t>NGR in the generator / terminal-box enclosure</t>
        </is>
      </c>
      <c r="AA5587" s="12">
        <f>N5587*O5587</f>
        <v/>
      </c>
    </row>
    <row r="5588">
      <c r="A5588" s="12" t="inlineStr">
        <is>
          <t>I-MV-0064</t>
        </is>
      </c>
      <c r="B5588" s="12" t="inlineStr">
        <is>
          <t>I</t>
        </is>
      </c>
      <c r="C5588" s="12" t="inlineStr">
        <is>
          <t>Modular / portable power</t>
        </is>
      </c>
      <c r="D5588" s="12" t="inlineStr">
        <is>
          <t>TGF-6 generator neutral to its high-resistance grounding resistor (in the package)</t>
        </is>
      </c>
      <c r="E5588" s="12" t="inlineStr">
        <is>
          <t>TGF-6</t>
        </is>
      </c>
      <c r="F5588" s="12" t="inlineStr">
        <is>
          <t xml:space="preserve">TGF-6: trailer-mounted gas-engine generator ~2.5 MW, 13.8 kV (trailer </t>
        </is>
      </c>
      <c r="G5588" s="12" t="inlineStr">
        <is>
          <t>TGF-6</t>
        </is>
      </c>
      <c r="H5588" s="12" t="inlineStr">
        <is>
          <t xml:space="preserve">TGF-6: trailer-mounted gas-engine generator ~2.5 MW, 13.8 kV (trailer </t>
        </is>
      </c>
      <c r="I5588" s="12" t="inlineStr">
        <is>
          <t>MV 15 kV</t>
        </is>
      </c>
      <c r="J5588" s="12" t="inlineStr">
        <is>
          <t>MV-105 15 kV 1/C Cu, EPR 133%, Cu tape shield, PVC jacket (triplexed)</t>
        </is>
      </c>
      <c r="K5588" s="12" t="inlineStr">
        <is>
          <t>MV15|1/C|2</t>
        </is>
      </c>
      <c r="L5588" s="12" t="inlineStr">
        <is>
          <t>1/C</t>
        </is>
      </c>
      <c r="M5588" s="12" t="inlineStr">
        <is>
          <t>2</t>
        </is>
      </c>
      <c r="N5588" s="12" t="n">
        <v>1</v>
      </c>
      <c r="O5588" s="12" t="n">
        <v>1</v>
      </c>
      <c r="P5588" s="12" t="n">
        <v>13800</v>
      </c>
      <c r="Q5588" s="12" t="n"/>
      <c r="R5588" s="12" t="n"/>
      <c r="S5588" s="12" t="inlineStr">
        <is>
          <t>Conduit</t>
        </is>
      </c>
      <c r="T5588" s="15" t="n">
        <v>15</v>
      </c>
      <c r="U5588" s="15" t="n">
        <v>5</v>
      </c>
      <c r="V5588" s="15">
        <f>ROUNDUP((T5588+U5588+2*'Read Me'!$B$13)*(1+'Read Me'!$B$12),-1)</f>
        <v/>
      </c>
      <c r="W5588" s="15">
        <f>V5588*N5588*O5588</f>
        <v/>
      </c>
      <c r="X5588" s="12">
        <f>IF(LEFT(I5588,2)="MV",2*N5588*IF(L5588="1/C",O5588,1),0)</f>
        <v/>
      </c>
      <c r="Y5588" s="12">
        <f>IF(OR(LEFT(K5588,4)="LVAX",LEFT(K5588,6)="MV15AX",LEFT(K5588,4)="CTAX",LEFT(K5588,2)="W|"),2*N5588*O5588,0)</f>
        <v/>
      </c>
      <c r="Z5588" s="12" t="inlineStr">
        <is>
          <t>NGR in the generator / terminal-box enclosure</t>
        </is>
      </c>
      <c r="AA5588" s="12">
        <f>N5588*O5588</f>
        <v/>
      </c>
    </row>
    <row r="5589">
      <c r="A5589" s="12" t="inlineStr">
        <is>
          <t>I-MV-0065</t>
        </is>
      </c>
      <c r="B5589" s="12" t="inlineStr">
        <is>
          <t>I</t>
        </is>
      </c>
      <c r="C5589" s="12" t="inlineStr">
        <is>
          <t>Modular / portable power</t>
        </is>
      </c>
      <c r="D5589" s="12" t="inlineStr">
        <is>
          <t>TGF-SWG 13.8 kV to TGF-GSU</t>
        </is>
      </c>
      <c r="E5589" s="12" t="inlineStr">
        <is>
          <t>TGF-SWG</t>
        </is>
      </c>
      <c r="F5589" s="12" t="inlineStr">
        <is>
          <t>TGF-SWG: mobile 13.8 kV switchgear trailer (fleet collector)</t>
        </is>
      </c>
      <c r="G5589" s="12" t="inlineStr">
        <is>
          <t>TGF-GSU</t>
        </is>
      </c>
      <c r="H5589" s="12" t="inlineStr">
        <is>
          <t>TGF-GSU: 13.8 / 34.5 kV step-up, ~20 MVA (trailer fleet)</t>
        </is>
      </c>
      <c r="I5589" s="12" t="inlineStr">
        <is>
          <t>MV 15 kV</t>
        </is>
      </c>
      <c r="J5589" s="12" t="inlineStr">
        <is>
          <t>MV-105 15 kV 1/C Cu, EPR 133%, Cu tape shield, PVC jacket (triplexed)</t>
        </is>
      </c>
      <c r="K5589" s="12" t="inlineStr">
        <is>
          <t>MV15|1/C|500</t>
        </is>
      </c>
      <c r="L5589" s="12" t="inlineStr">
        <is>
          <t>1/C</t>
        </is>
      </c>
      <c r="M5589" s="12" t="inlineStr">
        <is>
          <t>500 kcmil</t>
        </is>
      </c>
      <c r="N5589" s="12" t="n">
        <v>2</v>
      </c>
      <c r="O5589" s="12" t="n">
        <v>3</v>
      </c>
      <c r="P5589" s="12" t="n">
        <v>13800</v>
      </c>
      <c r="Q5589" s="12" t="n">
        <v>15000</v>
      </c>
      <c r="R5589" s="12" t="n">
        <v>697</v>
      </c>
      <c r="S5589" s="12" t="inlineStr">
        <is>
          <t>Surface</t>
        </is>
      </c>
      <c r="T5589" s="15" t="n">
        <v>38</v>
      </c>
      <c r="U5589" s="15" t="n">
        <v>27</v>
      </c>
      <c r="V5589" s="15">
        <f>ROUNDUP((T5589+U5589+2*'Read Me'!$B$13)*(1+'Read Me'!$B$12),-1)</f>
        <v/>
      </c>
      <c r="W5589" s="15">
        <f>V5589*N5589*O5589</f>
        <v/>
      </c>
      <c r="X5589" s="12">
        <f>IF(LEFT(I5589,2)="MV",2*N5589*IF(L5589="1/C",O5589,1),0)</f>
        <v/>
      </c>
      <c r="Y5589" s="12">
        <f>IF(OR(LEFT(K5589,4)="LVAX",LEFT(K5589,6)="MV15AX",LEFT(K5589,4)="CTAX",LEFT(K5589,2)="W|"),2*N5589*O5589,0)</f>
        <v/>
      </c>
      <c r="Z5589" s="12" t="inlineStr">
        <is>
          <t>2 sets per phase</t>
        </is>
      </c>
      <c r="AA5589" s="12">
        <f>N5589*O5589</f>
        <v/>
      </c>
    </row>
    <row r="5590">
      <c r="A5590" s="12" t="inlineStr">
        <is>
          <t>I-MV-0066</t>
        </is>
      </c>
      <c r="B5590" s="12" t="inlineStr">
        <is>
          <t>I</t>
        </is>
      </c>
      <c r="C5590" s="12" t="inlineStr">
        <is>
          <t>Modular / portable power</t>
        </is>
      </c>
      <c r="D5590" s="12" t="inlineStr">
        <is>
          <t>L3 35 kV collector loop, segment 1 of 5 (SWG-MY to GBT-1)</t>
        </is>
      </c>
      <c r="E5590" s="12" t="inlineStr">
        <is>
          <t>SWG-MY</t>
        </is>
      </c>
      <c r="F5590" s="12" t="inlineStr">
        <is>
          <t xml:space="preserve">SWG-MY: 35 kV switchgear lineup for the modular blocks (group breaker </t>
        </is>
      </c>
      <c r="G5590" s="12" t="inlineStr">
        <is>
          <t>GBT-1</t>
        </is>
      </c>
      <c r="H5590" s="12" t="inlineStr">
        <is>
          <t>GBT-1: block GB-1 step-up 480 V : 34.5 kV, ~3 MVA pad-mount (on the 35</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1</v>
      </c>
      <c r="O5590" s="12" t="n">
        <v>3</v>
      </c>
      <c r="P5590" s="12" t="n">
        <v>34500</v>
      </c>
      <c r="Q5590" s="12" t="n">
        <v>10000</v>
      </c>
      <c r="R5590" s="12" t="n">
        <v>167</v>
      </c>
      <c r="S5590" s="12" t="inlineStr">
        <is>
          <t>Duct bank</t>
        </is>
      </c>
      <c r="T5590" s="15" t="n">
        <v>83</v>
      </c>
      <c r="U5590" s="15" t="n">
        <v>37</v>
      </c>
      <c r="V5590" s="15">
        <f>ROUNDUP((T5590+U5590+2*'Read Me'!$B$13)*(1+'Read Me'!$B$12),-1)</f>
        <v/>
      </c>
      <c r="W5590" s="15">
        <f>V5590*N5590*O5590</f>
        <v/>
      </c>
      <c r="X5590" s="12">
        <f>IF(LEFT(I5590,2)="MV",2*N5590*IF(L5590="1/C",O5590,1),0)</f>
        <v/>
      </c>
      <c r="Y5590" s="12">
        <f>IF(OR(LEFT(K5590,4)="LVAX",LEFT(K5590,6)="MV15AX",LEFT(K5590,4)="CTAX",LEFT(K5590,2)="W|"),2*N5590*O5590,0)</f>
        <v/>
      </c>
      <c r="Z5590" s="12" t="inlineStr">
        <is>
          <t>loop conductor 750 kcmil Al, 133 % (WORKING ASSUMPTION)</t>
        </is>
      </c>
      <c r="AA5590" s="12">
        <f>N5590*O5590</f>
        <v/>
      </c>
    </row>
    <row r="5591">
      <c r="A5591" s="12" t="inlineStr">
        <is>
          <t>I-MV-0067</t>
        </is>
      </c>
      <c r="B5591" s="12" t="inlineStr">
        <is>
          <t>I</t>
        </is>
      </c>
      <c r="C5591" s="12" t="inlineStr">
        <is>
          <t>Modular / portable power</t>
        </is>
      </c>
      <c r="D5591" s="12" t="inlineStr">
        <is>
          <t>L3 35 kV collector loop, segment 2 of 5 (GBT-1 to GBT-2)</t>
        </is>
      </c>
      <c r="E5591" s="12" t="inlineStr">
        <is>
          <t>GBT-1</t>
        </is>
      </c>
      <c r="F5591" s="12" t="inlineStr">
        <is>
          <t>GBT-1: block GB-1 step-up 480 V : 34.5 kV, ~3 MVA pad-mount (on the 35</t>
        </is>
      </c>
      <c r="G5591" s="12" t="inlineStr">
        <is>
          <t>GBT-2</t>
        </is>
      </c>
      <c r="H5591" s="12" t="inlineStr">
        <is>
          <t>GBT-2: block GB-2 step-up 480 V : 34.5 kV, ~3 MVA pad-mount (on the 35</t>
        </is>
      </c>
      <c r="I5591" s="12" t="inlineStr">
        <is>
          <t>MV 35 kV</t>
        </is>
      </c>
      <c r="J5591" s="12" t="inlineStr">
        <is>
          <t>MV-105 35 kV 1/C Al, EPR 133%, 1/3 concentric neutral, LLDPE jacket</t>
        </is>
      </c>
      <c r="K5591" s="12" t="inlineStr">
        <is>
          <t>MV35|1/C|750</t>
        </is>
      </c>
      <c r="L5591" s="12" t="inlineStr">
        <is>
          <t>1/C</t>
        </is>
      </c>
      <c r="M5591" s="12" t="inlineStr">
        <is>
          <t>750 kcmil</t>
        </is>
      </c>
      <c r="N5591" s="12" t="n">
        <v>1</v>
      </c>
      <c r="O5591" s="12" t="n">
        <v>3</v>
      </c>
      <c r="P5591" s="12" t="n">
        <v>34500</v>
      </c>
      <c r="Q5591" s="12" t="n">
        <v>10000</v>
      </c>
      <c r="R5591" s="12" t="n">
        <v>167</v>
      </c>
      <c r="S5591" s="12" t="inlineStr">
        <is>
          <t>Surface</t>
        </is>
      </c>
      <c r="T5591" s="15" t="n">
        <v>78</v>
      </c>
      <c r="U5591" s="15" t="n">
        <v>37</v>
      </c>
      <c r="V5591" s="15">
        <f>ROUNDUP((T5591+U5591+2*'Read Me'!$B$13)*(1+'Read Me'!$B$12),-1)</f>
        <v/>
      </c>
      <c r="W5591" s="15">
        <f>V5591*N5591*O5591</f>
        <v/>
      </c>
      <c r="X5591" s="12">
        <f>IF(LEFT(I5591,2)="MV",2*N5591*IF(L5591="1/C",O5591,1),0)</f>
        <v/>
      </c>
      <c r="Y5591" s="12">
        <f>IF(OR(LEFT(K5591,4)="LVAX",LEFT(K5591,6)="MV15AX",LEFT(K5591,4)="CTAX",LEFT(K5591,2)="W|"),2*N5591*O5591,0)</f>
        <v/>
      </c>
      <c r="Z5591" s="12" t="inlineStr">
        <is>
          <t>loop conductor 750 kcmil Al, 133 % (WORKING ASSUMPTION)</t>
        </is>
      </c>
      <c r="AA5591" s="12">
        <f>N5591*O5591</f>
        <v/>
      </c>
    </row>
    <row r="5592">
      <c r="A5592" s="12" t="inlineStr">
        <is>
          <t>I-MV-0068</t>
        </is>
      </c>
      <c r="B5592" s="12" t="inlineStr">
        <is>
          <t>I</t>
        </is>
      </c>
      <c r="C5592" s="12" t="inlineStr">
        <is>
          <t>Modular / portable power</t>
        </is>
      </c>
      <c r="D5592" s="12" t="inlineStr">
        <is>
          <t>L3 35 kV collector loop, segment 3 of 5 (GBT-2 to GBT-3)</t>
        </is>
      </c>
      <c r="E5592" s="12" t="inlineStr">
        <is>
          <t>GBT-2</t>
        </is>
      </c>
      <c r="F5592" s="12" t="inlineStr">
        <is>
          <t>GBT-2: block GB-2 step-up 480 V : 34.5 kV, ~3 MVA pad-mount (on the 35</t>
        </is>
      </c>
      <c r="G5592" s="12" t="inlineStr">
        <is>
          <t>GBT-3</t>
        </is>
      </c>
      <c r="H5592" s="12" t="inlineStr">
        <is>
          <t>GBT-3: block GB-3 step-up 480 V : 34.5 kV, ~3 MVA pad-mount (on the 35</t>
        </is>
      </c>
      <c r="I5592" s="12" t="inlineStr">
        <is>
          <t>MV 35 kV</t>
        </is>
      </c>
      <c r="J5592" s="12" t="inlineStr">
        <is>
          <t>MV-105 35 kV 1/C Al, EPR 133%, 1/3 concentric neutral, LLDPE jacket</t>
        </is>
      </c>
      <c r="K5592" s="12" t="inlineStr">
        <is>
          <t>MV35|1/C|750</t>
        </is>
      </c>
      <c r="L5592" s="12" t="inlineStr">
        <is>
          <t>1/C</t>
        </is>
      </c>
      <c r="M5592" s="12" t="inlineStr">
        <is>
          <t>750 kcmil</t>
        </is>
      </c>
      <c r="N5592" s="12" t="n">
        <v>1</v>
      </c>
      <c r="O5592" s="12" t="n">
        <v>3</v>
      </c>
      <c r="P5592" s="12" t="n">
        <v>34500</v>
      </c>
      <c r="Q5592" s="12" t="n">
        <v>10000</v>
      </c>
      <c r="R5592" s="12" t="n">
        <v>167</v>
      </c>
      <c r="S5592" s="12" t="inlineStr">
        <is>
          <t>Surface</t>
        </is>
      </c>
      <c r="T5592" s="15" t="n">
        <v>28</v>
      </c>
      <c r="U5592" s="15" t="n">
        <v>27</v>
      </c>
      <c r="V5592" s="15">
        <f>ROUNDUP((T5592+U5592+2*'Read Me'!$B$13)*(1+'Read Me'!$B$12),-1)</f>
        <v/>
      </c>
      <c r="W5592" s="15">
        <f>V5592*N5592*O5592</f>
        <v/>
      </c>
      <c r="X5592" s="12">
        <f>IF(LEFT(I5592,2)="MV",2*N5592*IF(L5592="1/C",O5592,1),0)</f>
        <v/>
      </c>
      <c r="Y5592" s="12">
        <f>IF(OR(LEFT(K5592,4)="LVAX",LEFT(K5592,6)="MV15AX",LEFT(K5592,4)="CTAX",LEFT(K5592,2)="W|"),2*N5592*O5592,0)</f>
        <v/>
      </c>
      <c r="Z5592" s="12" t="inlineStr">
        <is>
          <t>loop conductor 750 kcmil Al, 133 % (WORKING ASSUMPTION)</t>
        </is>
      </c>
      <c r="AA5592" s="12">
        <f>N5592*O5592</f>
        <v/>
      </c>
    </row>
    <row r="5593">
      <c r="A5593" s="12" t="inlineStr">
        <is>
          <t>I-MV-0069</t>
        </is>
      </c>
      <c r="B5593" s="12" t="inlineStr">
        <is>
          <t>I</t>
        </is>
      </c>
      <c r="C5593" s="12" t="inlineStr">
        <is>
          <t>Modular / portable power</t>
        </is>
      </c>
      <c r="D5593" s="12" t="inlineStr">
        <is>
          <t>L3 35 kV collector loop, segment 4 of 5 (GBT-3 to GBT-4)</t>
        </is>
      </c>
      <c r="E5593" s="12" t="inlineStr">
        <is>
          <t>GBT-3</t>
        </is>
      </c>
      <c r="F5593" s="12" t="inlineStr">
        <is>
          <t>GBT-3: block GB-3 step-up 480 V : 34.5 kV, ~3 MVA pad-mount (on the 35</t>
        </is>
      </c>
      <c r="G5593" s="12" t="inlineStr">
        <is>
          <t>GBT-4</t>
        </is>
      </c>
      <c r="H5593" s="12" t="inlineStr">
        <is>
          <t>GBT-4: block GB-4 step-up 480 V : 34.5 kV, ~3 MVA pad-mount (on the 35</t>
        </is>
      </c>
      <c r="I5593" s="12" t="inlineStr">
        <is>
          <t>MV 35 kV</t>
        </is>
      </c>
      <c r="J5593" s="12" t="inlineStr">
        <is>
          <t>MV-105 35 kV 1/C Al, EPR 133%, 1/3 concentric neutral, LLDPE jacket</t>
        </is>
      </c>
      <c r="K5593" s="12" t="inlineStr">
        <is>
          <t>MV35|1/C|750</t>
        </is>
      </c>
      <c r="L5593" s="12" t="inlineStr">
        <is>
          <t>1/C</t>
        </is>
      </c>
      <c r="M5593" s="12" t="inlineStr">
        <is>
          <t>750 kcmil</t>
        </is>
      </c>
      <c r="N5593" s="12" t="n">
        <v>1</v>
      </c>
      <c r="O5593" s="12" t="n">
        <v>3</v>
      </c>
      <c r="P5593" s="12" t="n">
        <v>34500</v>
      </c>
      <c r="Q5593" s="12" t="n">
        <v>10000</v>
      </c>
      <c r="R5593" s="12" t="n">
        <v>167</v>
      </c>
      <c r="S5593" s="12" t="inlineStr">
        <is>
          <t>Surface</t>
        </is>
      </c>
      <c r="T5593" s="15" t="n">
        <v>79</v>
      </c>
      <c r="U5593" s="15" t="n">
        <v>37</v>
      </c>
      <c r="V5593" s="15">
        <f>ROUNDUP((T5593+U5593+2*'Read Me'!$B$13)*(1+'Read Me'!$B$12),-1)</f>
        <v/>
      </c>
      <c r="W5593" s="15">
        <f>V5593*N5593*O5593</f>
        <v/>
      </c>
      <c r="X5593" s="12">
        <f>IF(LEFT(I5593,2)="MV",2*N5593*IF(L5593="1/C",O5593,1),0)</f>
        <v/>
      </c>
      <c r="Y5593" s="12">
        <f>IF(OR(LEFT(K5593,4)="LVAX",LEFT(K5593,6)="MV15AX",LEFT(K5593,4)="CTAX",LEFT(K5593,2)="W|"),2*N5593*O5593,0)</f>
        <v/>
      </c>
      <c r="Z5593" s="12" t="inlineStr">
        <is>
          <t>loop conductor 750 kcmil Al, 133 % (WORKING ASSUMPTION)</t>
        </is>
      </c>
      <c r="AA5593" s="12">
        <f>N5593*O5593</f>
        <v/>
      </c>
    </row>
    <row r="5594">
      <c r="A5594" s="12" t="inlineStr">
        <is>
          <t>I-MV-0070</t>
        </is>
      </c>
      <c r="B5594" s="12" t="inlineStr">
        <is>
          <t>I</t>
        </is>
      </c>
      <c r="C5594" s="12" t="inlineStr">
        <is>
          <t>Modular / portable power</t>
        </is>
      </c>
      <c r="D5594" s="12" t="inlineStr">
        <is>
          <t>RICE-GSU-A 34.5 kV to MOD-EH bus 1</t>
        </is>
      </c>
      <c r="E5594" s="12" t="inlineStr">
        <is>
          <t>RICE-GSU-A</t>
        </is>
      </c>
      <c r="F5594" s="12" t="inlineStr">
        <is>
          <t>RICE-GSU-A: 13.8 / 34.5 kV group step-up, ~45 MVA (RICE 1-2)</t>
        </is>
      </c>
      <c r="G5594" s="12" t="inlineStr">
        <is>
          <t>MOD-EH</t>
        </is>
      </c>
      <c r="H5594" s="12" t="inlineStr">
        <is>
          <t>MOD-EH: 34.5 kV modular collector e-house (2 bus sections + 13.8 kV st</t>
        </is>
      </c>
      <c r="I5594" s="12" t="inlineStr">
        <is>
          <t>MV 35 kV</t>
        </is>
      </c>
      <c r="J5594" s="12" t="inlineStr">
        <is>
          <t>MV-105 35 kV 1/C Al, EPR 133%, 1/3 concentric neutral, LLDPE jacket</t>
        </is>
      </c>
      <c r="K5594" s="12" t="inlineStr">
        <is>
          <t>MV35|1/C|750</t>
        </is>
      </c>
      <c r="L5594" s="12" t="inlineStr">
        <is>
          <t>1/C</t>
        </is>
      </c>
      <c r="M5594" s="12" t="inlineStr">
        <is>
          <t>750 kcmil</t>
        </is>
      </c>
      <c r="N5594" s="12" t="n">
        <v>2</v>
      </c>
      <c r="O5594" s="12" t="n">
        <v>3</v>
      </c>
      <c r="P5594" s="12" t="n">
        <v>34500</v>
      </c>
      <c r="Q5594" s="12" t="n">
        <v>36800</v>
      </c>
      <c r="R5594" s="12" t="n">
        <v>684</v>
      </c>
      <c r="S5594" s="12" t="inlineStr">
        <is>
          <t>Duct bank</t>
        </is>
      </c>
      <c r="T5594" s="15" t="n">
        <v>241</v>
      </c>
      <c r="U5594" s="15" t="n">
        <v>32</v>
      </c>
      <c r="V5594" s="15">
        <f>ROUNDUP((T5594+U5594+2*'Read Me'!$B$13)*(1+'Read Me'!$B$12),-1)</f>
        <v/>
      </c>
      <c r="W5594" s="15">
        <f>V5594*N5594*O5594</f>
        <v/>
      </c>
      <c r="X5594" s="12">
        <f>IF(LEFT(I5594,2)="MV",2*N5594*IF(L5594="1/C",O5594,1),0)</f>
        <v/>
      </c>
      <c r="Y5594" s="12">
        <f>IF(OR(LEFT(K5594,4)="LVAX",LEFT(K5594,6)="MV15AX",LEFT(K5594,4)="CTAX",LEFT(K5594,2)="W|"),2*N5594*O5594,0)</f>
        <v/>
      </c>
      <c r="Z5594" s="12" t="inlineStr">
        <is>
          <t>2 sets per phase</t>
        </is>
      </c>
      <c r="AA5594" s="12">
        <f>N5594*O5594</f>
        <v/>
      </c>
    </row>
    <row r="5595">
      <c r="A5595" s="12" t="inlineStr">
        <is>
          <t>I-MV-0071</t>
        </is>
      </c>
      <c r="B5595" s="12" t="inlineStr">
        <is>
          <t>I</t>
        </is>
      </c>
      <c r="C5595" s="12" t="inlineStr">
        <is>
          <t>Modular / portable power</t>
        </is>
      </c>
      <c r="D5595" s="12" t="inlineStr">
        <is>
          <t>RICE-GSU-B 34.5 kV to MOD-EH bus 1</t>
        </is>
      </c>
      <c r="E5595" s="12" t="inlineStr">
        <is>
          <t>RICE-GSU-B</t>
        </is>
      </c>
      <c r="F5595" s="12" t="inlineStr">
        <is>
          <t>RICE-GSU-B: 13.8 / 34.5 kV group step-up, ~45 MVA (RICE 3-4)</t>
        </is>
      </c>
      <c r="G5595" s="12" t="inlineStr">
        <is>
          <t>MOD-EH</t>
        </is>
      </c>
      <c r="H5595" s="12" t="inlineStr">
        <is>
          <t>MOD-EH: 34.5 kV modular collector e-house (2 bus sections + 13.8 kV st</t>
        </is>
      </c>
      <c r="I5595" s="12" t="inlineStr">
        <is>
          <t>MV 35 kV</t>
        </is>
      </c>
      <c r="J5595" s="12" t="inlineStr">
        <is>
          <t>MV-105 35 kV 1/C Al, EPR 133%, 1/3 concentric neutral, LLDPE jacket</t>
        </is>
      </c>
      <c r="K5595" s="12" t="inlineStr">
        <is>
          <t>MV35|1/C|750</t>
        </is>
      </c>
      <c r="L5595" s="12" t="inlineStr">
        <is>
          <t>1/C</t>
        </is>
      </c>
      <c r="M5595" s="12" t="inlineStr">
        <is>
          <t>750 kcmil</t>
        </is>
      </c>
      <c r="N5595" s="12" t="n">
        <v>2</v>
      </c>
      <c r="O5595" s="12" t="n">
        <v>3</v>
      </c>
      <c r="P5595" s="12" t="n">
        <v>34500</v>
      </c>
      <c r="Q5595" s="12" t="n">
        <v>36800</v>
      </c>
      <c r="R5595" s="12" t="n">
        <v>684</v>
      </c>
      <c r="S5595" s="12" t="inlineStr">
        <is>
          <t>Duct bank</t>
        </is>
      </c>
      <c r="T5595" s="15" t="n">
        <v>216</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is>
          <t>2 sets per phase</t>
        </is>
      </c>
      <c r="AA5595" s="12">
        <f>N5595*O5595</f>
        <v/>
      </c>
    </row>
    <row r="5596">
      <c r="A5596" s="12" t="inlineStr">
        <is>
          <t>I-MV-0072</t>
        </is>
      </c>
      <c r="B5596" s="12" t="inlineStr">
        <is>
          <t>I</t>
        </is>
      </c>
      <c r="C5596" s="12" t="inlineStr">
        <is>
          <t>Modular / portable power</t>
        </is>
      </c>
      <c r="D5596" s="12" t="inlineStr">
        <is>
          <t>RICE-GSU-C 34.5 kV to MOD-EH bus 2</t>
        </is>
      </c>
      <c r="E5596" s="12" t="inlineStr">
        <is>
          <t>RICE-GSU-C</t>
        </is>
      </c>
      <c r="F5596" s="12" t="inlineStr">
        <is>
          <t>RICE-GSU-C: 13.8 / 34.5 kV group step-up, ~45 MVA (RICE 5-6)</t>
        </is>
      </c>
      <c r="G5596" s="12" t="inlineStr">
        <is>
          <t>MOD-EH</t>
        </is>
      </c>
      <c r="H5596" s="12" t="inlineStr">
        <is>
          <t>MOD-EH: 34.5 kV modular collector e-house (2 bus sections + 13.8 kV st</t>
        </is>
      </c>
      <c r="I5596" s="12" t="inlineStr">
        <is>
          <t>MV 35 kV</t>
        </is>
      </c>
      <c r="J5596" s="12" t="inlineStr">
        <is>
          <t>MV-105 35 kV 1/C Al, EPR 133%, 1/3 concentric neutral, LLDPE jacket</t>
        </is>
      </c>
      <c r="K5596" s="12" t="inlineStr">
        <is>
          <t>MV35|1/C|750</t>
        </is>
      </c>
      <c r="L5596" s="12" t="inlineStr">
        <is>
          <t>1/C</t>
        </is>
      </c>
      <c r="M5596" s="12" t="inlineStr">
        <is>
          <t>750 kcmil</t>
        </is>
      </c>
      <c r="N5596" s="12" t="n">
        <v>2</v>
      </c>
      <c r="O5596" s="12" t="n">
        <v>3</v>
      </c>
      <c r="P5596" s="12" t="n">
        <v>34500</v>
      </c>
      <c r="Q5596" s="12" t="n">
        <v>36800</v>
      </c>
      <c r="R5596" s="12" t="n">
        <v>684</v>
      </c>
      <c r="S5596" s="12" t="inlineStr">
        <is>
          <t>Duct bank</t>
        </is>
      </c>
      <c r="T5596" s="15" t="n">
        <v>191</v>
      </c>
      <c r="U5596" s="15" t="n">
        <v>32</v>
      </c>
      <c r="V5596" s="15">
        <f>ROUNDUP((T5596+U5596+2*'Read Me'!$B$13)*(1+'Read Me'!$B$12),-1)</f>
        <v/>
      </c>
      <c r="W5596" s="15">
        <f>V5596*N5596*O5596</f>
        <v/>
      </c>
      <c r="X5596" s="12">
        <f>IF(LEFT(I5596,2)="MV",2*N5596*IF(L5596="1/C",O5596,1),0)</f>
        <v/>
      </c>
      <c r="Y5596" s="12">
        <f>IF(OR(LEFT(K5596,4)="LVAX",LEFT(K5596,6)="MV15AX",LEFT(K5596,4)="CTAX",LEFT(K5596,2)="W|"),2*N5596*O5596,0)</f>
        <v/>
      </c>
      <c r="Z5596" s="12" t="inlineStr">
        <is>
          <t>2 sets per phase</t>
        </is>
      </c>
      <c r="AA5596" s="12">
        <f>N5596*O5596</f>
        <v/>
      </c>
    </row>
    <row r="5597">
      <c r="A5597" s="12" t="inlineStr">
        <is>
          <t>I-MV-0073</t>
        </is>
      </c>
      <c r="B5597" s="12" t="inlineStr">
        <is>
          <t>I</t>
        </is>
      </c>
      <c r="C5597" s="12" t="inlineStr">
        <is>
          <t>Modular / portable power</t>
        </is>
      </c>
      <c r="D5597" s="12" t="inlineStr">
        <is>
          <t>RICE-GSU-D 34.5 kV to MOD-EH bus 2</t>
        </is>
      </c>
      <c r="E5597" s="12" t="inlineStr">
        <is>
          <t>RICE-GSU-D</t>
        </is>
      </c>
      <c r="F5597" s="12" t="inlineStr">
        <is>
          <t>RICE-GSU-D: 13.8 / 34.5 kV group step-up, ~45 MVA (RICE 7-8)</t>
        </is>
      </c>
      <c r="G5597" s="12" t="inlineStr">
        <is>
          <t>MOD-EH</t>
        </is>
      </c>
      <c r="H5597" s="12" t="inlineStr">
        <is>
          <t>MOD-EH: 34.5 kV modular collector e-house (2 bus sections + 13.8 kV st</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2</v>
      </c>
      <c r="O5597" s="12" t="n">
        <v>3</v>
      </c>
      <c r="P5597" s="12" t="n">
        <v>34500</v>
      </c>
      <c r="Q5597" s="12" t="n">
        <v>36800</v>
      </c>
      <c r="R5597" s="12" t="n">
        <v>684</v>
      </c>
      <c r="S5597" s="12" t="inlineStr">
        <is>
          <t>Duct bank</t>
        </is>
      </c>
      <c r="T5597" s="15" t="n">
        <v>166</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2 sets per phase</t>
        </is>
      </c>
      <c r="AA5597" s="12">
        <f>N5597*O5597</f>
        <v/>
      </c>
    </row>
    <row r="5598">
      <c r="A5598" s="12" t="inlineStr">
        <is>
          <t>I-MV-0074</t>
        </is>
      </c>
      <c r="B5598" s="12" t="inlineStr">
        <is>
          <t>I</t>
        </is>
      </c>
      <c r="C5598" s="12" t="inlineStr">
        <is>
          <t>Modular / portable power</t>
        </is>
      </c>
      <c r="D5598" s="12" t="inlineStr">
        <is>
          <t>SC-GSU-1 34.5 kV to MOD-EH bus 1</t>
        </is>
      </c>
      <c r="E5598" s="12" t="inlineStr">
        <is>
          <t>SC-GSU-1</t>
        </is>
      </c>
      <c r="F5598" s="12" t="inlineStr">
        <is>
          <t>SC-GSU-1: 13.8 / 34.5 kV unit step-up, ~60 MVA (SC-1)</t>
        </is>
      </c>
      <c r="G5598" s="12" t="inlineStr">
        <is>
          <t>MOD-EH</t>
        </is>
      </c>
      <c r="H5598" s="12" t="inlineStr">
        <is>
          <t>MOD-EH: 34.5 kV modular collector e-house (2 bus sections + 13.8 kV st</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3</v>
      </c>
      <c r="O5598" s="12" t="n">
        <v>3</v>
      </c>
      <c r="P5598" s="12" t="n">
        <v>34500</v>
      </c>
      <c r="Q5598" s="12" t="n">
        <v>50000</v>
      </c>
      <c r="R5598" s="12" t="n">
        <v>930</v>
      </c>
      <c r="S5598" s="12" t="inlineStr">
        <is>
          <t>Duct bank</t>
        </is>
      </c>
      <c r="T5598" s="15" t="n">
        <v>460</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3 sets per phase</t>
        </is>
      </c>
      <c r="AA5598" s="12">
        <f>N5598*O5598</f>
        <v/>
      </c>
    </row>
    <row r="5599">
      <c r="A5599" s="12" t="inlineStr">
        <is>
          <t>I-MV-0075</t>
        </is>
      </c>
      <c r="B5599" s="12" t="inlineStr">
        <is>
          <t>I</t>
        </is>
      </c>
      <c r="C5599" s="12" t="inlineStr">
        <is>
          <t>Modular / portable power</t>
        </is>
      </c>
      <c r="D5599" s="12" t="inlineStr">
        <is>
          <t>SC-GSU-2 34.5 kV to MOD-EH bus 2</t>
        </is>
      </c>
      <c r="E5599" s="12" t="inlineStr">
        <is>
          <t>SC-GSU-2</t>
        </is>
      </c>
      <c r="F5599" s="12" t="inlineStr">
        <is>
          <t>SC-GSU-2: 13.8 / 34.5 kV unit step-up, ~60 MVA (SC-2)</t>
        </is>
      </c>
      <c r="G5599" s="12" t="inlineStr">
        <is>
          <t>MOD-EH</t>
        </is>
      </c>
      <c r="H5599" s="12" t="inlineStr">
        <is>
          <t>MOD-EH: 34.5 kV modular collector e-house (2 bus sections + 13.8 kV st</t>
        </is>
      </c>
      <c r="I5599" s="12" t="inlineStr">
        <is>
          <t>MV 35 kV</t>
        </is>
      </c>
      <c r="J5599" s="12" t="inlineStr">
        <is>
          <t>MV-105 35 kV 1/C Al, EPR 133%, 1/3 concentric neutral, LLDPE jacket</t>
        </is>
      </c>
      <c r="K5599" s="12" t="inlineStr">
        <is>
          <t>MV35|1/C|750</t>
        </is>
      </c>
      <c r="L5599" s="12" t="inlineStr">
        <is>
          <t>1/C</t>
        </is>
      </c>
      <c r="M5599" s="12" t="inlineStr">
        <is>
          <t>750 kcmil</t>
        </is>
      </c>
      <c r="N5599" s="12" t="n">
        <v>3</v>
      </c>
      <c r="O5599" s="12" t="n">
        <v>3</v>
      </c>
      <c r="P5599" s="12" t="n">
        <v>34500</v>
      </c>
      <c r="Q5599" s="12" t="n">
        <v>50000</v>
      </c>
      <c r="R5599" s="12" t="n">
        <v>930</v>
      </c>
      <c r="S5599" s="12" t="inlineStr">
        <is>
          <t>Duct bank</t>
        </is>
      </c>
      <c r="T5599" s="15" t="n">
        <v>540</v>
      </c>
      <c r="U5599" s="15" t="n">
        <v>20</v>
      </c>
      <c r="V5599" s="15">
        <f>ROUNDUP((T5599+U5599+2*'Read Me'!$B$13)*(1+'Read Me'!$B$12),-1)</f>
        <v/>
      </c>
      <c r="W5599" s="15">
        <f>V5599*N5599*O5599</f>
        <v/>
      </c>
      <c r="X5599" s="12">
        <f>IF(LEFT(I5599,2)="MV",2*N5599*IF(L5599="1/C",O5599,1),0)</f>
        <v/>
      </c>
      <c r="Y5599" s="12">
        <f>IF(OR(LEFT(K5599,4)="LVAX",LEFT(K5599,6)="MV15AX",LEFT(K5599,4)="CTAX",LEFT(K5599,2)="W|"),2*N5599*O5599,0)</f>
        <v/>
      </c>
      <c r="Z5599" s="12" t="inlineStr">
        <is>
          <t>3 sets per phase</t>
        </is>
      </c>
      <c r="AA5599" s="12">
        <f>N5599*O5599</f>
        <v/>
      </c>
    </row>
    <row r="5600">
      <c r="A5600" s="12" t="inlineStr">
        <is>
          <t>I-MV-0076</t>
        </is>
      </c>
      <c r="B5600" s="12" t="inlineStr">
        <is>
          <t>I</t>
        </is>
      </c>
      <c r="C5600" s="12" t="inlineStr">
        <is>
          <t>Modular / portable power</t>
        </is>
      </c>
      <c r="D5600" s="12" t="inlineStr">
        <is>
          <t>MOD-GT1 zigzag grounding transformer, bus 1</t>
        </is>
      </c>
      <c r="E5600" s="12" t="inlineStr">
        <is>
          <t>MOD-EH</t>
        </is>
      </c>
      <c r="F5600" s="12" t="inlineStr">
        <is>
          <t>MOD-EH: 34.5 kV modular collector e-house (2 bus sections + 13.8 kV st</t>
        </is>
      </c>
      <c r="G5600" s="12" t="inlineStr">
        <is>
          <t>MOD-GT1</t>
        </is>
      </c>
      <c r="H5600" s="12" t="inlineStr">
        <is>
          <t>MOD-GT1: 34.5 kV zigzag grounding transformer, MOD-EH bus 1</t>
        </is>
      </c>
      <c r="I5600" s="12" t="inlineStr">
        <is>
          <t>MV 35 kV</t>
        </is>
      </c>
      <c r="J5600" s="12" t="inlineStr">
        <is>
          <t>MV-105 35 kV 1/C Al, EPR 133%, 1/3 concentric neutral, LLDPE jacket</t>
        </is>
      </c>
      <c r="K5600" s="12" t="inlineStr">
        <is>
          <t>MV35|1/C|2</t>
        </is>
      </c>
      <c r="L5600" s="12" t="inlineStr">
        <is>
          <t>1/C</t>
        </is>
      </c>
      <c r="M5600" s="12" t="inlineStr">
        <is>
          <t>2</t>
        </is>
      </c>
      <c r="N5600" s="12" t="n">
        <v>1</v>
      </c>
      <c r="O5600" s="12" t="n">
        <v>3</v>
      </c>
      <c r="P5600" s="12" t="n">
        <v>34500</v>
      </c>
      <c r="Q5600" s="12" t="n">
        <v>300</v>
      </c>
      <c r="R5600" s="12" t="n">
        <v>5</v>
      </c>
      <c r="S5600" s="12" t="inlineStr">
        <is>
          <t>Riser</t>
        </is>
      </c>
      <c r="T5600" s="15" t="n">
        <v>4</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I-MV-0077</t>
        </is>
      </c>
      <c r="B5601" s="12" t="inlineStr">
        <is>
          <t>I</t>
        </is>
      </c>
      <c r="C5601" s="12" t="inlineStr">
        <is>
          <t>Modular / portable power</t>
        </is>
      </c>
      <c r="D5601" s="12" t="inlineStr">
        <is>
          <t>MOD-GT2 zigzag grounding transformer, bus 2</t>
        </is>
      </c>
      <c r="E5601" s="12" t="inlineStr">
        <is>
          <t>MOD-EH</t>
        </is>
      </c>
      <c r="F5601" s="12" t="inlineStr">
        <is>
          <t>MOD-EH: 34.5 kV modular collector e-house (2 bus sections + 13.8 kV st</t>
        </is>
      </c>
      <c r="G5601" s="12" t="inlineStr">
        <is>
          <t>MOD-GT2</t>
        </is>
      </c>
      <c r="H5601" s="12" t="inlineStr">
        <is>
          <t>MOD-GT2: 34.5 kV zigzag grounding transformer, MOD-EH bus 2</t>
        </is>
      </c>
      <c r="I5601" s="12" t="inlineStr">
        <is>
          <t>MV 35 kV</t>
        </is>
      </c>
      <c r="J5601" s="12" t="inlineStr">
        <is>
          <t>MV-105 35 kV 1/C Al, EPR 133%, 1/3 concentric neutral, LLDPE jacket</t>
        </is>
      </c>
      <c r="K5601" s="12" t="inlineStr">
        <is>
          <t>MV35|1/C|2</t>
        </is>
      </c>
      <c r="L5601" s="12" t="inlineStr">
        <is>
          <t>1/C</t>
        </is>
      </c>
      <c r="M5601" s="12" t="inlineStr">
        <is>
          <t>2</t>
        </is>
      </c>
      <c r="N5601" s="12" t="n">
        <v>1</v>
      </c>
      <c r="O5601" s="12" t="n">
        <v>3</v>
      </c>
      <c r="P5601" s="12" t="n">
        <v>34500</v>
      </c>
      <c r="Q5601" s="12" t="n">
        <v>300</v>
      </c>
      <c r="R5601" s="12" t="n">
        <v>5</v>
      </c>
      <c r="S5601" s="12" t="inlineStr">
        <is>
          <t>Riser</t>
        </is>
      </c>
      <c r="T5601" s="15" t="n">
        <v>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I-MV-0078</t>
        </is>
      </c>
      <c r="B5602" s="12" t="inlineStr">
        <is>
          <t>I</t>
        </is>
      </c>
      <c r="C5602" s="12" t="inlineStr">
        <is>
          <t>Modular / portable power</t>
        </is>
      </c>
      <c r="D5602" s="12" t="inlineStr">
        <is>
          <t>MOD-SST 34.5 kV primary</t>
        </is>
      </c>
      <c r="E5602" s="12" t="inlineStr">
        <is>
          <t>MOD-EH</t>
        </is>
      </c>
      <c r="F5602" s="12" t="inlineStr">
        <is>
          <t>MOD-EH: 34.5 kV modular collector e-house (2 bus sections + 13.8 kV st</t>
        </is>
      </c>
      <c r="G5602" s="12" t="inlineStr">
        <is>
          <t>MOD-SST</t>
        </is>
      </c>
      <c r="H5602" s="12" t="inlineStr">
        <is>
          <t>MOD-SST: 34.5 / 13.8 kV station-service transformer, ~10 MVA (yard sta</t>
        </is>
      </c>
      <c r="I5602" s="12" t="inlineStr">
        <is>
          <t>MV 35 kV</t>
        </is>
      </c>
      <c r="J5602" s="12" t="inlineStr">
        <is>
          <t>MV-105 35 kV 1/C Al, EPR 133%, 1/3 concentric neutral, LLDPE jacket</t>
        </is>
      </c>
      <c r="K5602" s="12" t="inlineStr">
        <is>
          <t>MV35|1/C|4/0</t>
        </is>
      </c>
      <c r="L5602" s="12" t="inlineStr">
        <is>
          <t>1/C</t>
        </is>
      </c>
      <c r="M5602" s="12" t="inlineStr">
        <is>
          <t>4/0</t>
        </is>
      </c>
      <c r="N5602" s="12" t="n">
        <v>1</v>
      </c>
      <c r="O5602" s="12" t="n">
        <v>3</v>
      </c>
      <c r="P5602" s="12" t="n">
        <v>34500</v>
      </c>
      <c r="Q5602" s="12" t="n">
        <v>9000</v>
      </c>
      <c r="R5602" s="12" t="n">
        <v>167</v>
      </c>
      <c r="S5602" s="12" t="inlineStr">
        <is>
          <t>Duct bank</t>
        </is>
      </c>
      <c r="T5602" s="15" t="n">
        <v>46</v>
      </c>
      <c r="U5602" s="15" t="n">
        <v>20</v>
      </c>
      <c r="V5602" s="15">
        <f>ROUNDUP((T5602+U5602+2*'Read Me'!$B$13)*(1+'Read Me'!$B$12),-1)</f>
        <v/>
      </c>
      <c r="W5602" s="15">
        <f>V5602*N5602*O5602</f>
        <v/>
      </c>
      <c r="X5602" s="12">
        <f>IF(LEFT(I5602,2)="MV",2*N5602*IF(L5602="1/C",O5602,1),0)</f>
        <v/>
      </c>
      <c r="Y5602" s="12">
        <f>IF(OR(LEFT(K5602,4)="LVAX",LEFT(K5602,6)="MV15AX",LEFT(K5602,4)="CTAX",LEFT(K5602,2)="W|"),2*N5602*O5602,0)</f>
        <v/>
      </c>
      <c r="Z5602" s="12" t="inlineStr">
        <is>
          <t>1 set per phase</t>
        </is>
      </c>
      <c r="AA5602" s="12">
        <f>N5602*O5602</f>
        <v/>
      </c>
    </row>
    <row r="5603">
      <c r="A5603" s="12" t="inlineStr">
        <is>
          <t>I-MV-0079</t>
        </is>
      </c>
      <c r="B5603" s="12" t="inlineStr">
        <is>
          <t>I</t>
        </is>
      </c>
      <c r="C5603" s="12" t="inlineStr">
        <is>
          <t>Modular / portable power</t>
        </is>
      </c>
      <c r="D5603" s="12" t="inlineStr">
        <is>
          <t>PGS-TX1 to PGS-TX2 34.5 kV loop feed</t>
        </is>
      </c>
      <c r="E5603" s="12" t="inlineStr">
        <is>
          <t>PGS-TX1</t>
        </is>
      </c>
      <c r="F5603" s="12" t="inlineStr">
        <is>
          <t>PGS-TX1: 480 V : 34.5 kV, ~5 MVA loop-feed pad-mount (gensets 1-4)</t>
        </is>
      </c>
      <c r="G5603" s="12" t="inlineStr">
        <is>
          <t>PGS-TX2</t>
        </is>
      </c>
      <c r="H5603" s="12" t="inlineStr">
        <is>
          <t>PGS-TX2: 480 V : 34.5 kV, ~5 MVA loop-feed pad-mount (gensets 5-8)</t>
        </is>
      </c>
      <c r="I5603" s="12" t="inlineStr">
        <is>
          <t>MV 35 kV</t>
        </is>
      </c>
      <c r="J5603" s="12" t="inlineStr">
        <is>
          <t>MV-105 35 kV 1/C Al, EPR 133%, 1/3 concentric neutral, LLDPE jacket</t>
        </is>
      </c>
      <c r="K5603" s="12" t="inlineStr">
        <is>
          <t>MV35|1/C|2</t>
        </is>
      </c>
      <c r="L5603" s="12" t="inlineStr">
        <is>
          <t>1/C</t>
        </is>
      </c>
      <c r="M5603" s="12" t="inlineStr">
        <is>
          <t>2</t>
        </is>
      </c>
      <c r="N5603" s="12" t="n">
        <v>1</v>
      </c>
      <c r="O5603" s="12" t="n">
        <v>3</v>
      </c>
      <c r="P5603" s="12" t="n">
        <v>34500</v>
      </c>
      <c r="Q5603" s="12" t="n">
        <v>4000</v>
      </c>
      <c r="R5603" s="12" t="n">
        <v>74</v>
      </c>
      <c r="S5603" s="12" t="inlineStr">
        <is>
          <t>Surface</t>
        </is>
      </c>
      <c r="T5603" s="15" t="n">
        <v>41</v>
      </c>
      <c r="U5603" s="15" t="n">
        <v>27</v>
      </c>
      <c r="V5603" s="15">
        <f>ROUNDUP((T5603+U5603+2*'Read Me'!$B$13)*(1+'Read Me'!$B$12),-1)</f>
        <v/>
      </c>
      <c r="W5603" s="15">
        <f>V5603*N5603*O5603</f>
        <v/>
      </c>
      <c r="X5603" s="12">
        <f>IF(LEFT(I5603,2)="MV",2*N5603*IF(L5603="1/C",O5603,1),0)</f>
        <v/>
      </c>
      <c r="Y5603" s="12">
        <f>IF(OR(LEFT(K5603,4)="LVAX",LEFT(K5603,6)="MV15AX",LEFT(K5603,4)="CTAX",LEFT(K5603,2)="W|"),2*N5603*O5603,0)</f>
        <v/>
      </c>
      <c r="Z5603" s="12" t="inlineStr">
        <is>
          <t>1 set per phase</t>
        </is>
      </c>
      <c r="AA5603" s="12">
        <f>N5603*O5603</f>
        <v/>
      </c>
    </row>
    <row r="5604">
      <c r="A5604" s="12" t="inlineStr">
        <is>
          <t>I-MV-0080</t>
        </is>
      </c>
      <c r="B5604" s="12" t="inlineStr">
        <is>
          <t>I</t>
        </is>
      </c>
      <c r="C5604" s="12" t="inlineStr">
        <is>
          <t>Modular / portable power</t>
        </is>
      </c>
      <c r="D5604" s="12" t="inlineStr">
        <is>
          <t>PK-GT1 zigzag grounding transformer, SWG-PK bus A</t>
        </is>
      </c>
      <c r="E5604" s="12" t="inlineStr">
        <is>
          <t>SWG-PK</t>
        </is>
      </c>
      <c r="F5604" s="12" t="inlineStr">
        <is>
          <t>SWG-PK: 34.5 kV park collector switchgear (2 bus sections, tie; 8 feed</t>
        </is>
      </c>
      <c r="G5604" s="12" t="inlineStr">
        <is>
          <t>PK-GT1</t>
        </is>
      </c>
      <c r="H5604" s="12" t="inlineStr">
        <is>
          <t>PK-GT1: 34.5 kV zigzag grounding transformer, SWG-PK bus A</t>
        </is>
      </c>
      <c r="I5604" s="12" t="inlineStr">
        <is>
          <t>MV 35 kV</t>
        </is>
      </c>
      <c r="J5604" s="12" t="inlineStr">
        <is>
          <t>MV-105 35 kV 1/C Al, EPR 133%, 1/3 concentric neutral, LLDPE jacket</t>
        </is>
      </c>
      <c r="K5604" s="12" t="inlineStr">
        <is>
          <t>MV35|1/C|2</t>
        </is>
      </c>
      <c r="L5604" s="12" t="inlineStr">
        <is>
          <t>1/C</t>
        </is>
      </c>
      <c r="M5604" s="12" t="inlineStr">
        <is>
          <t>2</t>
        </is>
      </c>
      <c r="N5604" s="12" t="n">
        <v>1</v>
      </c>
      <c r="O5604" s="12" t="n">
        <v>3</v>
      </c>
      <c r="P5604" s="12" t="n">
        <v>34500</v>
      </c>
      <c r="Q5604" s="12" t="n">
        <v>300</v>
      </c>
      <c r="R5604" s="12" t="n">
        <v>5</v>
      </c>
      <c r="S5604" s="12" t="inlineStr">
        <is>
          <t>Duct bank</t>
        </is>
      </c>
      <c r="T5604" s="15" t="n">
        <v>60</v>
      </c>
      <c r="U5604" s="15" t="n">
        <v>38</v>
      </c>
      <c r="V5604" s="15">
        <f>ROUNDUP((T5604+U5604+2*'Read Me'!$B$13)*(1+'Read Me'!$B$12),-1)</f>
        <v/>
      </c>
      <c r="W5604" s="15">
        <f>V5604*N5604*O5604</f>
        <v/>
      </c>
      <c r="X5604" s="12">
        <f>IF(LEFT(I5604,2)="MV",2*N5604*IF(L5604="1/C",O5604,1),0)</f>
        <v/>
      </c>
      <c r="Y5604" s="12">
        <f>IF(OR(LEFT(K5604,4)="LVAX",LEFT(K5604,6)="MV15AX",LEFT(K5604,4)="CTAX",LEFT(K5604,2)="W|"),2*N5604*O5604,0)</f>
        <v/>
      </c>
      <c r="Z5604" s="12" t="inlineStr"/>
      <c r="AA5604" s="12">
        <f>N5604*O5604</f>
        <v/>
      </c>
    </row>
    <row r="5605">
      <c r="A5605" s="12" t="inlineStr">
        <is>
          <t>I-MV-0081</t>
        </is>
      </c>
      <c r="B5605" s="12" t="inlineStr">
        <is>
          <t>I</t>
        </is>
      </c>
      <c r="C5605" s="12" t="inlineStr">
        <is>
          <t>Modular / portable power</t>
        </is>
      </c>
      <c r="D5605" s="12" t="inlineStr">
        <is>
          <t>PK-GT2 zigzag grounding transformer, SWG-PK bus B</t>
        </is>
      </c>
      <c r="E5605" s="12" t="inlineStr">
        <is>
          <t>SWG-PK</t>
        </is>
      </c>
      <c r="F5605" s="12" t="inlineStr">
        <is>
          <t>SWG-PK: 34.5 kV park collector switchgear (2 bus sections, tie; 8 feed</t>
        </is>
      </c>
      <c r="G5605" s="12" t="inlineStr">
        <is>
          <t>PK-GT2</t>
        </is>
      </c>
      <c r="H5605" s="12" t="inlineStr">
        <is>
          <t>PK-GT2: 34.5 kV zigzag grounding transformer, SWG-PK bus B</t>
        </is>
      </c>
      <c r="I5605" s="12" t="inlineStr">
        <is>
          <t>MV 35 kV</t>
        </is>
      </c>
      <c r="J5605" s="12" t="inlineStr">
        <is>
          <t>MV-105 35 kV 1/C Al, EPR 133%, 1/3 concentric neutral, LLDPE jacket</t>
        </is>
      </c>
      <c r="K5605" s="12" t="inlineStr">
        <is>
          <t>MV35|1/C|2</t>
        </is>
      </c>
      <c r="L5605" s="12" t="inlineStr">
        <is>
          <t>1/C</t>
        </is>
      </c>
      <c r="M5605" s="12" t="inlineStr">
        <is>
          <t>2</t>
        </is>
      </c>
      <c r="N5605" s="12" t="n">
        <v>1</v>
      </c>
      <c r="O5605" s="12" t="n">
        <v>3</v>
      </c>
      <c r="P5605" s="12" t="n">
        <v>34500</v>
      </c>
      <c r="Q5605" s="12" t="n">
        <v>300</v>
      </c>
      <c r="R5605" s="12" t="n">
        <v>5</v>
      </c>
      <c r="S5605" s="12" t="inlineStr">
        <is>
          <t>Duct bank</t>
        </is>
      </c>
      <c r="T5605" s="15" t="n">
        <v>72</v>
      </c>
      <c r="U5605" s="15" t="n">
        <v>42</v>
      </c>
      <c r="V5605" s="15">
        <f>ROUNDUP((T5605+U5605+2*'Read Me'!$B$13)*(1+'Read Me'!$B$12),-1)</f>
        <v/>
      </c>
      <c r="W5605" s="15">
        <f>V5605*N5605*O5605</f>
        <v/>
      </c>
      <c r="X5605" s="12">
        <f>IF(LEFT(I5605,2)="MV",2*N5605*IF(L5605="1/C",O5605,1),0)</f>
        <v/>
      </c>
      <c r="Y5605" s="12">
        <f>IF(OR(LEFT(K5605,4)="LVAX",LEFT(K5605,6)="MV15AX",LEFT(K5605,4)="CTAX",LEFT(K5605,2)="W|"),2*N5605*O5605,0)</f>
        <v/>
      </c>
      <c r="Z5605" s="12" t="inlineStr"/>
      <c r="AA5605" s="12">
        <f>N5605*O5605</f>
        <v/>
      </c>
    </row>
    <row r="5606">
      <c r="A5606" s="12" t="inlineStr">
        <is>
          <t>I-MV-0082</t>
        </is>
      </c>
      <c r="B5606" s="12" t="inlineStr">
        <is>
          <t>I</t>
        </is>
      </c>
      <c r="C5606" s="12" t="inlineStr">
        <is>
          <t>Modular / portable power</t>
        </is>
      </c>
      <c r="D5606" s="12" t="inlineStr">
        <is>
          <t>L3 35 kV collector loop, segment 5 of 5 (GBT-4 to SWG-MY)</t>
        </is>
      </c>
      <c r="E5606" s="12" t="inlineStr">
        <is>
          <t>GBT-4</t>
        </is>
      </c>
      <c r="F5606" s="12" t="inlineStr">
        <is>
          <t>GBT-4: block GB-4 step-up 480 V : 34.5 kV, ~3 MVA pad-mount (on the 35</t>
        </is>
      </c>
      <c r="G5606" s="12" t="inlineStr">
        <is>
          <t>SWG-MY</t>
        </is>
      </c>
      <c r="H5606" s="12" t="inlineStr">
        <is>
          <t xml:space="preserve">SWG-MY: 35 kV switchgear lineup for the modular blocks (group breaker </t>
        </is>
      </c>
      <c r="I5606" s="12" t="inlineStr">
        <is>
          <t>MV 35 kV</t>
        </is>
      </c>
      <c r="J5606" s="12" t="inlineStr">
        <is>
          <t>MV-105 35 kV 1/C Al, EPR 133%, 1/3 concentric neutral, LLDPE jacket</t>
        </is>
      </c>
      <c r="K5606" s="12" t="inlineStr">
        <is>
          <t>MV35|1/C|750</t>
        </is>
      </c>
      <c r="L5606" s="12" t="inlineStr">
        <is>
          <t>1/C</t>
        </is>
      </c>
      <c r="M5606" s="12" t="inlineStr">
        <is>
          <t>750 kcmil</t>
        </is>
      </c>
      <c r="N5606" s="12" t="n">
        <v>1</v>
      </c>
      <c r="O5606" s="12" t="n">
        <v>3</v>
      </c>
      <c r="P5606" s="12" t="n">
        <v>34500</v>
      </c>
      <c r="Q5606" s="12" t="n">
        <v>10000</v>
      </c>
      <c r="R5606" s="12" t="n">
        <v>167</v>
      </c>
      <c r="S5606" s="12" t="inlineStr">
        <is>
          <t>Duct bank</t>
        </is>
      </c>
      <c r="T5606" s="15" t="n">
        <v>122</v>
      </c>
      <c r="U5606" s="15" t="n">
        <v>37</v>
      </c>
      <c r="V5606" s="15">
        <f>ROUNDUP((T5606+U5606+2*'Read Me'!$B$13)*(1+'Read Me'!$B$12),-1)</f>
        <v/>
      </c>
      <c r="W5606" s="15">
        <f>V5606*N5606*O5606</f>
        <v/>
      </c>
      <c r="X5606" s="12">
        <f>IF(LEFT(I5606,2)="MV",2*N5606*IF(L5606="1/C",O5606,1),0)</f>
        <v/>
      </c>
      <c r="Y5606" s="12">
        <f>IF(OR(LEFT(K5606,4)="LVAX",LEFT(K5606,6)="MV15AX",LEFT(K5606,4)="CTAX",LEFT(K5606,2)="W|"),2*N5606*O5606,0)</f>
        <v/>
      </c>
      <c r="Z5606" s="12" t="inlineStr">
        <is>
          <t>loop conductor 750 kcmil Al, 133 % (WORKING ASSUMPTION)</t>
        </is>
      </c>
      <c r="AA5606" s="12">
        <f>N5606*O5606</f>
        <v/>
      </c>
    </row>
    <row r="5607">
      <c r="A5607" s="12" t="inlineStr">
        <is>
          <t>I-MV-0083</t>
        </is>
      </c>
      <c r="B5607" s="12" t="inlineStr">
        <is>
          <t>I</t>
        </is>
      </c>
      <c r="C5607" s="12" t="inlineStr">
        <is>
          <t>Modular / portable power</t>
        </is>
      </c>
      <c r="D5607" s="12" t="inlineStr">
        <is>
          <t>L5 SWG-MY feeder to the data centre 34.5 kV switchgear BTM-SWGR, to the fence (scope owner TO VERIFY)</t>
        </is>
      </c>
      <c r="E5607" s="12" t="inlineStr">
        <is>
          <t>SWG-MY</t>
        </is>
      </c>
      <c r="F5607" s="12" t="inlineStr">
        <is>
          <t xml:space="preserve">SWG-MY: 35 kV switchgear lineup for the modular blocks (group breaker </t>
        </is>
      </c>
      <c r="G5607" s="12" t="inlineStr">
        <is>
          <t>SWG-MY</t>
        </is>
      </c>
      <c r="H5607" s="12" t="inlineStr">
        <is>
          <t xml:space="preserve">SWG-MY: 35 kV switchgear lineup for the modular blocks (group breaker </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1</v>
      </c>
      <c r="O5607" s="12" t="n">
        <v>3</v>
      </c>
      <c r="P5607" s="12" t="n">
        <v>34500</v>
      </c>
      <c r="Q5607" s="12" t="n">
        <v>10000</v>
      </c>
      <c r="R5607" s="12" t="n">
        <v>167</v>
      </c>
      <c r="S5607" s="12" t="inlineStr">
        <is>
          <t>Buried</t>
        </is>
      </c>
      <c r="T5607" s="15" t="n">
        <v>585</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to the fence 585 ft; + ~120 ft beyond to BTM-SWGR (data-centre scope)</t>
        </is>
      </c>
      <c r="AA5607" s="12">
        <f>N5607*O5607</f>
        <v/>
      </c>
    </row>
    <row r="5608">
      <c r="A5608" s="12" t="inlineStr">
        <is>
          <t>I-MV-0084</t>
        </is>
      </c>
      <c r="B5608" s="12" t="inlineStr">
        <is>
          <t>I</t>
        </is>
      </c>
      <c r="C5608" s="12" t="inlineStr">
        <is>
          <t>Modular / portable power</t>
        </is>
      </c>
      <c r="D5608" s="12" t="inlineStr">
        <is>
          <t>TGF-GSU 34.5 kV collector feeder to SWG-PK (bus A)</t>
        </is>
      </c>
      <c r="E5608" s="12" t="inlineStr">
        <is>
          <t>TGF-GSU</t>
        </is>
      </c>
      <c r="F5608" s="12" t="inlineStr">
        <is>
          <t>TGF-GSU: 13.8 / 34.5 kV step-up, ~20 MVA (trailer fleet)</t>
        </is>
      </c>
      <c r="G5608" s="12" t="inlineStr">
        <is>
          <t>SWG-PK</t>
        </is>
      </c>
      <c r="H5608" s="12" t="inlineStr">
        <is>
          <t>SWG-PK: 34.5 kV park collector switchgear (2 bus sections, tie; 8 feed</t>
        </is>
      </c>
      <c r="I5608" s="12" t="inlineStr">
        <is>
          <t>MV 35 kV</t>
        </is>
      </c>
      <c r="J5608" s="12" t="inlineStr">
        <is>
          <t>MV-105 35 kV 1/C Al, EPR 133%, 1/3 concentric neutral, LLDPE jacket</t>
        </is>
      </c>
      <c r="K5608" s="12" t="inlineStr">
        <is>
          <t>MV35|1/C|500</t>
        </is>
      </c>
      <c r="L5608" s="12" t="inlineStr">
        <is>
          <t>1/C</t>
        </is>
      </c>
      <c r="M5608" s="12" t="inlineStr">
        <is>
          <t>500 kcmil</t>
        </is>
      </c>
      <c r="N5608" s="12" t="n">
        <v>1</v>
      </c>
      <c r="O5608" s="12" t="n">
        <v>3</v>
      </c>
      <c r="P5608" s="12" t="n">
        <v>34500</v>
      </c>
      <c r="Q5608" s="12" t="n">
        <v>15000</v>
      </c>
      <c r="R5608" s="12" t="n">
        <v>279</v>
      </c>
      <c r="S5608" s="12" t="inlineStr">
        <is>
          <t>Duct bank</t>
        </is>
      </c>
      <c r="T5608" s="15" t="n">
        <v>302</v>
      </c>
      <c r="U5608" s="15" t="n">
        <v>32</v>
      </c>
      <c r="V5608" s="15">
        <f>ROUNDUP((T5608+U5608+2*'Read Me'!$B$13)*(1+'Read Me'!$B$12),-1)</f>
        <v/>
      </c>
      <c r="W5608" s="15">
        <f>V5608*N5608*O5608</f>
        <v/>
      </c>
      <c r="X5608" s="12">
        <f>IF(LEFT(I5608,2)="MV",2*N5608*IF(L5608="1/C",O5608,1),0)</f>
        <v/>
      </c>
      <c r="Y5608" s="12">
        <f>IF(OR(LEFT(K5608,4)="LVAX",LEFT(K5608,6)="MV15AX",LEFT(K5608,4)="CTAX",LEFT(K5608,2)="W|"),2*N5608*O5608,0)</f>
        <v/>
      </c>
      <c r="Z5608" s="12" t="inlineStr">
        <is>
          <t>1 set per phase</t>
        </is>
      </c>
      <c r="AA5608" s="12">
        <f>N5608*O5608</f>
        <v/>
      </c>
    </row>
    <row r="5609">
      <c r="A5609" s="12" t="inlineStr">
        <is>
          <t>I-MV-0085</t>
        </is>
      </c>
      <c r="B5609" s="12" t="inlineStr">
        <is>
          <t>I</t>
        </is>
      </c>
      <c r="C5609" s="12" t="inlineStr">
        <is>
          <t>Modular / portable power</t>
        </is>
      </c>
      <c r="D5609" s="12" t="inlineStr">
        <is>
          <t>CGE-GSU 34.5 kV collector feeder to SWG-PK (bus A)</t>
        </is>
      </c>
      <c r="E5609" s="12" t="inlineStr">
        <is>
          <t>CGE-GSU</t>
        </is>
      </c>
      <c r="F5609" s="12" t="inlineStr">
        <is>
          <t>CGE-GSU: 13.8 / 34.5 kV step-up, ~20 MVA (containerized engines)</t>
        </is>
      </c>
      <c r="G5609" s="12" t="inlineStr">
        <is>
          <t>SWG-PK</t>
        </is>
      </c>
      <c r="H5609" s="12" t="inlineStr">
        <is>
          <t>SWG-PK: 34.5 kV park collector switchgear (2 bus sections, tie; 8 feed</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1</v>
      </c>
      <c r="O5609" s="12" t="n">
        <v>3</v>
      </c>
      <c r="P5609" s="12" t="n">
        <v>34500</v>
      </c>
      <c r="Q5609" s="12" t="n">
        <v>17600</v>
      </c>
      <c r="R5609" s="12" t="n">
        <v>327</v>
      </c>
      <c r="S5609" s="12" t="inlineStr">
        <is>
          <t>Duct bank</t>
        </is>
      </c>
      <c r="T5609" s="15" t="n">
        <v>471</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is>
          <t>1 set per phase</t>
        </is>
      </c>
      <c r="AA5609" s="12">
        <f>N5609*O5609</f>
        <v/>
      </c>
    </row>
    <row r="5610">
      <c r="A5610" s="12" t="inlineStr">
        <is>
          <t>I-MV-0086</t>
        </is>
      </c>
      <c r="B5610" s="12" t="inlineStr">
        <is>
          <t>I</t>
        </is>
      </c>
      <c r="C5610" s="12" t="inlineStr">
        <is>
          <t>Modular / portable power</t>
        </is>
      </c>
      <c r="D5610" s="12" t="inlineStr">
        <is>
          <t>PGS-TX2 34.5 kV collector feeder to SWG-PK (bus A)</t>
        </is>
      </c>
      <c r="E5610" s="12" t="inlineStr">
        <is>
          <t>PGS-TX2</t>
        </is>
      </c>
      <c r="F5610" s="12" t="inlineStr">
        <is>
          <t>PGS-TX2: 480 V : 34.5 kV, ~5 MVA loop-feed pad-mount (gensets 5-8)</t>
        </is>
      </c>
      <c r="G5610" s="12" t="inlineStr">
        <is>
          <t>SWG-PK</t>
        </is>
      </c>
      <c r="H5610" s="12" t="inlineStr">
        <is>
          <t>SWG-PK: 34.5 kV park collector switchgear (2 bus sections, tie; 8 feed</t>
        </is>
      </c>
      <c r="I5610" s="12" t="inlineStr">
        <is>
          <t>MV 35 kV</t>
        </is>
      </c>
      <c r="J5610" s="12" t="inlineStr">
        <is>
          <t>MV-105 35 kV 1/C Al, EPR 133%, 1/3 concentric neutral, LLDPE jacket</t>
        </is>
      </c>
      <c r="K5610" s="12" t="inlineStr">
        <is>
          <t>MV35|1/C|4/0</t>
        </is>
      </c>
      <c r="L5610" s="12" t="inlineStr">
        <is>
          <t>1/C</t>
        </is>
      </c>
      <c r="M5610" s="12" t="inlineStr">
        <is>
          <t>4/0</t>
        </is>
      </c>
      <c r="N5610" s="12" t="n">
        <v>1</v>
      </c>
      <c r="O5610" s="12" t="n">
        <v>3</v>
      </c>
      <c r="P5610" s="12" t="n">
        <v>34500</v>
      </c>
      <c r="Q5610" s="12" t="n">
        <v>8000</v>
      </c>
      <c r="R5610" s="12" t="n">
        <v>149</v>
      </c>
      <c r="S5610" s="12" t="inlineStr">
        <is>
          <t>Duct bank</t>
        </is>
      </c>
      <c r="T5610" s="15" t="n">
        <v>437</v>
      </c>
      <c r="U5610" s="15" t="n">
        <v>32</v>
      </c>
      <c r="V5610" s="15">
        <f>ROUNDUP((T5610+U5610+2*'Read Me'!$B$13)*(1+'Read Me'!$B$12),-1)</f>
        <v/>
      </c>
      <c r="W5610" s="15">
        <f>V5610*N5610*O5610</f>
        <v/>
      </c>
      <c r="X5610" s="12">
        <f>IF(LEFT(I5610,2)="MV",2*N5610*IF(L5610="1/C",O5610,1),0)</f>
        <v/>
      </c>
      <c r="Y5610" s="12">
        <f>IF(OR(LEFT(K5610,4)="LVAX",LEFT(K5610,6)="MV15AX",LEFT(K5610,4)="CTAX",LEFT(K5610,2)="W|"),2*N5610*O5610,0)</f>
        <v/>
      </c>
      <c r="Z5610" s="12" t="inlineStr">
        <is>
          <t>1 set per phase</t>
        </is>
      </c>
      <c r="AA5610" s="12">
        <f>N5610*O5610</f>
        <v/>
      </c>
    </row>
    <row r="5611">
      <c r="A5611" s="12" t="inlineStr">
        <is>
          <t>I-MV-0087</t>
        </is>
      </c>
      <c r="B5611" s="12" t="inlineStr">
        <is>
          <t>I</t>
        </is>
      </c>
      <c r="C5611" s="12" t="inlineStr">
        <is>
          <t>Modular / portable power</t>
        </is>
      </c>
      <c r="D5611" s="12" t="inlineStr">
        <is>
          <t>MTG-GSU 34.5 kV collector feeder to SWG-PK (bus B)</t>
        </is>
      </c>
      <c r="E5611" s="12" t="inlineStr">
        <is>
          <t>MTG-GSU</t>
        </is>
      </c>
      <c r="F5611" s="12" t="inlineStr">
        <is>
          <t>MTG-GSU: 13.8 / 34.5 kV step-up, ~40 MVA (mid-size turbines)</t>
        </is>
      </c>
      <c r="G5611" s="12" t="inlineStr">
        <is>
          <t>SWG-PK</t>
        </is>
      </c>
      <c r="H5611" s="12" t="inlineStr">
        <is>
          <t>SWG-PK: 34.5 kV park collector switchgear (2 bus sections, tie; 8 feed</t>
        </is>
      </c>
      <c r="I5611" s="12" t="inlineStr">
        <is>
          <t>MV 35 kV</t>
        </is>
      </c>
      <c r="J5611" s="12" t="inlineStr">
        <is>
          <t>MV-105 35 kV 1/C Al, EPR 133%, 1/3 concentric neutral, LLDPE jacket</t>
        </is>
      </c>
      <c r="K5611" s="12" t="inlineStr">
        <is>
          <t>MV35|1/C|750</t>
        </is>
      </c>
      <c r="L5611" s="12" t="inlineStr">
        <is>
          <t>1/C</t>
        </is>
      </c>
      <c r="M5611" s="12" t="inlineStr">
        <is>
          <t>750 kcmil</t>
        </is>
      </c>
      <c r="N5611" s="12" t="n">
        <v>2</v>
      </c>
      <c r="O5611" s="12" t="n">
        <v>3</v>
      </c>
      <c r="P5611" s="12" t="n">
        <v>34500</v>
      </c>
      <c r="Q5611" s="12" t="n">
        <v>32000</v>
      </c>
      <c r="R5611" s="12" t="n">
        <v>595</v>
      </c>
      <c r="S5611" s="12" t="inlineStr">
        <is>
          <t>Duct bank</t>
        </is>
      </c>
      <c r="T5611" s="15" t="n">
        <v>189</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2 sets per phase</t>
        </is>
      </c>
      <c r="AA5611" s="12">
        <f>N5611*O5611</f>
        <v/>
      </c>
    </row>
    <row r="5612">
      <c r="A5612" s="12" t="inlineStr">
        <is>
          <t>I-MV-0088</t>
        </is>
      </c>
      <c r="B5612" s="12" t="inlineStr">
        <is>
          <t>I</t>
        </is>
      </c>
      <c r="C5612" s="12" t="inlineStr">
        <is>
          <t>Modular / portable power</t>
        </is>
      </c>
      <c r="D5612" s="12" t="inlineStr">
        <is>
          <t>PAD-GSU 34.5 kV collector feeder to SWG-PK (bus A)</t>
        </is>
      </c>
      <c r="E5612" s="12" t="inlineStr">
        <is>
          <t>PAD-GSU</t>
        </is>
      </c>
      <c r="F5612" s="12" t="inlineStr">
        <is>
          <t>PAD-GSU: 13.8 / 34.5 kV step-up, ~60 MVA (PAD-EH: TM-1, CHP site, MT-T</t>
        </is>
      </c>
      <c r="G5612" s="12" t="inlineStr">
        <is>
          <t>SWG-PK</t>
        </is>
      </c>
      <c r="H5612" s="12" t="inlineStr">
        <is>
          <t>SWG-PK: 34.5 kV park collector switchgear (2 bus sections, tie; 8 feed</t>
        </is>
      </c>
      <c r="I5612" s="12" t="inlineStr">
        <is>
          <t>MV 35 kV</t>
        </is>
      </c>
      <c r="J5612" s="12" t="inlineStr">
        <is>
          <t>MV-105 35 kV 1/C Al, EPR 133%, 1/3 concentric neutral, LLDPE jacket</t>
        </is>
      </c>
      <c r="K5612" s="12" t="inlineStr">
        <is>
          <t>MV35|1/C|750</t>
        </is>
      </c>
      <c r="L5612" s="12" t="inlineStr">
        <is>
          <t>1/C</t>
        </is>
      </c>
      <c r="M5612" s="12" t="inlineStr">
        <is>
          <t>750 kcmil</t>
        </is>
      </c>
      <c r="N5612" s="12" t="n">
        <v>3</v>
      </c>
      <c r="O5612" s="12" t="n">
        <v>3</v>
      </c>
      <c r="P5612" s="12" t="n">
        <v>34500</v>
      </c>
      <c r="Q5612" s="12" t="n">
        <v>51000</v>
      </c>
      <c r="R5612" s="12" t="n">
        <v>948</v>
      </c>
      <c r="S5612" s="12" t="inlineStr">
        <is>
          <t>Duct bank</t>
        </is>
      </c>
      <c r="T5612" s="15" t="n">
        <v>430</v>
      </c>
      <c r="U5612" s="15" t="n">
        <v>32</v>
      </c>
      <c r="V5612" s="15">
        <f>ROUNDUP((T5612+U5612+2*'Read Me'!$B$13)*(1+'Read Me'!$B$12),-1)</f>
        <v/>
      </c>
      <c r="W5612" s="15">
        <f>V5612*N5612*O5612</f>
        <v/>
      </c>
      <c r="X5612" s="12">
        <f>IF(LEFT(I5612,2)="MV",2*N5612*IF(L5612="1/C",O5612,1),0)</f>
        <v/>
      </c>
      <c r="Y5612" s="12">
        <f>IF(OR(LEFT(K5612,4)="LVAX",LEFT(K5612,6)="MV15AX",LEFT(K5612,4)="CTAX",LEFT(K5612,2)="W|"),2*N5612*O5612,0)</f>
        <v/>
      </c>
      <c r="Z5612" s="12" t="inlineStr">
        <is>
          <t>3 sets per phase</t>
        </is>
      </c>
      <c r="AA5612" s="12">
        <f>N5612*O5612</f>
        <v/>
      </c>
    </row>
    <row r="5613">
      <c r="A5613" s="12" t="inlineStr">
        <is>
          <t>I-MV-0089</t>
        </is>
      </c>
      <c r="B5613" s="12" t="inlineStr">
        <is>
          <t>I</t>
        </is>
      </c>
      <c r="C5613" s="12" t="inlineStr">
        <is>
          <t>Modular / portable power</t>
        </is>
      </c>
      <c r="D5613" s="12" t="inlineStr">
        <is>
          <t>AX-GSU 34.5 kV collector feeder to SWG-PK (bus B)</t>
        </is>
      </c>
      <c r="E5613" s="12" t="inlineStr">
        <is>
          <t>AX-GSU</t>
        </is>
      </c>
      <c r="F5613" s="12" t="inlineStr">
        <is>
          <t>AX-GSU: 13.8 / 34.5 kV step-up, ~45 MVA (AX-1 unit step-up)</t>
        </is>
      </c>
      <c r="G5613" s="12" t="inlineStr">
        <is>
          <t>SWG-PK</t>
        </is>
      </c>
      <c r="H5613" s="12" t="inlineStr">
        <is>
          <t>SWG-PK: 34.5 kV park collector switchgear (2 bus sections, tie; 8 feed</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2</v>
      </c>
      <c r="O5613" s="12" t="n">
        <v>3</v>
      </c>
      <c r="P5613" s="12" t="n">
        <v>34500</v>
      </c>
      <c r="Q5613" s="12" t="n">
        <v>35000</v>
      </c>
      <c r="R5613" s="12" t="n">
        <v>651</v>
      </c>
      <c r="S5613" s="12" t="inlineStr">
        <is>
          <t>Duct bank</t>
        </is>
      </c>
      <c r="T5613" s="15" t="n">
        <v>257</v>
      </c>
      <c r="U5613" s="15" t="n">
        <v>32</v>
      </c>
      <c r="V5613" s="15">
        <f>ROUNDUP((T5613+U5613+2*'Read Me'!$B$13)*(1+'Read Me'!$B$12),-1)</f>
        <v/>
      </c>
      <c r="W5613" s="15">
        <f>V5613*N5613*O5613</f>
        <v/>
      </c>
      <c r="X5613" s="12">
        <f>IF(LEFT(I5613,2)="MV",2*N5613*IF(L5613="1/C",O5613,1),0)</f>
        <v/>
      </c>
      <c r="Y5613" s="12">
        <f>IF(OR(LEFT(K5613,4)="LVAX",LEFT(K5613,6)="MV15AX",LEFT(K5613,4)="CTAX",LEFT(K5613,2)="W|"),2*N5613*O5613,0)</f>
        <v/>
      </c>
      <c r="Z5613" s="12" t="inlineStr">
        <is>
          <t>2 sets per phase</t>
        </is>
      </c>
      <c r="AA5613" s="12">
        <f>N5613*O5613</f>
        <v/>
      </c>
    </row>
    <row r="5614">
      <c r="A5614" s="12" t="inlineStr">
        <is>
          <t>I-MV-0090</t>
        </is>
      </c>
      <c r="B5614" s="12" t="inlineStr">
        <is>
          <t>I</t>
        </is>
      </c>
      <c r="C5614" s="12" t="inlineStr">
        <is>
          <t>Modular / portable power</t>
        </is>
      </c>
      <c r="D5614" s="12" t="inlineStr">
        <is>
          <t>IG-GSU 34.5 kV collector feeder to SWG-PK (bus B)</t>
        </is>
      </c>
      <c r="E5614" s="12" t="inlineStr">
        <is>
          <t>IG-GSU</t>
        </is>
      </c>
      <c r="F5614" s="12" t="inlineStr">
        <is>
          <t>IG-GSU: 13.8 / 34.5 kV step-up, ~60 MVA (IG-1 unit step-up)</t>
        </is>
      </c>
      <c r="G5614" s="12" t="inlineStr">
        <is>
          <t>SWG-PK</t>
        </is>
      </c>
      <c r="H5614" s="12" t="inlineStr">
        <is>
          <t>SWG-PK: 34.5 kV park collector switchgear (2 bus sections, tie; 8 feed</t>
        </is>
      </c>
      <c r="I5614" s="12" t="inlineStr">
        <is>
          <t>MV 35 kV</t>
        </is>
      </c>
      <c r="J5614" s="12" t="inlineStr">
        <is>
          <t>MV-105 35 kV 1/C Al, EPR 133%, 1/3 concentric neutral, LLDPE jacket</t>
        </is>
      </c>
      <c r="K5614" s="12" t="inlineStr">
        <is>
          <t>MV35|1/C|750</t>
        </is>
      </c>
      <c r="L5614" s="12" t="inlineStr">
        <is>
          <t>1/C</t>
        </is>
      </c>
      <c r="M5614" s="12" t="inlineStr">
        <is>
          <t>750 kcmil</t>
        </is>
      </c>
      <c r="N5614" s="12" t="n">
        <v>3</v>
      </c>
      <c r="O5614" s="12" t="n">
        <v>3</v>
      </c>
      <c r="P5614" s="12" t="n">
        <v>34500</v>
      </c>
      <c r="Q5614" s="12" t="n">
        <v>50000</v>
      </c>
      <c r="R5614" s="12" t="n">
        <v>930</v>
      </c>
      <c r="S5614" s="12" t="inlineStr">
        <is>
          <t>Duct bank</t>
        </is>
      </c>
      <c r="T5614" s="15" t="n">
        <v>126</v>
      </c>
      <c r="U5614" s="15" t="n">
        <v>32</v>
      </c>
      <c r="V5614" s="15">
        <f>ROUNDUP((T5614+U5614+2*'Read Me'!$B$13)*(1+'Read Me'!$B$12),-1)</f>
        <v/>
      </c>
      <c r="W5614" s="15">
        <f>V5614*N5614*O5614</f>
        <v/>
      </c>
      <c r="X5614" s="12">
        <f>IF(LEFT(I5614,2)="MV",2*N5614*IF(L5614="1/C",O5614,1),0)</f>
        <v/>
      </c>
      <c r="Y5614" s="12">
        <f>IF(OR(LEFT(K5614,4)="LVAX",LEFT(K5614,6)="MV15AX",LEFT(K5614,4)="CTAX",LEFT(K5614,2)="W|"),2*N5614*O5614,0)</f>
        <v/>
      </c>
      <c r="Z5614" s="12" t="inlineStr">
        <is>
          <t>3 sets per phase</t>
        </is>
      </c>
      <c r="AA5614" s="12">
        <f>N5614*O5614</f>
        <v/>
      </c>
    </row>
    <row r="5615">
      <c r="A5615" s="12" t="inlineStr">
        <is>
          <t>I-MV-0091</t>
        </is>
      </c>
      <c r="B5615" s="12" t="inlineStr">
        <is>
          <t>I</t>
        </is>
      </c>
      <c r="C5615" s="12" t="inlineStr">
        <is>
          <t>Modular / portable power</t>
        </is>
      </c>
      <c r="D5615" s="12" t="inlineStr">
        <is>
          <t>MOD-EH bus 1 main to T-MOD-1 34.5 kV</t>
        </is>
      </c>
      <c r="E5615" s="12" t="inlineStr">
        <is>
          <t>MOD-EH</t>
        </is>
      </c>
      <c r="F5615" s="12" t="inlineStr">
        <is>
          <t>MOD-EH: 34.5 kV modular collector e-house (2 bus sections + 13.8 kV st</t>
        </is>
      </c>
      <c r="G5615" s="12" t="inlineStr">
        <is>
          <t>T-MOD-1</t>
        </is>
      </c>
      <c r="H5615" s="12" t="inlineStr">
        <is>
          <t>T-MOD-1: 230 / 34.5 kV</t>
        </is>
      </c>
      <c r="I5615" s="12" t="inlineStr">
        <is>
          <t>MV 35 kV</t>
        </is>
      </c>
      <c r="J5615" s="12" t="inlineStr">
        <is>
          <t>MV-105 35 kV 1/C Al, EPR 133%, 1/3 concentric neutral, LLDPE jacket</t>
        </is>
      </c>
      <c r="K5615" s="12" t="inlineStr">
        <is>
          <t>MV35|1/C|1000</t>
        </is>
      </c>
      <c r="L5615" s="12" t="inlineStr">
        <is>
          <t>1/C</t>
        </is>
      </c>
      <c r="M5615" s="12" t="inlineStr">
        <is>
          <t>1000 kcmil</t>
        </is>
      </c>
      <c r="N5615" s="12" t="n">
        <v>6</v>
      </c>
      <c r="O5615" s="12" t="n">
        <v>3</v>
      </c>
      <c r="P5615" s="12" t="n">
        <v>34500</v>
      </c>
      <c r="Q5615" s="12" t="n">
        <v>123600</v>
      </c>
      <c r="R5615" s="12" t="n">
        <v>2298</v>
      </c>
      <c r="S5615" s="12" t="inlineStr">
        <is>
          <t>Duct bank</t>
        </is>
      </c>
      <c r="T5615" s="15" t="n">
        <v>50</v>
      </c>
      <c r="U5615" s="15" t="n">
        <v>20</v>
      </c>
      <c r="V5615" s="15">
        <f>ROUNDUP((T5615+U5615+2*'Read Me'!$B$13)*(1+'Read Me'!$B$12),-1)</f>
        <v/>
      </c>
      <c r="W5615" s="15">
        <f>V5615*N5615*O5615</f>
        <v/>
      </c>
      <c r="X5615" s="12">
        <f>IF(LEFT(I5615,2)="MV",2*N5615*IF(L5615="1/C",O5615,1),0)</f>
        <v/>
      </c>
      <c r="Y5615" s="12">
        <f>IF(OR(LEFT(K5615,4)="LVAX",LEFT(K5615,6)="MV15AX",LEFT(K5615,4)="CTAX",LEFT(K5615,2)="W|"),2*N5615*O5615,0)</f>
        <v/>
      </c>
      <c r="Z5615" s="12" t="inlineStr">
        <is>
          <t>6 sets per phase</t>
        </is>
      </c>
      <c r="AA5615" s="12">
        <f>N5615*O5615</f>
        <v/>
      </c>
    </row>
    <row r="5616">
      <c r="A5616" s="12" t="inlineStr">
        <is>
          <t>I-MV-0092</t>
        </is>
      </c>
      <c r="B5616" s="12" t="inlineStr">
        <is>
          <t>I</t>
        </is>
      </c>
      <c r="C5616" s="12" t="inlineStr">
        <is>
          <t>Modular / portable power</t>
        </is>
      </c>
      <c r="D5616" s="12" t="inlineStr">
        <is>
          <t>MOD-EH bus 2 main to T-MOD-2 34.5 kV</t>
        </is>
      </c>
      <c r="E5616" s="12" t="inlineStr">
        <is>
          <t>MOD-EH</t>
        </is>
      </c>
      <c r="F5616" s="12" t="inlineStr">
        <is>
          <t>MOD-EH: 34.5 kV modular collector e-house (2 bus sections + 13.8 kV st</t>
        </is>
      </c>
      <c r="G5616" s="12" t="inlineStr">
        <is>
          <t>T-MOD-2</t>
        </is>
      </c>
      <c r="H5616" s="12" t="inlineStr">
        <is>
          <t>T-MOD-2: 230 / 34.5 kV</t>
        </is>
      </c>
      <c r="I5616" s="12" t="inlineStr">
        <is>
          <t>MV 35 kV</t>
        </is>
      </c>
      <c r="J5616" s="12" t="inlineStr">
        <is>
          <t>MV-105 35 kV 1/C Al, EPR 133%, 1/3 concentric neutral, LLDPE jacket</t>
        </is>
      </c>
      <c r="K5616" s="12" t="inlineStr">
        <is>
          <t>MV35|1/C|1000</t>
        </is>
      </c>
      <c r="L5616" s="12" t="inlineStr">
        <is>
          <t>1/C</t>
        </is>
      </c>
      <c r="M5616" s="12" t="inlineStr">
        <is>
          <t>1000 kcmil</t>
        </is>
      </c>
      <c r="N5616" s="12" t="n">
        <v>6</v>
      </c>
      <c r="O5616" s="12" t="n">
        <v>3</v>
      </c>
      <c r="P5616" s="12" t="n">
        <v>34500</v>
      </c>
      <c r="Q5616" s="12" t="n">
        <v>123600</v>
      </c>
      <c r="R5616" s="12" t="n">
        <v>2298</v>
      </c>
      <c r="S5616" s="12" t="inlineStr">
        <is>
          <t>Duct bank</t>
        </is>
      </c>
      <c r="T5616" s="15" t="n">
        <v>153</v>
      </c>
      <c r="U5616" s="15" t="n">
        <v>20</v>
      </c>
      <c r="V5616" s="15">
        <f>ROUNDUP((T5616+U5616+2*'Read Me'!$B$13)*(1+'Read Me'!$B$12),-1)</f>
        <v/>
      </c>
      <c r="W5616" s="15">
        <f>V5616*N5616*O5616</f>
        <v/>
      </c>
      <c r="X5616" s="12">
        <f>IF(LEFT(I5616,2)="MV",2*N5616*IF(L5616="1/C",O5616,1),0)</f>
        <v/>
      </c>
      <c r="Y5616" s="12">
        <f>IF(OR(LEFT(K5616,4)="LVAX",LEFT(K5616,6)="MV15AX",LEFT(K5616,4)="CTAX",LEFT(K5616,2)="W|"),2*N5616*O5616,0)</f>
        <v/>
      </c>
      <c r="Z5616" s="12" t="inlineStr">
        <is>
          <t>6 sets per phase</t>
        </is>
      </c>
      <c r="AA5616" s="12">
        <f>N5616*O5616</f>
        <v/>
      </c>
    </row>
    <row r="5617">
      <c r="A5617" s="12" t="inlineStr">
        <is>
          <t>I-MV-0093</t>
        </is>
      </c>
      <c r="B5617" s="12" t="inlineStr">
        <is>
          <t>I</t>
        </is>
      </c>
      <c r="C5617" s="12" t="inlineStr">
        <is>
          <t>Modular / portable power</t>
        </is>
      </c>
      <c r="D5617" s="12" t="inlineStr">
        <is>
          <t>SWG-PK bus A main to T-MOD-3 LV winding 1</t>
        </is>
      </c>
      <c r="E5617" s="12" t="inlineStr">
        <is>
          <t>SWG-PK</t>
        </is>
      </c>
      <c r="F5617" s="12" t="inlineStr">
        <is>
          <t>SWG-PK: 34.5 kV park collector switchgear (2 bus sections, tie; 8 feed</t>
        </is>
      </c>
      <c r="G5617" s="12" t="inlineStr">
        <is>
          <t>T-MOD-3</t>
        </is>
      </c>
      <c r="H5617" s="12" t="inlineStr">
        <is>
          <t>T-MOD-3: 230 / 34.5 / 34.5 kV, ~250 MVA three-winding (power park coll</t>
        </is>
      </c>
      <c r="I5617" s="12" t="inlineStr">
        <is>
          <t>MV 35 kV</t>
        </is>
      </c>
      <c r="J5617" s="12" t="inlineStr">
        <is>
          <t>MV-105 35 kV 1/C Al, EPR 133%, 1/3 concentric neutral, LLDPE jacket</t>
        </is>
      </c>
      <c r="K5617" s="12" t="inlineStr">
        <is>
          <t>MV35|1/C|750</t>
        </is>
      </c>
      <c r="L5617" s="12" t="inlineStr">
        <is>
          <t>1/C</t>
        </is>
      </c>
      <c r="M5617" s="12" t="inlineStr">
        <is>
          <t>750 kcmil</t>
        </is>
      </c>
      <c r="N5617" s="12" t="n">
        <v>5</v>
      </c>
      <c r="O5617" s="12" t="n">
        <v>3</v>
      </c>
      <c r="P5617" s="12" t="n">
        <v>34500</v>
      </c>
      <c r="Q5617" s="12" t="n">
        <v>91600</v>
      </c>
      <c r="R5617" s="12" t="n">
        <v>1703</v>
      </c>
      <c r="S5617" s="12" t="inlineStr">
        <is>
          <t>Duct bank</t>
        </is>
      </c>
      <c r="T5617" s="15" t="n">
        <v>22</v>
      </c>
      <c r="U5617" s="15" t="n">
        <v>58</v>
      </c>
      <c r="V5617" s="15">
        <f>ROUNDUP((T5617+U5617+2*'Read Me'!$B$13)*(1+'Read Me'!$B$12),-1)</f>
        <v/>
      </c>
      <c r="W5617" s="15">
        <f>V5617*N5617*O5617</f>
        <v/>
      </c>
      <c r="X5617" s="12">
        <f>IF(LEFT(I5617,2)="MV",2*N5617*IF(L5617="1/C",O5617,1),0)</f>
        <v/>
      </c>
      <c r="Y5617" s="12">
        <f>IF(OR(LEFT(K5617,4)="LVAX",LEFT(K5617,6)="MV15AX",LEFT(K5617,4)="CTAX",LEFT(K5617,2)="W|"),2*N5617*O5617,0)</f>
        <v/>
      </c>
      <c r="Z5617" s="12" t="inlineStr">
        <is>
          <t>5 sets per phase</t>
        </is>
      </c>
      <c r="AA5617" s="12">
        <f>N5617*O5617</f>
        <v/>
      </c>
    </row>
    <row r="5618">
      <c r="A5618" s="12" t="inlineStr">
        <is>
          <t>I-MV-0094</t>
        </is>
      </c>
      <c r="B5618" s="12" t="inlineStr">
        <is>
          <t>I</t>
        </is>
      </c>
      <c r="C5618" s="12" t="inlineStr">
        <is>
          <t>Modular / portable power</t>
        </is>
      </c>
      <c r="D5618" s="12" t="inlineStr">
        <is>
          <t>SWG-PK bus B main to T-MOD-3 LV winding 2</t>
        </is>
      </c>
      <c r="E5618" s="12" t="inlineStr">
        <is>
          <t>SWG-PK</t>
        </is>
      </c>
      <c r="F5618" s="12" t="inlineStr">
        <is>
          <t>SWG-PK: 34.5 kV park collector switchgear (2 bus sections, tie; 8 feed</t>
        </is>
      </c>
      <c r="G5618" s="12" t="inlineStr">
        <is>
          <t>T-MOD-3</t>
        </is>
      </c>
      <c r="H5618" s="12" t="inlineStr">
        <is>
          <t>T-MOD-3: 230 / 34.5 / 34.5 kV, ~250 MVA three-winding (power park coll</t>
        </is>
      </c>
      <c r="I5618" s="12" t="inlineStr">
        <is>
          <t>MV 35 kV</t>
        </is>
      </c>
      <c r="J5618" s="12" t="inlineStr">
        <is>
          <t>MV-105 35 kV 1/C Al, EPR 133%, 1/3 concentric neutral, LLDPE jacket</t>
        </is>
      </c>
      <c r="K5618" s="12" t="inlineStr">
        <is>
          <t>MV35|1/C|1000</t>
        </is>
      </c>
      <c r="L5618" s="12" t="inlineStr">
        <is>
          <t>1/C</t>
        </is>
      </c>
      <c r="M5618" s="12" t="inlineStr">
        <is>
          <t>1000 kcmil</t>
        </is>
      </c>
      <c r="N5618" s="12" t="n">
        <v>6</v>
      </c>
      <c r="O5618" s="12" t="n">
        <v>3</v>
      </c>
      <c r="P5618" s="12" t="n">
        <v>34500</v>
      </c>
      <c r="Q5618" s="12" t="n">
        <v>117000</v>
      </c>
      <c r="R5618" s="12" t="n">
        <v>2176</v>
      </c>
      <c r="S5618" s="12" t="inlineStr">
        <is>
          <t>Duct bank</t>
        </is>
      </c>
      <c r="T5618" s="15" t="n">
        <v>22</v>
      </c>
      <c r="U5618" s="15" t="n">
        <v>58</v>
      </c>
      <c r="V5618" s="15">
        <f>ROUNDUP((T5618+U5618+2*'Read Me'!$B$13)*(1+'Read Me'!$B$12),-1)</f>
        <v/>
      </c>
      <c r="W5618" s="15">
        <f>V5618*N5618*O5618</f>
        <v/>
      </c>
      <c r="X5618" s="12">
        <f>IF(LEFT(I5618,2)="MV",2*N5618*IF(L5618="1/C",O5618,1),0)</f>
        <v/>
      </c>
      <c r="Y5618" s="12">
        <f>IF(OR(LEFT(K5618,4)="LVAX",LEFT(K5618,6)="MV15AX",LEFT(K5618,4)="CTAX",LEFT(K5618,2)="W|"),2*N5618*O5618,0)</f>
        <v/>
      </c>
      <c r="Z5618" s="12" t="inlineStr">
        <is>
          <t>6 sets per phase</t>
        </is>
      </c>
      <c r="AA5618" s="12">
        <f>N5618*O5618</f>
        <v/>
      </c>
    </row>
    <row r="5619">
      <c r="A5619" s="12" t="inlineStr">
        <is>
          <t>I-PP-0001</t>
        </is>
      </c>
      <c r="B5619" s="12" t="inlineStr">
        <is>
          <t>I</t>
        </is>
      </c>
      <c r="C5619" s="12" t="inlineStr">
        <is>
          <t>Modular / portable power</t>
        </is>
      </c>
      <c r="D5619" s="12" t="inlineStr">
        <is>
          <t>GEN-O 480 V to PAD-LV (Type W sets, cam-lock)</t>
        </is>
      </c>
      <c r="E5619" s="12" t="inlineStr">
        <is>
          <t>GEN-O</t>
        </is>
      </c>
      <c r="F5619" s="12" t="inlineStr">
        <is>
          <t>GEN-O: open engine-generator skid</t>
        </is>
      </c>
      <c r="G5619" s="12" t="inlineStr">
        <is>
          <t>PAD-LV</t>
        </is>
      </c>
      <c r="H5619" s="12" t="inlineStr">
        <is>
          <t>PAD-LV 480 V paralleling switchboard</t>
        </is>
      </c>
      <c r="I5619" s="12" t="inlineStr">
        <is>
          <t>Portable LV</t>
        </is>
      </c>
      <c r="J5619" s="12" t="inlineStr">
        <is>
          <t>Type W 2 kV 1/C Cu, EPDM / CPE (portable, cam-lock)</t>
        </is>
      </c>
      <c r="K5619" s="12" t="inlineStr">
        <is>
          <t>W|1/C|4/0</t>
        </is>
      </c>
      <c r="L5619" s="12" t="inlineStr">
        <is>
          <t>1/C</t>
        </is>
      </c>
      <c r="M5619" s="12" t="inlineStr">
        <is>
          <t>4/0</t>
        </is>
      </c>
      <c r="N5619" s="12" t="n">
        <v>4</v>
      </c>
      <c r="O5619" s="12" t="n">
        <v>4</v>
      </c>
      <c r="P5619" s="12" t="n">
        <v>480</v>
      </c>
      <c r="Q5619" s="12" t="n">
        <v>1000</v>
      </c>
      <c r="R5619" s="12" t="n">
        <v>1203</v>
      </c>
      <c r="S5619" s="12" t="inlineStr">
        <is>
          <t>Surface</t>
        </is>
      </c>
      <c r="T5619" s="15" t="n">
        <v>132</v>
      </c>
      <c r="U5619" s="15" t="n">
        <v>27</v>
      </c>
      <c r="V5619" s="15">
        <f>ROUNDUP((T5619+U5619+2*'Read Me'!$B$13)*(1+'Read Me'!$B$12),-1)</f>
        <v/>
      </c>
      <c r="W5619" s="15">
        <f>V5619*N5619*O5619</f>
        <v/>
      </c>
      <c r="X5619" s="12">
        <f>IF(LEFT(I5619,2)="MV",2*N5619*IF(L5619="1/C",O5619,1),0)</f>
        <v/>
      </c>
      <c r="Y5619" s="12">
        <f>IF(OR(LEFT(K5619,4)="LVAX",LEFT(K5619,6)="MV15AX",LEFT(K5619,4)="CTAX",LEFT(K5619,2)="W|"),2*N5619*O5619,0)</f>
        <v/>
      </c>
      <c r="Z5619" s="12" t="inlineStr">
        <is>
          <t>4 x 1/C per set incl. ground</t>
        </is>
      </c>
      <c r="AA5619" s="12">
        <f>N5619*O5619</f>
        <v/>
      </c>
    </row>
    <row r="5620">
      <c r="A5620" s="12" t="inlineStr">
        <is>
          <t>I-PP-0002</t>
        </is>
      </c>
      <c r="B5620" s="12" t="inlineStr">
        <is>
          <t>I</t>
        </is>
      </c>
      <c r="C5620" s="12" t="inlineStr">
        <is>
          <t>Modular / portable power</t>
        </is>
      </c>
      <c r="D5620" s="12" t="inlineStr">
        <is>
          <t>PIC to commissioning load bank</t>
        </is>
      </c>
      <c r="E5620" s="12" t="inlineStr">
        <is>
          <t>PIC</t>
        </is>
      </c>
      <c r="F5620" s="12" t="inlineStr">
        <is>
          <t>PIC: portable input cabinet</t>
        </is>
      </c>
      <c r="G5620" s="12" t="inlineStr">
        <is>
          <t>LB</t>
        </is>
      </c>
      <c r="H5620" s="12" t="inlineStr">
        <is>
          <t>LB: commissioning load bank (trailer)</t>
        </is>
      </c>
      <c r="I5620" s="12" t="inlineStr">
        <is>
          <t>Portable MV</t>
        </is>
      </c>
      <c r="J5620" s="12" t="inlineStr">
        <is>
          <t>Type SHD-GC 15 kV 3/C Cu, 2 grounds + GC, yellow CPE (portable)</t>
        </is>
      </c>
      <c r="K5620" s="12" t="inlineStr">
        <is>
          <t>SHD|3/C|2</t>
        </is>
      </c>
      <c r="L5620" s="12" t="inlineStr">
        <is>
          <t>3/C</t>
        </is>
      </c>
      <c r="M5620" s="12" t="inlineStr">
        <is>
          <t>2</t>
        </is>
      </c>
      <c r="N5620" s="12" t="n">
        <v>1</v>
      </c>
      <c r="O5620" s="12" t="n">
        <v>1</v>
      </c>
      <c r="P5620" s="12" t="n">
        <v>13800</v>
      </c>
      <c r="Q5620" s="12" t="n">
        <v>2000</v>
      </c>
      <c r="R5620" s="12" t="n">
        <v>93</v>
      </c>
      <c r="S5620" s="12" t="inlineStr">
        <is>
          <t>Surface</t>
        </is>
      </c>
      <c r="T5620" s="15" t="n">
        <v>27</v>
      </c>
      <c r="U5620" s="15" t="n">
        <v>53</v>
      </c>
      <c r="V5620" s="15">
        <f>ROUNDUP((T5620+U5620+2*'Read Me'!$B$13)*(1+'Read Me'!$B$12),-1)</f>
        <v/>
      </c>
      <c r="W5620" s="15">
        <f>V5620*N5620*O5620</f>
        <v/>
      </c>
      <c r="X5620" s="12">
        <f>IF(LEFT(I5620,2)="MV",2*N5620*IF(L5620="1/C",O5620,1),0)</f>
        <v/>
      </c>
      <c r="Y5620" s="12">
        <f>IF(OR(LEFT(K5620,4)="LVAX",LEFT(K5620,6)="MV15AX",LEFT(K5620,4)="CTAX",LEFT(K5620,2)="W|"),2*N5620*O5620,0)</f>
        <v/>
      </c>
      <c r="Z5620" s="12" t="inlineStr">
        <is>
          <t>portable</t>
        </is>
      </c>
      <c r="AA5620" s="12">
        <f>N5620*O5620</f>
        <v/>
      </c>
    </row>
    <row r="5621">
      <c r="A5621" s="12" t="inlineStr">
        <is>
          <t>I-PP-0003</t>
        </is>
      </c>
      <c r="B5621" s="12" t="inlineStr">
        <is>
          <t>I</t>
        </is>
      </c>
      <c r="C5621" s="12" t="inlineStr">
        <is>
          <t>Modular / portable power</t>
        </is>
      </c>
      <c r="D5621" s="12" t="inlineStr">
        <is>
          <t>MOB-1 13.8 kV to PIC through the C-L01 ramp</t>
        </is>
      </c>
      <c r="E5621" s="12" t="inlineStr">
        <is>
          <t>MOB-1</t>
        </is>
      </c>
      <c r="F5621" s="12" t="inlineStr">
        <is>
          <t>MOB-1: trailer genset</t>
        </is>
      </c>
      <c r="G5621" s="12" t="inlineStr">
        <is>
          <t>PIC</t>
        </is>
      </c>
      <c r="H5621" s="12" t="inlineStr">
        <is>
          <t>PIC: portable input cabinet</t>
        </is>
      </c>
      <c r="I5621" s="12" t="inlineStr">
        <is>
          <t>Portable MV</t>
        </is>
      </c>
      <c r="J5621" s="12" t="inlineStr">
        <is>
          <t>Type SHD-GC 15 kV 3/C Cu, 2 grounds + GC, yellow CPE (portable)</t>
        </is>
      </c>
      <c r="K5621" s="12" t="inlineStr">
        <is>
          <t>SHD|3/C|2</t>
        </is>
      </c>
      <c r="L5621" s="12" t="inlineStr">
        <is>
          <t>3/C</t>
        </is>
      </c>
      <c r="M5621" s="12" t="inlineStr">
        <is>
          <t>2</t>
        </is>
      </c>
      <c r="N5621" s="12" t="n">
        <v>1</v>
      </c>
      <c r="O5621" s="12" t="n">
        <v>1</v>
      </c>
      <c r="P5621" s="12" t="n">
        <v>13800</v>
      </c>
      <c r="Q5621" s="12" t="n">
        <v>2000</v>
      </c>
      <c r="R5621" s="12" t="n">
        <v>93</v>
      </c>
      <c r="S5621" s="12" t="inlineStr">
        <is>
          <t>Surface</t>
        </is>
      </c>
      <c r="T5621" s="15" t="n">
        <v>162</v>
      </c>
      <c r="U5621" s="15" t="n">
        <v>27</v>
      </c>
      <c r="V5621" s="15">
        <f>ROUNDUP((T5621+U5621+2*'Read Me'!$B$13)*(1+'Read Me'!$B$12),-1)</f>
        <v/>
      </c>
      <c r="W5621" s="15">
        <f>V5621*N5621*O5621</f>
        <v/>
      </c>
      <c r="X5621" s="12">
        <f>IF(LEFT(I5621,2)="MV",2*N5621*IF(L5621="1/C",O5621,1),0)</f>
        <v/>
      </c>
      <c r="Y5621" s="12">
        <f>IF(OR(LEFT(K5621,4)="LVAX",LEFT(K5621,6)="MV15AX",LEFT(K5621,4)="CTAX",LEFT(K5621,2)="W|"),2*N5621*O5621,0)</f>
        <v/>
      </c>
      <c r="Z5621" s="12" t="inlineStr">
        <is>
          <t>portable</t>
        </is>
      </c>
      <c r="AA5621" s="12">
        <f>N5621*O5621</f>
        <v/>
      </c>
    </row>
    <row r="5622">
      <c r="A5622" s="12" t="inlineStr">
        <is>
          <t>I-PP-0004</t>
        </is>
      </c>
      <c r="B5622" s="12" t="inlineStr">
        <is>
          <t>I</t>
        </is>
      </c>
      <c r="C5622" s="12" t="inlineStr">
        <is>
          <t>Modular / portable power</t>
        </is>
      </c>
      <c r="D5622" s="12" t="inlineStr">
        <is>
          <t>TGF-1 13.8 kV leads to the switchgear trailer</t>
        </is>
      </c>
      <c r="E5622" s="12" t="inlineStr">
        <is>
          <t>TGF-1</t>
        </is>
      </c>
      <c r="F5622" s="12" t="inlineStr">
        <is>
          <t xml:space="preserve">TGF-1: trailer-mounted gas-engine generator ~2.5 MW, 13.8 kV (trailer </t>
        </is>
      </c>
      <c r="G5622" s="12" t="inlineStr">
        <is>
          <t>TGF-SWG</t>
        </is>
      </c>
      <c r="H5622" s="12" t="inlineStr">
        <is>
          <t>TGF-SWG: mobile 13.8 kV switchgear trailer (fleet collector)</t>
        </is>
      </c>
      <c r="I5622" s="12" t="inlineStr">
        <is>
          <t>Portable MV</t>
        </is>
      </c>
      <c r="J5622" s="12" t="inlineStr">
        <is>
          <t>Type SHD-GC 15 kV 3/C Cu, 2 grounds + GC, yellow CPE (portable)</t>
        </is>
      </c>
      <c r="K5622" s="12" t="inlineStr">
        <is>
          <t>SHD|3/C|2</t>
        </is>
      </c>
      <c r="L5622" s="12" t="inlineStr">
        <is>
          <t>3/C</t>
        </is>
      </c>
      <c r="M5622" s="12" t="inlineStr">
        <is>
          <t>2</t>
        </is>
      </c>
      <c r="N5622" s="12" t="n">
        <v>1</v>
      </c>
      <c r="O5622" s="12" t="n">
        <v>1</v>
      </c>
      <c r="P5622" s="12" t="n">
        <v>13800</v>
      </c>
      <c r="Q5622" s="12" t="n">
        <v>2500</v>
      </c>
      <c r="R5622" s="12" t="n">
        <v>105</v>
      </c>
      <c r="S5622" s="12" t="inlineStr">
        <is>
          <t>Surface</t>
        </is>
      </c>
      <c r="T5622" s="15" t="n">
        <v>92</v>
      </c>
      <c r="U5622" s="15" t="n">
        <v>27</v>
      </c>
      <c r="V5622" s="15">
        <f>ROUNDUP((T5622+U5622+2*'Read Me'!$B$13)*(1+'Read Me'!$B$12),-1)</f>
        <v/>
      </c>
      <c r="W5622" s="15">
        <f>V5622*N5622*O5622</f>
        <v/>
      </c>
      <c r="X5622" s="12">
        <f>IF(LEFT(I5622,2)="MV",2*N5622*IF(L5622="1/C",O5622,1),0)</f>
        <v/>
      </c>
      <c r="Y5622" s="12">
        <f>IF(OR(LEFT(K5622,4)="LVAX",LEFT(K5622,6)="MV15AX",LEFT(K5622,4)="CTAX",LEFT(K5622,2)="W|"),2*N5622*O5622,0)</f>
        <v/>
      </c>
      <c r="Z5622" s="12" t="inlineStr">
        <is>
          <t>portable, on grade, cam-lock</t>
        </is>
      </c>
      <c r="AA5622" s="12">
        <f>N5622*O5622</f>
        <v/>
      </c>
    </row>
    <row r="5623">
      <c r="A5623" s="12" t="inlineStr">
        <is>
          <t>I-PP-0005</t>
        </is>
      </c>
      <c r="B5623" s="12" t="inlineStr">
        <is>
          <t>I</t>
        </is>
      </c>
      <c r="C5623" s="12" t="inlineStr">
        <is>
          <t>Modular / portable power</t>
        </is>
      </c>
      <c r="D5623" s="12" t="inlineStr">
        <is>
          <t>TGF-2 13.8 kV leads to the switchgear trailer</t>
        </is>
      </c>
      <c r="E5623" s="12" t="inlineStr">
        <is>
          <t>TGF-2</t>
        </is>
      </c>
      <c r="F5623" s="12" t="inlineStr">
        <is>
          <t xml:space="preserve">TGF-2: trailer-mounted gas-engine generator ~2.5 MW, 13.8 kV (trailer </t>
        </is>
      </c>
      <c r="G5623" s="12" t="inlineStr">
        <is>
          <t>TGF-SWG</t>
        </is>
      </c>
      <c r="H5623" s="12" t="inlineStr">
        <is>
          <t>TGF-SWG: mobile 13.8 kV switchgear trailer (fleet collector)</t>
        </is>
      </c>
      <c r="I5623" s="12" t="inlineStr">
        <is>
          <t>Portable MV</t>
        </is>
      </c>
      <c r="J5623" s="12" t="inlineStr">
        <is>
          <t>Type SHD-GC 15 kV 3/C Cu, 2 grounds + GC, yellow CPE (portable)</t>
        </is>
      </c>
      <c r="K5623" s="12" t="inlineStr">
        <is>
          <t>SHD|3/C|2</t>
        </is>
      </c>
      <c r="L5623" s="12" t="inlineStr">
        <is>
          <t>3/C</t>
        </is>
      </c>
      <c r="M5623" s="12" t="inlineStr">
        <is>
          <t>2</t>
        </is>
      </c>
      <c r="N5623" s="12" t="n">
        <v>1</v>
      </c>
      <c r="O5623" s="12" t="n">
        <v>1</v>
      </c>
      <c r="P5623" s="12" t="n">
        <v>13800</v>
      </c>
      <c r="Q5623" s="12" t="n">
        <v>2500</v>
      </c>
      <c r="R5623" s="12" t="n">
        <v>105</v>
      </c>
      <c r="S5623" s="12" t="inlineStr">
        <is>
          <t>Surface</t>
        </is>
      </c>
      <c r="T5623" s="15" t="n">
        <v>78</v>
      </c>
      <c r="U5623" s="15" t="n">
        <v>27</v>
      </c>
      <c r="V5623" s="15">
        <f>ROUNDUP((T5623+U5623+2*'Read Me'!$B$13)*(1+'Read Me'!$B$12),-1)</f>
        <v/>
      </c>
      <c r="W5623" s="15">
        <f>V5623*N5623*O5623</f>
        <v/>
      </c>
      <c r="X5623" s="12">
        <f>IF(LEFT(I5623,2)="MV",2*N5623*IF(L5623="1/C",O5623,1),0)</f>
        <v/>
      </c>
      <c r="Y5623" s="12">
        <f>IF(OR(LEFT(K5623,4)="LVAX",LEFT(K5623,6)="MV15AX",LEFT(K5623,4)="CTAX",LEFT(K5623,2)="W|"),2*N5623*O5623,0)</f>
        <v/>
      </c>
      <c r="Z5623" s="12" t="inlineStr">
        <is>
          <t>portable, on grade, cam-lock</t>
        </is>
      </c>
      <c r="AA5623" s="12">
        <f>N5623*O5623</f>
        <v/>
      </c>
    </row>
    <row r="5624">
      <c r="A5624" s="12" t="inlineStr">
        <is>
          <t>I-PP-0006</t>
        </is>
      </c>
      <c r="B5624" s="12" t="inlineStr">
        <is>
          <t>I</t>
        </is>
      </c>
      <c r="C5624" s="12" t="inlineStr">
        <is>
          <t>Modular / portable power</t>
        </is>
      </c>
      <c r="D5624" s="12" t="inlineStr">
        <is>
          <t>TGF-3 13.8 kV leads to the switchgear trailer</t>
        </is>
      </c>
      <c r="E5624" s="12" t="inlineStr">
        <is>
          <t>TGF-3</t>
        </is>
      </c>
      <c r="F5624" s="12" t="inlineStr">
        <is>
          <t xml:space="preserve">TGF-3: trailer-mounted gas-engine generator ~2.5 MW, 13.8 kV (trailer </t>
        </is>
      </c>
      <c r="G5624" s="12" t="inlineStr">
        <is>
          <t>TGF-SWG</t>
        </is>
      </c>
      <c r="H5624" s="12" t="inlineStr">
        <is>
          <t>TGF-SWG: mobile 13.8 kV switchgear trailer (fleet collector)</t>
        </is>
      </c>
      <c r="I5624" s="12" t="inlineStr">
        <is>
          <t>Portable MV</t>
        </is>
      </c>
      <c r="J5624" s="12" t="inlineStr">
        <is>
          <t>Type SHD-GC 15 kV 3/C Cu, 2 grounds + GC, yellow CPE (portable)</t>
        </is>
      </c>
      <c r="K5624" s="12" t="inlineStr">
        <is>
          <t>SHD|3/C|2</t>
        </is>
      </c>
      <c r="L5624" s="12" t="inlineStr">
        <is>
          <t>3/C</t>
        </is>
      </c>
      <c r="M5624" s="12" t="inlineStr">
        <is>
          <t>2</t>
        </is>
      </c>
      <c r="N5624" s="12" t="n">
        <v>1</v>
      </c>
      <c r="O5624" s="12" t="n">
        <v>1</v>
      </c>
      <c r="P5624" s="12" t="n">
        <v>13800</v>
      </c>
      <c r="Q5624" s="12" t="n">
        <v>2500</v>
      </c>
      <c r="R5624" s="12" t="n">
        <v>105</v>
      </c>
      <c r="S5624" s="12" t="inlineStr">
        <is>
          <t>Surface</t>
        </is>
      </c>
      <c r="T5624" s="15" t="n">
        <v>64</v>
      </c>
      <c r="U5624" s="15" t="n">
        <v>27</v>
      </c>
      <c r="V5624" s="15">
        <f>ROUNDUP((T5624+U5624+2*'Read Me'!$B$13)*(1+'Read Me'!$B$12),-1)</f>
        <v/>
      </c>
      <c r="W5624" s="15">
        <f>V5624*N5624*O5624</f>
        <v/>
      </c>
      <c r="X5624" s="12">
        <f>IF(LEFT(I5624,2)="MV",2*N5624*IF(L5624="1/C",O5624,1),0)</f>
        <v/>
      </c>
      <c r="Y5624" s="12">
        <f>IF(OR(LEFT(K5624,4)="LVAX",LEFT(K5624,6)="MV15AX",LEFT(K5624,4)="CTAX",LEFT(K5624,2)="W|"),2*N5624*O5624,0)</f>
        <v/>
      </c>
      <c r="Z5624" s="12" t="inlineStr">
        <is>
          <t>portable, on grade, cam-lock</t>
        </is>
      </c>
      <c r="AA5624" s="12">
        <f>N5624*O5624</f>
        <v/>
      </c>
    </row>
    <row r="5625">
      <c r="A5625" s="12" t="inlineStr">
        <is>
          <t>I-PP-0007</t>
        </is>
      </c>
      <c r="B5625" s="12" t="inlineStr">
        <is>
          <t>I</t>
        </is>
      </c>
      <c r="C5625" s="12" t="inlineStr">
        <is>
          <t>Modular / portable power</t>
        </is>
      </c>
      <c r="D5625" s="12" t="inlineStr">
        <is>
          <t>TGF-4 13.8 kV leads to the switchgear trailer</t>
        </is>
      </c>
      <c r="E5625" s="12" t="inlineStr">
        <is>
          <t>TGF-4</t>
        </is>
      </c>
      <c r="F5625" s="12" t="inlineStr">
        <is>
          <t xml:space="preserve">TGF-4: trailer-mounted gas-engine generator ~2.5 MW, 13.8 kV (trailer </t>
        </is>
      </c>
      <c r="G5625" s="12" t="inlineStr">
        <is>
          <t>TGF-SWG</t>
        </is>
      </c>
      <c r="H5625" s="12" t="inlineStr">
        <is>
          <t>TGF-SWG: mobile 13.8 kV switchgear trailer (fleet collector)</t>
        </is>
      </c>
      <c r="I5625" s="12" t="inlineStr">
        <is>
          <t>Portable MV</t>
        </is>
      </c>
      <c r="J5625" s="12" t="inlineStr">
        <is>
          <t>Type SHD-GC 15 kV 3/C Cu, 2 grounds + GC, yellow CPE (portable)</t>
        </is>
      </c>
      <c r="K5625" s="12" t="inlineStr">
        <is>
          <t>SHD|3/C|2</t>
        </is>
      </c>
      <c r="L5625" s="12" t="inlineStr">
        <is>
          <t>3/C</t>
        </is>
      </c>
      <c r="M5625" s="12" t="inlineStr">
        <is>
          <t>2</t>
        </is>
      </c>
      <c r="N5625" s="12" t="n">
        <v>1</v>
      </c>
      <c r="O5625" s="12" t="n">
        <v>1</v>
      </c>
      <c r="P5625" s="12" t="n">
        <v>13800</v>
      </c>
      <c r="Q5625" s="12" t="n">
        <v>2500</v>
      </c>
      <c r="R5625" s="12" t="n">
        <v>105</v>
      </c>
      <c r="S5625" s="12" t="inlineStr">
        <is>
          <t>Surface</t>
        </is>
      </c>
      <c r="T5625" s="15" t="n">
        <v>50</v>
      </c>
      <c r="U5625" s="15" t="n">
        <v>27</v>
      </c>
      <c r="V5625" s="15">
        <f>ROUNDUP((T5625+U5625+2*'Read Me'!$B$13)*(1+'Read Me'!$B$12),-1)</f>
        <v/>
      </c>
      <c r="W5625" s="15">
        <f>V5625*N5625*O5625</f>
        <v/>
      </c>
      <c r="X5625" s="12">
        <f>IF(LEFT(I5625,2)="MV",2*N5625*IF(L5625="1/C",O5625,1),0)</f>
        <v/>
      </c>
      <c r="Y5625" s="12">
        <f>IF(OR(LEFT(K5625,4)="LVAX",LEFT(K5625,6)="MV15AX",LEFT(K5625,4)="CTAX",LEFT(K5625,2)="W|"),2*N5625*O5625,0)</f>
        <v/>
      </c>
      <c r="Z5625" s="12" t="inlineStr">
        <is>
          <t>portable, on grade, cam-lock</t>
        </is>
      </c>
      <c r="AA5625" s="12">
        <f>N5625*O5625</f>
        <v/>
      </c>
    </row>
    <row r="5626">
      <c r="A5626" s="12" t="inlineStr">
        <is>
          <t>I-PP-0008</t>
        </is>
      </c>
      <c r="B5626" s="12" t="inlineStr">
        <is>
          <t>I</t>
        </is>
      </c>
      <c r="C5626" s="12" t="inlineStr">
        <is>
          <t>Modular / portable power</t>
        </is>
      </c>
      <c r="D5626" s="12" t="inlineStr">
        <is>
          <t>TGF-5 13.8 kV leads to the switchgear trailer</t>
        </is>
      </c>
      <c r="E5626" s="12" t="inlineStr">
        <is>
          <t>TGF-5</t>
        </is>
      </c>
      <c r="F5626" s="12" t="inlineStr">
        <is>
          <t xml:space="preserve">TGF-5: trailer-mounted gas-engine generator ~2.5 MW, 13.8 kV (trailer </t>
        </is>
      </c>
      <c r="G5626" s="12" t="inlineStr">
        <is>
          <t>TGF-SWG</t>
        </is>
      </c>
      <c r="H5626" s="12" t="inlineStr">
        <is>
          <t>TGF-SWG: mobile 13.8 kV switchgear trailer (fleet collector)</t>
        </is>
      </c>
      <c r="I5626" s="12" t="inlineStr">
        <is>
          <t>Portable MV</t>
        </is>
      </c>
      <c r="J5626" s="12" t="inlineStr">
        <is>
          <t>Type SHD-GC 15 kV 3/C Cu, 2 grounds + GC, yellow CPE (portable)</t>
        </is>
      </c>
      <c r="K5626" s="12" t="inlineStr">
        <is>
          <t>SHD|3/C|2</t>
        </is>
      </c>
      <c r="L5626" s="12" t="inlineStr">
        <is>
          <t>3/C</t>
        </is>
      </c>
      <c r="M5626" s="12" t="inlineStr">
        <is>
          <t>2</t>
        </is>
      </c>
      <c r="N5626" s="12" t="n">
        <v>1</v>
      </c>
      <c r="O5626" s="12" t="n">
        <v>1</v>
      </c>
      <c r="P5626" s="12" t="n">
        <v>13800</v>
      </c>
      <c r="Q5626" s="12" t="n">
        <v>2500</v>
      </c>
      <c r="R5626" s="12" t="n">
        <v>105</v>
      </c>
      <c r="S5626" s="12" t="inlineStr">
        <is>
          <t>Surface</t>
        </is>
      </c>
      <c r="T5626" s="15" t="n">
        <v>38</v>
      </c>
      <c r="U5626" s="15" t="n">
        <v>27</v>
      </c>
      <c r="V5626" s="15">
        <f>ROUNDUP((T5626+U5626+2*'Read Me'!$B$13)*(1+'Read Me'!$B$12),-1)</f>
        <v/>
      </c>
      <c r="W5626" s="15">
        <f>V5626*N5626*O5626</f>
        <v/>
      </c>
      <c r="X5626" s="12">
        <f>IF(LEFT(I5626,2)="MV",2*N5626*IF(L5626="1/C",O5626,1),0)</f>
        <v/>
      </c>
      <c r="Y5626" s="12">
        <f>IF(OR(LEFT(K5626,4)="LVAX",LEFT(K5626,6)="MV15AX",LEFT(K5626,4)="CTAX",LEFT(K5626,2)="W|"),2*N5626*O5626,0)</f>
        <v/>
      </c>
      <c r="Z5626" s="12" t="inlineStr">
        <is>
          <t>portable, on grade, cam-lock</t>
        </is>
      </c>
      <c r="AA5626" s="12">
        <f>N5626*O5626</f>
        <v/>
      </c>
    </row>
    <row r="5627">
      <c r="A5627" s="12" t="inlineStr">
        <is>
          <t>I-PP-0009</t>
        </is>
      </c>
      <c r="B5627" s="12" t="inlineStr">
        <is>
          <t>I</t>
        </is>
      </c>
      <c r="C5627" s="12" t="inlineStr">
        <is>
          <t>Modular / portable power</t>
        </is>
      </c>
      <c r="D5627" s="12" t="inlineStr">
        <is>
          <t>TGF-6 13.8 kV leads to the switchgear trailer</t>
        </is>
      </c>
      <c r="E5627" s="12" t="inlineStr">
        <is>
          <t>TGF-6</t>
        </is>
      </c>
      <c r="F5627" s="12" t="inlineStr">
        <is>
          <t xml:space="preserve">TGF-6: trailer-mounted gas-engine generator ~2.5 MW, 13.8 kV (trailer </t>
        </is>
      </c>
      <c r="G5627" s="12" t="inlineStr">
        <is>
          <t>TGF-SWG</t>
        </is>
      </c>
      <c r="H5627" s="12" t="inlineStr">
        <is>
          <t>TGF-SWG: mobile 13.8 kV switchgear trailer (fleet collector)</t>
        </is>
      </c>
      <c r="I5627" s="12" t="inlineStr">
        <is>
          <t>Portable MV</t>
        </is>
      </c>
      <c r="J5627" s="12" t="inlineStr">
        <is>
          <t>Type SHD-GC 15 kV 3/C Cu, 2 grounds + GC, yellow CPE (portable)</t>
        </is>
      </c>
      <c r="K5627" s="12" t="inlineStr">
        <is>
          <t>SHD|3/C|2</t>
        </is>
      </c>
      <c r="L5627" s="12" t="inlineStr">
        <is>
          <t>3/C</t>
        </is>
      </c>
      <c r="M5627" s="12" t="inlineStr">
        <is>
          <t>2</t>
        </is>
      </c>
      <c r="N5627" s="12" t="n">
        <v>1</v>
      </c>
      <c r="O5627" s="12" t="n">
        <v>1</v>
      </c>
      <c r="P5627" s="12" t="n">
        <v>13800</v>
      </c>
      <c r="Q5627" s="12" t="n">
        <v>2500</v>
      </c>
      <c r="R5627" s="12" t="n">
        <v>105</v>
      </c>
      <c r="S5627" s="12" t="inlineStr">
        <is>
          <t>Surface</t>
        </is>
      </c>
      <c r="T5627" s="15" t="n">
        <v>26</v>
      </c>
      <c r="U5627" s="15" t="n">
        <v>27</v>
      </c>
      <c r="V5627" s="15">
        <f>ROUNDUP((T5627+U5627+2*'Read Me'!$B$13)*(1+'Read Me'!$B$12),-1)</f>
        <v/>
      </c>
      <c r="W5627" s="15">
        <f>V5627*N5627*O5627</f>
        <v/>
      </c>
      <c r="X5627" s="12">
        <f>IF(LEFT(I5627,2)="MV",2*N5627*IF(L5627="1/C",O5627,1),0)</f>
        <v/>
      </c>
      <c r="Y5627" s="12">
        <f>IF(OR(LEFT(K5627,4)="LVAX",LEFT(K5627,6)="MV15AX",LEFT(K5627,4)="CTAX",LEFT(K5627,2)="W|"),2*N5627*O5627,0)</f>
        <v/>
      </c>
      <c r="Z5627" s="12" t="inlineStr">
        <is>
          <t>portable, on grade, cam-lock</t>
        </is>
      </c>
      <c r="AA5627" s="12">
        <f>N5627*O5627</f>
        <v/>
      </c>
    </row>
    <row r="5628">
      <c r="A5628" s="12" t="inlineStr">
        <is>
          <t>J-C-0001</t>
        </is>
      </c>
      <c r="B5628" s="12" t="inlineStr">
        <is>
          <t>J</t>
        </is>
      </c>
      <c r="C5628" s="12" t="inlineStr">
        <is>
          <t>GT inlet chilling</t>
        </is>
      </c>
      <c r="D5628" s="12" t="inlineStr">
        <is>
          <t>Motor 1 of 4: control / local station</t>
        </is>
      </c>
      <c r="E5628" s="12" t="inlineStr"/>
      <c r="F5628" s="12" t="inlineStr">
        <is>
          <t>Inlet-chilling e-house / transformer</t>
        </is>
      </c>
      <c r="G5628" s="12" t="inlineStr"/>
      <c r="H5628" s="12" t="inlineStr">
        <is>
          <t>CHW pumps</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579</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J-C-0002</t>
        </is>
      </c>
      <c r="B5629" s="12" t="inlineStr">
        <is>
          <t>J</t>
        </is>
      </c>
      <c r="C5629" s="12" t="inlineStr">
        <is>
          <t>GT inlet chilling</t>
        </is>
      </c>
      <c r="D5629" s="12" t="inlineStr">
        <is>
          <t>Motor 2 of 4: control / local station</t>
        </is>
      </c>
      <c r="E5629" s="12" t="inlineStr"/>
      <c r="F5629" s="12" t="inlineStr">
        <is>
          <t>Inlet-chilling e-house / transformer</t>
        </is>
      </c>
      <c r="G5629" s="12" t="inlineStr"/>
      <c r="H5629" s="12" t="inlineStr">
        <is>
          <t>CHW pumps</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Duct bank</t>
        </is>
      </c>
      <c r="T5629" s="15" t="n">
        <v>579</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J-C-0003</t>
        </is>
      </c>
      <c r="B5630" s="12" t="inlineStr">
        <is>
          <t>J</t>
        </is>
      </c>
      <c r="C5630" s="12" t="inlineStr">
        <is>
          <t>GT inlet chilling</t>
        </is>
      </c>
      <c r="D5630" s="12" t="inlineStr">
        <is>
          <t>Motor 3 of 4: control / local station</t>
        </is>
      </c>
      <c r="E5630" s="12" t="inlineStr"/>
      <c r="F5630" s="12" t="inlineStr">
        <is>
          <t>Inlet-chilling e-house / transformer</t>
        </is>
      </c>
      <c r="G5630" s="12" t="inlineStr"/>
      <c r="H5630" s="12" t="inlineStr">
        <is>
          <t>CHW pumps</t>
        </is>
      </c>
      <c r="I5630" s="12" t="inlineStr">
        <is>
          <t>Control</t>
        </is>
      </c>
      <c r="J5630" s="12" t="inlineStr">
        <is>
          <t>Control cable 600 V Type TC-ER, Cu #14 AWG, PVC jacket</t>
        </is>
      </c>
      <c r="K5630" s="12" t="inlineStr">
        <is>
          <t>CT|7/C|14</t>
        </is>
      </c>
      <c r="L5630" s="12" t="inlineStr">
        <is>
          <t>7/C</t>
        </is>
      </c>
      <c r="M5630" s="12" t="inlineStr">
        <is>
          <t>14</t>
        </is>
      </c>
      <c r="N5630" s="12" t="n">
        <v>1</v>
      </c>
      <c r="O5630" s="12" t="n">
        <v>1</v>
      </c>
      <c r="P5630" s="12" t="n"/>
      <c r="Q5630" s="12" t="n"/>
      <c r="R5630" s="12" t="n"/>
      <c r="S5630" s="12" t="inlineStr">
        <is>
          <t>Duct bank</t>
        </is>
      </c>
      <c r="T5630" s="15" t="n">
        <v>579</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J-C-0004</t>
        </is>
      </c>
      <c r="B5631" s="12" t="inlineStr">
        <is>
          <t>J</t>
        </is>
      </c>
      <c r="C5631" s="12" t="inlineStr">
        <is>
          <t>GT inlet chilling</t>
        </is>
      </c>
      <c r="D5631" s="12" t="inlineStr">
        <is>
          <t>Motor 4 of 4: control / local station</t>
        </is>
      </c>
      <c r="E5631" s="12" t="inlineStr"/>
      <c r="F5631" s="12" t="inlineStr">
        <is>
          <t>Inlet-chilling e-house / transformer</t>
        </is>
      </c>
      <c r="G5631" s="12" t="inlineStr"/>
      <c r="H5631" s="12" t="inlineStr">
        <is>
          <t>CHW pumps</t>
        </is>
      </c>
      <c r="I5631" s="12" t="inlineStr">
        <is>
          <t>Control</t>
        </is>
      </c>
      <c r="J5631" s="12" t="inlineStr">
        <is>
          <t>Control cable 600 V Type TC-ER, Cu #14 AWG, PVC jacket</t>
        </is>
      </c>
      <c r="K5631" s="12" t="inlineStr">
        <is>
          <t>CT|7/C|14</t>
        </is>
      </c>
      <c r="L5631" s="12" t="inlineStr">
        <is>
          <t>7/C</t>
        </is>
      </c>
      <c r="M5631" s="12" t="inlineStr">
        <is>
          <t>14</t>
        </is>
      </c>
      <c r="N5631" s="12" t="n">
        <v>1</v>
      </c>
      <c r="O5631" s="12" t="n">
        <v>1</v>
      </c>
      <c r="P5631" s="12" t="n"/>
      <c r="Q5631" s="12" t="n"/>
      <c r="R5631" s="12" t="n"/>
      <c r="S5631" s="12" t="inlineStr">
        <is>
          <t>Duct bank</t>
        </is>
      </c>
      <c r="T5631" s="15" t="n">
        <v>579</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J-C-0005</t>
        </is>
      </c>
      <c r="B5632" s="12" t="inlineStr">
        <is>
          <t>J</t>
        </is>
      </c>
      <c r="C5632" s="12" t="inlineStr">
        <is>
          <t>GT inlet chilling</t>
        </is>
      </c>
      <c r="D5632" s="12" t="inlineStr">
        <is>
          <t>Motor 1 of 6: control / local station</t>
        </is>
      </c>
      <c r="E5632" s="12" t="inlineStr"/>
      <c r="F5632" s="12" t="inlineStr">
        <is>
          <t>Inlet-chilling e-house / transformer</t>
        </is>
      </c>
      <c r="G5632" s="12" t="inlineStr"/>
      <c r="H5632" s="12" t="inlineStr">
        <is>
          <t>Chillers x6 (water-cooled)</t>
        </is>
      </c>
      <c r="I5632" s="12" t="inlineStr">
        <is>
          <t>Control</t>
        </is>
      </c>
      <c r="J5632" s="12" t="inlineStr">
        <is>
          <t>Control cable 600 V Type TC-ER, Cu #14 AWG, PVC jacket</t>
        </is>
      </c>
      <c r="K5632" s="12" t="inlineStr">
        <is>
          <t>CT|7/C|14</t>
        </is>
      </c>
      <c r="L5632" s="12" t="inlineStr">
        <is>
          <t>7/C</t>
        </is>
      </c>
      <c r="M5632" s="12" t="inlineStr">
        <is>
          <t>14</t>
        </is>
      </c>
      <c r="N5632" s="12" t="n">
        <v>1</v>
      </c>
      <c r="O5632" s="12" t="n">
        <v>1</v>
      </c>
      <c r="P5632" s="12" t="n"/>
      <c r="Q5632" s="12" t="n"/>
      <c r="R5632" s="12" t="n"/>
      <c r="S5632" s="12" t="inlineStr">
        <is>
          <t>Duct bank</t>
        </is>
      </c>
      <c r="T5632" s="15" t="n">
        <v>10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J-C-0006</t>
        </is>
      </c>
      <c r="B5633" s="12" t="inlineStr">
        <is>
          <t>J</t>
        </is>
      </c>
      <c r="C5633" s="12" t="inlineStr">
        <is>
          <t>GT inlet chilling</t>
        </is>
      </c>
      <c r="D5633" s="12" t="inlineStr">
        <is>
          <t>Motor 2 of 6: control / local station</t>
        </is>
      </c>
      <c r="E5633" s="12" t="inlineStr"/>
      <c r="F5633" s="12" t="inlineStr">
        <is>
          <t>Inlet-chilling e-house / transformer</t>
        </is>
      </c>
      <c r="G5633" s="12" t="inlineStr"/>
      <c r="H5633" s="12" t="inlineStr">
        <is>
          <t>Chillers x6 (water-cooled)</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10</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J-C-0007</t>
        </is>
      </c>
      <c r="B5634" s="12" t="inlineStr">
        <is>
          <t>J</t>
        </is>
      </c>
      <c r="C5634" s="12" t="inlineStr">
        <is>
          <t>GT inlet chilling</t>
        </is>
      </c>
      <c r="D5634" s="12" t="inlineStr">
        <is>
          <t>Motor 3 of 6: control / local station</t>
        </is>
      </c>
      <c r="E5634" s="12" t="inlineStr"/>
      <c r="F5634" s="12" t="inlineStr">
        <is>
          <t>Inlet-chilling e-house / transformer</t>
        </is>
      </c>
      <c r="G5634" s="12" t="inlineStr"/>
      <c r="H5634" s="12" t="inlineStr">
        <is>
          <t>Chillers x6 (water-cooled)</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10</v>
      </c>
      <c r="U5634" s="15" t="n">
        <v>32</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J-C-0008</t>
        </is>
      </c>
      <c r="B5635" s="12" t="inlineStr">
        <is>
          <t>J</t>
        </is>
      </c>
      <c r="C5635" s="12" t="inlineStr">
        <is>
          <t>GT inlet chilling</t>
        </is>
      </c>
      <c r="D5635" s="12" t="inlineStr">
        <is>
          <t>Motor 4 of 6: control / local station</t>
        </is>
      </c>
      <c r="E5635" s="12" t="inlineStr"/>
      <c r="F5635" s="12" t="inlineStr">
        <is>
          <t>Inlet-chilling e-house / transformer</t>
        </is>
      </c>
      <c r="G5635" s="12" t="inlineStr"/>
      <c r="H5635" s="12" t="inlineStr">
        <is>
          <t>Chillers x6 (water-cooled)</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10</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J-C-0009</t>
        </is>
      </c>
      <c r="B5636" s="12" t="inlineStr">
        <is>
          <t>J</t>
        </is>
      </c>
      <c r="C5636" s="12" t="inlineStr">
        <is>
          <t>GT inlet chilling</t>
        </is>
      </c>
      <c r="D5636" s="12" t="inlineStr">
        <is>
          <t>Motor 5 of 6: control / local station</t>
        </is>
      </c>
      <c r="E5636" s="12" t="inlineStr"/>
      <c r="F5636" s="12" t="inlineStr">
        <is>
          <t>Inlet-chilling e-house / transformer</t>
        </is>
      </c>
      <c r="G5636" s="12" t="inlineStr"/>
      <c r="H5636" s="12" t="inlineStr">
        <is>
          <t>Chillers x6 (water-cooled)</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10</v>
      </c>
      <c r="U5636" s="15" t="n">
        <v>32</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J-C-0010</t>
        </is>
      </c>
      <c r="B5637" s="12" t="inlineStr">
        <is>
          <t>J</t>
        </is>
      </c>
      <c r="C5637" s="12" t="inlineStr">
        <is>
          <t>GT inlet chilling</t>
        </is>
      </c>
      <c r="D5637" s="12" t="inlineStr">
        <is>
          <t>Motor 6 of 6: control / local station</t>
        </is>
      </c>
      <c r="E5637" s="12" t="inlineStr"/>
      <c r="F5637" s="12" t="inlineStr">
        <is>
          <t>Inlet-chilling e-house / transformer</t>
        </is>
      </c>
      <c r="G5637" s="12" t="inlineStr"/>
      <c r="H5637" s="12" t="inlineStr">
        <is>
          <t>Chillers x6 (water-cooled)</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10</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J-C-0011</t>
        </is>
      </c>
      <c r="B5638" s="12" t="inlineStr">
        <is>
          <t>J</t>
        </is>
      </c>
      <c r="C5638" s="12" t="inlineStr">
        <is>
          <t>GT inlet chilling</t>
        </is>
      </c>
      <c r="D5638" s="12" t="inlineStr">
        <is>
          <t>Control</t>
        </is>
      </c>
      <c r="E5638" s="12" t="inlineStr"/>
      <c r="F5638" s="12" t="inlineStr">
        <is>
          <t>Inlet-chilling e-house / transformer</t>
        </is>
      </c>
      <c r="G5638" s="12" t="inlineStr"/>
      <c r="H5638" s="12" t="inlineStr">
        <is>
          <t>Inlet-chilling e-house / transformer</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Tray</t>
        </is>
      </c>
      <c r="T5638" s="15" t="n">
        <v>0</v>
      </c>
      <c r="U5638" s="15" t="n">
        <v>32</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J-C-0012</t>
        </is>
      </c>
      <c r="B5639" s="12" t="inlineStr">
        <is>
          <t>J</t>
        </is>
      </c>
      <c r="C5639" s="12" t="inlineStr">
        <is>
          <t>GT inlet chilling</t>
        </is>
      </c>
      <c r="D5639" s="12" t="inlineStr">
        <is>
          <t>Control</t>
        </is>
      </c>
      <c r="E5639" s="12" t="inlineStr"/>
      <c r="F5639" s="12" t="inlineStr">
        <is>
          <t>Inlet-chilling e-house / transformer</t>
        </is>
      </c>
      <c r="G5639" s="12" t="inlineStr"/>
      <c r="H5639" s="12" t="inlineStr">
        <is>
          <t>Inlet-chilling e-house / transformer</t>
        </is>
      </c>
      <c r="I5639" s="12" t="inlineStr">
        <is>
          <t>Control</t>
        </is>
      </c>
      <c r="J5639" s="12" t="inlineStr">
        <is>
          <t>Control cable 600 V Type TC-ER, Cu #14 AWG, PVC jacket</t>
        </is>
      </c>
      <c r="K5639" s="12" t="inlineStr">
        <is>
          <t>CT|12/C|14</t>
        </is>
      </c>
      <c r="L5639" s="12" t="inlineStr">
        <is>
          <t>12/C</t>
        </is>
      </c>
      <c r="M5639" s="12" t="inlineStr">
        <is>
          <t>14</t>
        </is>
      </c>
      <c r="N5639" s="12" t="n">
        <v>1</v>
      </c>
      <c r="O5639" s="12" t="n">
        <v>1</v>
      </c>
      <c r="P5639" s="12" t="n"/>
      <c r="Q5639" s="12" t="n"/>
      <c r="R5639" s="12" t="n"/>
      <c r="S5639" s="12" t="inlineStr">
        <is>
          <t>Tray</t>
        </is>
      </c>
      <c r="T5639" s="15" t="n">
        <v>0</v>
      </c>
      <c r="U5639" s="15" t="n">
        <v>32</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J-C-0013</t>
        </is>
      </c>
      <c r="B5640" s="12" t="inlineStr">
        <is>
          <t>J</t>
        </is>
      </c>
      <c r="C5640" s="12" t="inlineStr">
        <is>
          <t>GT inlet chilling</t>
        </is>
      </c>
      <c r="D5640" s="12" t="inlineStr">
        <is>
          <t>CT / VT</t>
        </is>
      </c>
      <c r="E5640" s="12" t="inlineStr"/>
      <c r="F5640" s="12" t="inlineStr">
        <is>
          <t>Inlet-chilling e-house / transformer</t>
        </is>
      </c>
      <c r="G5640" s="12" t="inlineStr"/>
      <c r="H5640" s="12" t="inlineStr">
        <is>
          <t>Inlet-chilling e-house / transformer</t>
        </is>
      </c>
      <c r="I5640" s="12" t="inlineStr">
        <is>
          <t>Control</t>
        </is>
      </c>
      <c r="J5640" s="12" t="inlineStr">
        <is>
          <t>Control cable 600 V Type TC-ER, Cu #10 AWG (CT / VT circuits)</t>
        </is>
      </c>
      <c r="K5640" s="12" t="inlineStr">
        <is>
          <t>CTCT|4/C|10</t>
        </is>
      </c>
      <c r="L5640" s="12" t="inlineStr">
        <is>
          <t>4/C</t>
        </is>
      </c>
      <c r="M5640" s="12" t="inlineStr">
        <is>
          <t>10</t>
        </is>
      </c>
      <c r="N5640" s="12" t="n">
        <v>1</v>
      </c>
      <c r="O5640" s="12" t="n">
        <v>1</v>
      </c>
      <c r="P5640" s="12" t="n"/>
      <c r="Q5640" s="12" t="n"/>
      <c r="R5640" s="12" t="n"/>
      <c r="S5640" s="12" t="inlineStr">
        <is>
          <t>Tray</t>
        </is>
      </c>
      <c r="T5640" s="15" t="n">
        <v>0</v>
      </c>
      <c r="U5640" s="15" t="n">
        <v>32</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J-C-0014</t>
        </is>
      </c>
      <c r="B5641" s="12" t="inlineStr">
        <is>
          <t>J</t>
        </is>
      </c>
      <c r="C5641" s="12" t="inlineStr">
        <is>
          <t>GT inlet chilling</t>
        </is>
      </c>
      <c r="D5641" s="12" t="inlineStr">
        <is>
          <t>CT / VT</t>
        </is>
      </c>
      <c r="E5641" s="12" t="inlineStr"/>
      <c r="F5641" s="12" t="inlineStr">
        <is>
          <t>Inlet-chilling e-house / transformer</t>
        </is>
      </c>
      <c r="G5641" s="12" t="inlineStr"/>
      <c r="H5641" s="12" t="inlineStr">
        <is>
          <t>Inlet-chilling e-house / transformer</t>
        </is>
      </c>
      <c r="I5641" s="12" t="inlineStr">
        <is>
          <t>Control</t>
        </is>
      </c>
      <c r="J5641" s="12" t="inlineStr">
        <is>
          <t>Control cable 600 V Type TC-ER, Cu #10 AWG (CT / VT circuits)</t>
        </is>
      </c>
      <c r="K5641" s="12" t="inlineStr">
        <is>
          <t>CTCT|4/C|10</t>
        </is>
      </c>
      <c r="L5641" s="12" t="inlineStr">
        <is>
          <t>4/C</t>
        </is>
      </c>
      <c r="M5641" s="12" t="inlineStr">
        <is>
          <t>10</t>
        </is>
      </c>
      <c r="N5641" s="12" t="n">
        <v>1</v>
      </c>
      <c r="O5641" s="12" t="n">
        <v>1</v>
      </c>
      <c r="P5641" s="12" t="n"/>
      <c r="Q5641" s="12" t="n"/>
      <c r="R5641" s="12" t="n"/>
      <c r="S5641" s="12" t="inlineStr">
        <is>
          <t>Tray</t>
        </is>
      </c>
      <c r="T5641" s="15" t="n">
        <v>0</v>
      </c>
      <c r="U5641" s="15" t="n">
        <v>32</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J-C-0015</t>
        </is>
      </c>
      <c r="B5642" s="12" t="inlineStr">
        <is>
          <t>J</t>
        </is>
      </c>
      <c r="C5642" s="12" t="inlineStr">
        <is>
          <t>GT inlet chilling</t>
        </is>
      </c>
      <c r="D5642" s="12" t="inlineStr">
        <is>
          <t>Motor 1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J-C-0016</t>
        </is>
      </c>
      <c r="B5643" s="12" t="inlineStr">
        <is>
          <t>J</t>
        </is>
      </c>
      <c r="C5643" s="12" t="inlineStr">
        <is>
          <t>GT inlet chilling</t>
        </is>
      </c>
      <c r="D5643" s="12" t="inlineStr">
        <is>
          <t>Motor 2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J-C-0017</t>
        </is>
      </c>
      <c r="B5644" s="12" t="inlineStr">
        <is>
          <t>J</t>
        </is>
      </c>
      <c r="C5644" s="12" t="inlineStr">
        <is>
          <t>GT inlet chilling</t>
        </is>
      </c>
      <c r="D5644" s="12" t="inlineStr">
        <is>
          <t>Motor 3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J-C-0018</t>
        </is>
      </c>
      <c r="B5645" s="12" t="inlineStr">
        <is>
          <t>J</t>
        </is>
      </c>
      <c r="C5645" s="12" t="inlineStr">
        <is>
          <t>GT inlet chilling</t>
        </is>
      </c>
      <c r="D5645" s="12" t="inlineStr">
        <is>
          <t>Motor 4 of 12: control / local station</t>
        </is>
      </c>
      <c r="E5645" s="12" t="inlineStr"/>
      <c r="F5645" s="12" t="inlineStr">
        <is>
          <t>Inlet-chilling e-house / transformer</t>
        </is>
      </c>
      <c r="G5645" s="12" t="inlineStr"/>
      <c r="H5645" s="12" t="inlineStr">
        <is>
          <t>Inlet-chilling tower (12 cells): chiller heat rejection</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478</v>
      </c>
      <c r="U5645" s="15" t="n">
        <v>38</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J-C-0019</t>
        </is>
      </c>
      <c r="B5646" s="12" t="inlineStr">
        <is>
          <t>J</t>
        </is>
      </c>
      <c r="C5646" s="12" t="inlineStr">
        <is>
          <t>GT inlet chilling</t>
        </is>
      </c>
      <c r="D5646" s="12" t="inlineStr">
        <is>
          <t>Motor 5 of 12: control / local station</t>
        </is>
      </c>
      <c r="E5646" s="12" t="inlineStr"/>
      <c r="F5646" s="12" t="inlineStr">
        <is>
          <t>Inlet-chilling e-house / transformer</t>
        </is>
      </c>
      <c r="G5646" s="12" t="inlineStr"/>
      <c r="H5646" s="12" t="inlineStr">
        <is>
          <t>Inlet-chilling tower (12 cells): chiller heat rejection</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478</v>
      </c>
      <c r="U5646" s="15" t="n">
        <v>38</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J-C-0020</t>
        </is>
      </c>
      <c r="B5647" s="12" t="inlineStr">
        <is>
          <t>J</t>
        </is>
      </c>
      <c r="C5647" s="12" t="inlineStr">
        <is>
          <t>GT inlet chilling</t>
        </is>
      </c>
      <c r="D5647" s="12" t="inlineStr">
        <is>
          <t>Motor 6 of 12: control / local station</t>
        </is>
      </c>
      <c r="E5647" s="12" t="inlineStr"/>
      <c r="F5647" s="12" t="inlineStr">
        <is>
          <t>Inlet-chilling e-house / transformer</t>
        </is>
      </c>
      <c r="G5647" s="12" t="inlineStr"/>
      <c r="H5647" s="12" t="inlineStr">
        <is>
          <t>Inlet-chilling tower (12 cells): chiller heat rejection</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478</v>
      </c>
      <c r="U5647" s="15" t="n">
        <v>38</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J-C-0021</t>
        </is>
      </c>
      <c r="B5648" s="12" t="inlineStr">
        <is>
          <t>J</t>
        </is>
      </c>
      <c r="C5648" s="12" t="inlineStr">
        <is>
          <t>GT inlet chilling</t>
        </is>
      </c>
      <c r="D5648" s="12" t="inlineStr">
        <is>
          <t>Motor 7 of 12: control / local station</t>
        </is>
      </c>
      <c r="E5648" s="12" t="inlineStr"/>
      <c r="F5648" s="12" t="inlineStr">
        <is>
          <t>Inlet-chilling e-house / transformer</t>
        </is>
      </c>
      <c r="G5648" s="12" t="inlineStr"/>
      <c r="H5648" s="12" t="inlineStr">
        <is>
          <t>Inlet-chilling tower (12 cells): chiller heat rejection</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478</v>
      </c>
      <c r="U5648" s="15" t="n">
        <v>38</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J-C-0022</t>
        </is>
      </c>
      <c r="B5649" s="12" t="inlineStr">
        <is>
          <t>J</t>
        </is>
      </c>
      <c r="C5649" s="12" t="inlineStr">
        <is>
          <t>GT inlet chilling</t>
        </is>
      </c>
      <c r="D5649" s="12" t="inlineStr">
        <is>
          <t>Motor 8 of 12: control / local station</t>
        </is>
      </c>
      <c r="E5649" s="12" t="inlineStr"/>
      <c r="F5649" s="12" t="inlineStr">
        <is>
          <t>Inlet-chilling e-house / transformer</t>
        </is>
      </c>
      <c r="G5649" s="12" t="inlineStr"/>
      <c r="H5649" s="12" t="inlineStr">
        <is>
          <t>Inlet-chilling tower (12 cells): chiller heat rejection</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478</v>
      </c>
      <c r="U5649" s="15" t="n">
        <v>38</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J-C-0023</t>
        </is>
      </c>
      <c r="B5650" s="12" t="inlineStr">
        <is>
          <t>J</t>
        </is>
      </c>
      <c r="C5650" s="12" t="inlineStr">
        <is>
          <t>GT inlet chilling</t>
        </is>
      </c>
      <c r="D5650" s="12" t="inlineStr">
        <is>
          <t>Motor 9 of 12: control / local station</t>
        </is>
      </c>
      <c r="E5650" s="12" t="inlineStr"/>
      <c r="F5650" s="12" t="inlineStr">
        <is>
          <t>Inlet-chilling e-house / transformer</t>
        </is>
      </c>
      <c r="G5650" s="12" t="inlineStr"/>
      <c r="H5650" s="12" t="inlineStr">
        <is>
          <t>Inlet-chilling tower (12 cells): chiller heat rejection</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Duct bank</t>
        </is>
      </c>
      <c r="T5650" s="15" t="n">
        <v>478</v>
      </c>
      <c r="U5650" s="15" t="n">
        <v>38</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J-C-0024</t>
        </is>
      </c>
      <c r="B5651" s="12" t="inlineStr">
        <is>
          <t>J</t>
        </is>
      </c>
      <c r="C5651" s="12" t="inlineStr">
        <is>
          <t>GT inlet chilling</t>
        </is>
      </c>
      <c r="D5651" s="12" t="inlineStr">
        <is>
          <t>Motor 10 of 12: control / local station</t>
        </is>
      </c>
      <c r="E5651" s="12" t="inlineStr"/>
      <c r="F5651" s="12" t="inlineStr">
        <is>
          <t>Inlet-chilling e-house / transformer</t>
        </is>
      </c>
      <c r="G5651" s="12" t="inlineStr"/>
      <c r="H5651" s="12" t="inlineStr">
        <is>
          <t>Inlet-chilling tower (12 cells): chiller heat rejection</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Duct bank</t>
        </is>
      </c>
      <c r="T5651" s="15" t="n">
        <v>478</v>
      </c>
      <c r="U5651" s="15" t="n">
        <v>38</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J-C-0025</t>
        </is>
      </c>
      <c r="B5652" s="12" t="inlineStr">
        <is>
          <t>J</t>
        </is>
      </c>
      <c r="C5652" s="12" t="inlineStr">
        <is>
          <t>GT inlet chilling</t>
        </is>
      </c>
      <c r="D5652" s="12" t="inlineStr">
        <is>
          <t>Motor 11 of 12: control / local station</t>
        </is>
      </c>
      <c r="E5652" s="12" t="inlineStr"/>
      <c r="F5652" s="12" t="inlineStr">
        <is>
          <t>Inlet-chilling e-house / transformer</t>
        </is>
      </c>
      <c r="G5652" s="12" t="inlineStr"/>
      <c r="H5652" s="12" t="inlineStr">
        <is>
          <t>Inlet-chilling tower (12 cells): chiller heat rejection</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Duct bank</t>
        </is>
      </c>
      <c r="T5652" s="15" t="n">
        <v>478</v>
      </c>
      <c r="U5652" s="15" t="n">
        <v>38</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J-C-0026</t>
        </is>
      </c>
      <c r="B5653" s="12" t="inlineStr">
        <is>
          <t>J</t>
        </is>
      </c>
      <c r="C5653" s="12" t="inlineStr">
        <is>
          <t>GT inlet chilling</t>
        </is>
      </c>
      <c r="D5653" s="12" t="inlineStr">
        <is>
          <t>Motor 12 of 12: control / local station</t>
        </is>
      </c>
      <c r="E5653" s="12" t="inlineStr"/>
      <c r="F5653" s="12" t="inlineStr">
        <is>
          <t>Inlet-chilling e-house / transformer</t>
        </is>
      </c>
      <c r="G5653" s="12" t="inlineStr"/>
      <c r="H5653" s="12" t="inlineStr">
        <is>
          <t>Inlet-chilling tower (12 cells): chiller heat rejection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Duct bank</t>
        </is>
      </c>
      <c r="T5653" s="15" t="n">
        <v>478</v>
      </c>
      <c r="U5653" s="15" t="n">
        <v>38</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J-I-0001</t>
        </is>
      </c>
      <c r="B5654" s="12" t="inlineStr">
        <is>
          <t>J</t>
        </is>
      </c>
      <c r="C5654" s="12" t="inlineStr">
        <is>
          <t>GT inlet chilling</t>
        </is>
      </c>
      <c r="D5654" s="12" t="inlineStr">
        <is>
          <t>Analog instrument to JB JB-CHW pumps-AI01: 12 x 1 pr (field cables)</t>
        </is>
      </c>
      <c r="E5654" s="12" t="inlineStr"/>
      <c r="F5654" s="12" t="inlineStr">
        <is>
          <t>CHW pumps</t>
        </is>
      </c>
      <c r="G5654" s="12" t="inlineStr">
        <is>
          <t>JB-CHW pumps-AI01</t>
        </is>
      </c>
      <c r="H5654" s="12" t="inlineStr">
        <is>
          <t>CHW pumps</t>
        </is>
      </c>
      <c r="I5654" s="12" t="inlineStr">
        <is>
          <t>Instrumentation</t>
        </is>
      </c>
      <c r="J5654" s="12" t="inlineStr">
        <is>
          <t>Instrumentation PLTC / TC-ER 300 V, #18 twisted shielded pairs, overall shield</t>
        </is>
      </c>
      <c r="K5654" s="12" t="inlineStr">
        <is>
          <t>PLTC|1 pr|16</t>
        </is>
      </c>
      <c r="L5654" s="12" t="inlineStr">
        <is>
          <t>1 pr</t>
        </is>
      </c>
      <c r="M5654" s="12" t="inlineStr">
        <is>
          <t>16</t>
        </is>
      </c>
      <c r="N5654" s="12" t="n">
        <v>12</v>
      </c>
      <c r="O5654" s="12" t="n">
        <v>1</v>
      </c>
      <c r="P5654" s="12" t="n"/>
      <c r="Q5654" s="12" t="n"/>
      <c r="R5654" s="12" t="n"/>
      <c r="S5654" s="12" t="inlineStr">
        <is>
          <t>Tray / conduit</t>
        </is>
      </c>
      <c r="T5654" s="15" t="n">
        <v>92</v>
      </c>
      <c r="U5654" s="15" t="n">
        <v>10</v>
      </c>
      <c r="V5654" s="15">
        <f>ROUNDUP((T5654+U5654+2*'Read Me'!$B$13)*(1+'Read Me'!$B$12),-1)</f>
        <v/>
      </c>
      <c r="W5654" s="15">
        <f>V5654*N5654*O5654</f>
        <v/>
      </c>
      <c r="X5654" s="12">
        <f>IF(LEFT(I5654,2)="MV",2*N5654*IF(L5654="1/C",O5654,1),0)</f>
        <v/>
      </c>
      <c r="Y5654" s="12">
        <f>IF(OR(LEFT(K5654,4)="LVAX",LEFT(K5654,6)="MV15AX",LEFT(K5654,4)="CTAX",LEFT(K5654,2)="W|"),2*N5654*O5654,0)</f>
        <v/>
      </c>
      <c r="Z5654" s="12" t="inlineStr">
        <is>
          <t>device-to-JB field wiring, one cable per device</t>
        </is>
      </c>
      <c r="AA5654" s="12">
        <f>N5654*O5654</f>
        <v/>
      </c>
    </row>
    <row r="5655">
      <c r="A5655" s="12" t="inlineStr">
        <is>
          <t>J-I-0002</t>
        </is>
      </c>
      <c r="B5655" s="12" t="inlineStr">
        <is>
          <t>J</t>
        </is>
      </c>
      <c r="C5655" s="12" t="inlineStr">
        <is>
          <t>GT inlet chilling</t>
        </is>
      </c>
      <c r="D5655" s="12" t="inlineStr">
        <is>
          <t>Home run JB-CHW pumps-AI01 to the control / marshalling room</t>
        </is>
      </c>
      <c r="E5655" s="12" t="inlineStr"/>
      <c r="F5655" s="12" t="inlineStr">
        <is>
          <t>Inlet-chilling e-house / transformer</t>
        </is>
      </c>
      <c r="G5655" s="12" t="inlineStr">
        <is>
          <t>JB-CHW pumps-AI01</t>
        </is>
      </c>
      <c r="H5655" s="12" t="inlineStr">
        <is>
          <t>CHW pumps</t>
        </is>
      </c>
      <c r="I5655" s="12" t="inlineStr">
        <is>
          <t>Instrumentation</t>
        </is>
      </c>
      <c r="J5655" s="12" t="inlineStr">
        <is>
          <t>Instrumentation PLTC / TC-ER 300 V, #18 twisted shielded pairs, overall shield</t>
        </is>
      </c>
      <c r="K5655" s="12" t="inlineStr">
        <is>
          <t>PLTC|24 pr|18</t>
        </is>
      </c>
      <c r="L5655" s="12" t="inlineStr">
        <is>
          <t>24 pr</t>
        </is>
      </c>
      <c r="M5655" s="12" t="inlineStr">
        <is>
          <t>18</t>
        </is>
      </c>
      <c r="N5655" s="12" t="n">
        <v>1</v>
      </c>
      <c r="O5655" s="12" t="n">
        <v>1</v>
      </c>
      <c r="P5655" s="12" t="n"/>
      <c r="Q5655" s="12" t="n"/>
      <c r="R5655" s="12" t="n"/>
      <c r="S5655" s="12" t="inlineStr">
        <is>
          <t>Duct bank</t>
        </is>
      </c>
      <c r="T5655" s="15" t="n">
        <v>579</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J-I-0003</t>
        </is>
      </c>
      <c r="B5656" s="12" t="inlineStr">
        <is>
          <t>J</t>
        </is>
      </c>
      <c r="C5656" s="12" t="inlineStr">
        <is>
          <t>GT inlet chilling</t>
        </is>
      </c>
      <c r="D5656" s="12" t="inlineStr">
        <is>
          <t>Discrete device to JB JB-CHW pumps-DI01: 12 x 1 pr (field cables)</t>
        </is>
      </c>
      <c r="E5656" s="12" t="inlineStr"/>
      <c r="F5656" s="12" t="inlineStr">
        <is>
          <t>CHW pumps</t>
        </is>
      </c>
      <c r="G5656" s="12" t="inlineStr">
        <is>
          <t>JB-CHW pumps-DI01</t>
        </is>
      </c>
      <c r="H5656" s="12" t="inlineStr">
        <is>
          <t>CHW pumps</t>
        </is>
      </c>
      <c r="I5656" s="12" t="inlineStr">
        <is>
          <t>Instrumentation</t>
        </is>
      </c>
      <c r="J5656" s="12" t="inlineStr">
        <is>
          <t>Instrumentation PLTC / TC-ER 300 V, #18 twisted shielded pairs, overall shield</t>
        </is>
      </c>
      <c r="K5656" s="12" t="inlineStr">
        <is>
          <t>PLTC|1 pr|16</t>
        </is>
      </c>
      <c r="L5656" s="12" t="inlineStr">
        <is>
          <t>1 pr</t>
        </is>
      </c>
      <c r="M5656" s="12" t="inlineStr">
        <is>
          <t>16</t>
        </is>
      </c>
      <c r="N5656" s="12" t="n">
        <v>12</v>
      </c>
      <c r="O5656" s="12" t="n">
        <v>1</v>
      </c>
      <c r="P5656" s="12" t="n"/>
      <c r="Q5656" s="12" t="n"/>
      <c r="R5656" s="12" t="n"/>
      <c r="S5656" s="12" t="inlineStr">
        <is>
          <t>Tray / conduit</t>
        </is>
      </c>
      <c r="T5656" s="15" t="n">
        <v>92</v>
      </c>
      <c r="U5656" s="15" t="n">
        <v>10</v>
      </c>
      <c r="V5656" s="15">
        <f>ROUNDUP((T5656+U5656+2*'Read Me'!$B$13)*(1+'Read Me'!$B$12),-1)</f>
        <v/>
      </c>
      <c r="W5656" s="15">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J-I-0004</t>
        </is>
      </c>
      <c r="B5657" s="12" t="inlineStr">
        <is>
          <t>J</t>
        </is>
      </c>
      <c r="C5657" s="12" t="inlineStr">
        <is>
          <t>GT inlet chilling</t>
        </is>
      </c>
      <c r="D5657" s="12" t="inlineStr">
        <is>
          <t>Home run JB-CHW pumps-DI01 to the control / marshalling room</t>
        </is>
      </c>
      <c r="E5657" s="12" t="inlineStr"/>
      <c r="F5657" s="12" t="inlineStr">
        <is>
          <t>Inlet-chilling e-house / transformer</t>
        </is>
      </c>
      <c r="G5657" s="12" t="inlineStr">
        <is>
          <t>JB-CHW pumps-DI01</t>
        </is>
      </c>
      <c r="H5657" s="12" t="inlineStr">
        <is>
          <t>CHW pumps</t>
        </is>
      </c>
      <c r="I5657" s="12" t="inlineStr">
        <is>
          <t>Instrumentation</t>
        </is>
      </c>
      <c r="J5657" s="12" t="inlineStr">
        <is>
          <t>Instrumentation PLTC / TC-ER 300 V, #18 twisted shielded pairs, overall shield</t>
        </is>
      </c>
      <c r="K5657" s="12" t="inlineStr">
        <is>
          <t>PLTC|24 pr|18</t>
        </is>
      </c>
      <c r="L5657" s="12" t="inlineStr">
        <is>
          <t>24 pr</t>
        </is>
      </c>
      <c r="M5657" s="12" t="inlineStr">
        <is>
          <t>18</t>
        </is>
      </c>
      <c r="N5657" s="12" t="n">
        <v>1</v>
      </c>
      <c r="O5657" s="12" t="n">
        <v>1</v>
      </c>
      <c r="P5657" s="12" t="n"/>
      <c r="Q5657" s="12" t="n"/>
      <c r="R5657" s="12" t="n"/>
      <c r="S5657" s="12" t="inlineStr">
        <is>
          <t>Duct bank</t>
        </is>
      </c>
      <c r="T5657" s="15" t="n">
        <v>579</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J-I-0005</t>
        </is>
      </c>
      <c r="B5658" s="12" t="inlineStr">
        <is>
          <t>J</t>
        </is>
      </c>
      <c r="C5658" s="12" t="inlineStr">
        <is>
          <t>GT inlet chilling</t>
        </is>
      </c>
      <c r="D5658" s="12" t="inlineStr">
        <is>
          <t>Analog instrument to JB JB-CONDITIONAL: TES c-AI01: 4 x 1 pr (field cables)</t>
        </is>
      </c>
      <c r="E5658" s="12" t="inlineStr"/>
      <c r="F5658" s="12" t="inlineStr">
        <is>
          <t>CONDITIONAL: TES chilled-water tank</t>
        </is>
      </c>
      <c r="G5658" s="12" t="inlineStr">
        <is>
          <t>JB-CONDITIONAL: TES c-AI01</t>
        </is>
      </c>
      <c r="H5658" s="12" t="inlineStr">
        <is>
          <t>CONDITIONAL: TES chilled-water tank</t>
        </is>
      </c>
      <c r="I5658" s="12" t="inlineStr">
        <is>
          <t>Instrumentation</t>
        </is>
      </c>
      <c r="J5658" s="12" t="inlineStr">
        <is>
          <t>Instrumentation PLTC / TC-ER 300 V, #18 twisted shielded pairs, overall shield</t>
        </is>
      </c>
      <c r="K5658" s="12" t="inlineStr">
        <is>
          <t>PLTC|1 pr|16</t>
        </is>
      </c>
      <c r="L5658" s="12" t="inlineStr">
        <is>
          <t>1 pr</t>
        </is>
      </c>
      <c r="M5658" s="12" t="inlineStr">
        <is>
          <t>16</t>
        </is>
      </c>
      <c r="N5658" s="12" t="n">
        <v>4</v>
      </c>
      <c r="O5658" s="12" t="n">
        <v>1</v>
      </c>
      <c r="P5658" s="12" t="n"/>
      <c r="Q5658" s="12" t="n"/>
      <c r="R5658" s="12" t="n"/>
      <c r="S5658" s="12" t="inlineStr">
        <is>
          <t>Tray / conduit</t>
        </is>
      </c>
      <c r="T5658" s="15" t="n">
        <v>91</v>
      </c>
      <c r="U5658" s="15" t="n">
        <v>10</v>
      </c>
      <c r="V5658" s="15">
        <f>ROUNDUP((T5658+U5658+2*'Read Me'!$B$13)*(1+'Read Me'!$B$12),-1)</f>
        <v/>
      </c>
      <c r="W5658" s="15">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J-I-0006</t>
        </is>
      </c>
      <c r="B5659" s="12" t="inlineStr">
        <is>
          <t>J</t>
        </is>
      </c>
      <c r="C5659" s="12" t="inlineStr">
        <is>
          <t>GT inlet chilling</t>
        </is>
      </c>
      <c r="D5659" s="12" t="inlineStr">
        <is>
          <t>Home run JB-CONDITIONAL: TES c-AI01 to the control / marshalling room</t>
        </is>
      </c>
      <c r="E5659" s="12" t="inlineStr"/>
      <c r="F5659" s="12" t="inlineStr">
        <is>
          <t>Inlet-chilling e-house / transformer</t>
        </is>
      </c>
      <c r="G5659" s="12" t="inlineStr">
        <is>
          <t>JB-CONDITIONAL: TES c-AI01</t>
        </is>
      </c>
      <c r="H5659" s="12" t="inlineStr">
        <is>
          <t>CONDITIONAL: TES chilled-water tank</t>
        </is>
      </c>
      <c r="I5659" s="12" t="inlineStr">
        <is>
          <t>Instrumentation</t>
        </is>
      </c>
      <c r="J5659" s="12" t="inlineStr">
        <is>
          <t>Instrumentation PLTC / TC-ER 300 V, #18 twisted shielded pairs, overall shield</t>
        </is>
      </c>
      <c r="K5659" s="12" t="inlineStr">
        <is>
          <t>PLTC|24 pr|18</t>
        </is>
      </c>
      <c r="L5659" s="12" t="inlineStr">
        <is>
          <t>24 pr</t>
        </is>
      </c>
      <c r="M5659" s="12" t="inlineStr">
        <is>
          <t>18</t>
        </is>
      </c>
      <c r="N5659" s="12" t="n">
        <v>1</v>
      </c>
      <c r="O5659" s="12" t="n">
        <v>1</v>
      </c>
      <c r="P5659" s="12" t="n"/>
      <c r="Q5659" s="12" t="n"/>
      <c r="R5659" s="12" t="n"/>
      <c r="S5659" s="12" t="inlineStr">
        <is>
          <t>Duct bank</t>
        </is>
      </c>
      <c r="T5659" s="15" t="n">
        <v>271</v>
      </c>
      <c r="U5659" s="15" t="n">
        <v>217</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J-I-0007</t>
        </is>
      </c>
      <c r="B5660" s="12" t="inlineStr">
        <is>
          <t>J</t>
        </is>
      </c>
      <c r="C5660" s="12" t="inlineStr">
        <is>
          <t>GT inlet chilling</t>
        </is>
      </c>
      <c r="D5660" s="12" t="inlineStr">
        <is>
          <t>Discrete device to JB JB-CONDITIONAL: TES c-DI01: 4 x 1 pr (field cables)</t>
        </is>
      </c>
      <c r="E5660" s="12" t="inlineStr"/>
      <c r="F5660" s="12" t="inlineStr">
        <is>
          <t>CONDITIONAL: TES chilled-water tank</t>
        </is>
      </c>
      <c r="G5660" s="12" t="inlineStr">
        <is>
          <t>JB-CONDITIONAL: TES c-DI01</t>
        </is>
      </c>
      <c r="H5660" s="12" t="inlineStr">
        <is>
          <t>CONDITIONAL: TES chilled-water tank</t>
        </is>
      </c>
      <c r="I5660" s="12" t="inlineStr">
        <is>
          <t>Instrumentation</t>
        </is>
      </c>
      <c r="J5660" s="12" t="inlineStr">
        <is>
          <t>Instrumentation PLTC / TC-ER 300 V, #18 twisted shielded pairs, overall shield</t>
        </is>
      </c>
      <c r="K5660" s="12" t="inlineStr">
        <is>
          <t>PLTC|1 pr|16</t>
        </is>
      </c>
      <c r="L5660" s="12" t="inlineStr">
        <is>
          <t>1 pr</t>
        </is>
      </c>
      <c r="M5660" s="12" t="inlineStr">
        <is>
          <t>16</t>
        </is>
      </c>
      <c r="N5660" s="12" t="n">
        <v>4</v>
      </c>
      <c r="O5660" s="12" t="n">
        <v>1</v>
      </c>
      <c r="P5660" s="12" t="n"/>
      <c r="Q5660" s="12" t="n"/>
      <c r="R5660" s="12" t="n"/>
      <c r="S5660" s="12" t="inlineStr">
        <is>
          <t>Tray / conduit</t>
        </is>
      </c>
      <c r="T5660" s="15" t="n">
        <v>91</v>
      </c>
      <c r="U5660" s="15" t="n">
        <v>10</v>
      </c>
      <c r="V5660" s="15">
        <f>ROUNDUP((T5660+U5660+2*'Read Me'!$B$13)*(1+'Read Me'!$B$12),-1)</f>
        <v/>
      </c>
      <c r="W5660" s="15">
        <f>V5660*N5660*O5660</f>
        <v/>
      </c>
      <c r="X5660" s="12">
        <f>IF(LEFT(I5660,2)="MV",2*N5660*IF(L5660="1/C",O5660,1),0)</f>
        <v/>
      </c>
      <c r="Y5660" s="12">
        <f>IF(OR(LEFT(K5660,4)="LVAX",LEFT(K5660,6)="MV15AX",LEFT(K5660,4)="CTAX",LEFT(K5660,2)="W|"),2*N5660*O5660,0)</f>
        <v/>
      </c>
      <c r="Z5660" s="12" t="inlineStr">
        <is>
          <t>device-to-JB field wiring, one cable per device</t>
        </is>
      </c>
      <c r="AA5660" s="12">
        <f>N5660*O5660</f>
        <v/>
      </c>
    </row>
    <row r="5661">
      <c r="A5661" s="12" t="inlineStr">
        <is>
          <t>J-I-0008</t>
        </is>
      </c>
      <c r="B5661" s="12" t="inlineStr">
        <is>
          <t>J</t>
        </is>
      </c>
      <c r="C5661" s="12" t="inlineStr">
        <is>
          <t>GT inlet chilling</t>
        </is>
      </c>
      <c r="D5661" s="12" t="inlineStr">
        <is>
          <t>Home run JB-CONDITIONAL: TES c-DI01 to the control / marshalling room</t>
        </is>
      </c>
      <c r="E5661" s="12" t="inlineStr"/>
      <c r="F5661" s="12" t="inlineStr">
        <is>
          <t>Inlet-chilling e-house / transformer</t>
        </is>
      </c>
      <c r="G5661" s="12" t="inlineStr">
        <is>
          <t>JB-CONDITIONAL: TES c-DI01</t>
        </is>
      </c>
      <c r="H5661" s="12" t="inlineStr">
        <is>
          <t>CONDITIONAL: TES chilled-water tank</t>
        </is>
      </c>
      <c r="I5661" s="12" t="inlineStr">
        <is>
          <t>Instrumentation</t>
        </is>
      </c>
      <c r="J5661" s="12" t="inlineStr">
        <is>
          <t>Instrumentation PLTC / TC-ER 300 V, #18 twisted shielded pairs, overall shield</t>
        </is>
      </c>
      <c r="K5661" s="12" t="inlineStr">
        <is>
          <t>PLTC|24 pr|18</t>
        </is>
      </c>
      <c r="L5661" s="12" t="inlineStr">
        <is>
          <t>24 pr</t>
        </is>
      </c>
      <c r="M5661" s="12" t="inlineStr">
        <is>
          <t>18</t>
        </is>
      </c>
      <c r="N5661" s="12" t="n">
        <v>1</v>
      </c>
      <c r="O5661" s="12" t="n">
        <v>1</v>
      </c>
      <c r="P5661" s="12" t="n"/>
      <c r="Q5661" s="12" t="n"/>
      <c r="R5661" s="12" t="n"/>
      <c r="S5661" s="12" t="inlineStr">
        <is>
          <t>Duct bank</t>
        </is>
      </c>
      <c r="T5661" s="15" t="n">
        <v>271</v>
      </c>
      <c r="U5661" s="15" t="n">
        <v>217</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J-I-0009</t>
        </is>
      </c>
      <c r="B5662" s="12" t="inlineStr">
        <is>
          <t>J</t>
        </is>
      </c>
      <c r="C5662" s="12" t="inlineStr">
        <is>
          <t>GT inlet chilling</t>
        </is>
      </c>
      <c r="D5662" s="12" t="inlineStr">
        <is>
          <t>Analog instrument to JB JB-CW pumps (inlet ch-AI01: 20 x 1 pr (field cables)</t>
        </is>
      </c>
      <c r="E5662" s="12" t="inlineStr"/>
      <c r="F5662" s="12" t="inlineStr">
        <is>
          <t>CW pumps (inlet chilling)</t>
        </is>
      </c>
      <c r="G5662" s="12" t="inlineStr">
        <is>
          <t>JB-CW pumps (inlet ch-AI01</t>
        </is>
      </c>
      <c r="H5662" s="12" t="inlineStr">
        <is>
          <t>CW pumps (inlet chilling)</t>
        </is>
      </c>
      <c r="I5662" s="12" t="inlineStr">
        <is>
          <t>Instrumentation</t>
        </is>
      </c>
      <c r="J5662" s="12" t="inlineStr">
        <is>
          <t>Instrumentation PLTC / TC-ER 300 V, #18 twisted shielded pairs, overall shield</t>
        </is>
      </c>
      <c r="K5662" s="12" t="inlineStr">
        <is>
          <t>PLTC|1 pr|16</t>
        </is>
      </c>
      <c r="L5662" s="12" t="inlineStr">
        <is>
          <t>1 pr</t>
        </is>
      </c>
      <c r="M5662" s="12" t="inlineStr">
        <is>
          <t>16</t>
        </is>
      </c>
      <c r="N5662" s="12" t="n">
        <v>20</v>
      </c>
      <c r="O5662" s="12" t="n">
        <v>1</v>
      </c>
      <c r="P5662" s="12" t="n"/>
      <c r="Q5662" s="12" t="n"/>
      <c r="R5662" s="12" t="n"/>
      <c r="S5662" s="12" t="inlineStr">
        <is>
          <t>Tray / conduit</t>
        </is>
      </c>
      <c r="T5662" s="15" t="n">
        <v>92</v>
      </c>
      <c r="U5662" s="15" t="n">
        <v>10</v>
      </c>
      <c r="V5662" s="15">
        <f>ROUNDUP((T5662+U5662+2*'Read Me'!$B$13)*(1+'Read Me'!$B$12),-1)</f>
        <v/>
      </c>
      <c r="W5662" s="15">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J-I-0010</t>
        </is>
      </c>
      <c r="B5663" s="12" t="inlineStr">
        <is>
          <t>J</t>
        </is>
      </c>
      <c r="C5663" s="12" t="inlineStr">
        <is>
          <t>GT inlet chilling</t>
        </is>
      </c>
      <c r="D5663" s="12" t="inlineStr">
        <is>
          <t>Home run JB-CW pumps (inlet ch-AI01 to the control / marshalling room</t>
        </is>
      </c>
      <c r="E5663" s="12" t="inlineStr"/>
      <c r="F5663" s="12" t="inlineStr">
        <is>
          <t>Inlet-chilling e-house / transformer</t>
        </is>
      </c>
      <c r="G5663" s="12" t="inlineStr">
        <is>
          <t>JB-CW pumps (inlet ch-AI01</t>
        </is>
      </c>
      <c r="H5663" s="12" t="inlineStr">
        <is>
          <t>CW pumps (inlet chilling)</t>
        </is>
      </c>
      <c r="I5663" s="12" t="inlineStr">
        <is>
          <t>Instrumentation</t>
        </is>
      </c>
      <c r="J5663" s="12" t="inlineStr">
        <is>
          <t>Instrumentation PLTC / TC-ER 300 V, #18 twisted shielded pairs, overall shield</t>
        </is>
      </c>
      <c r="K5663" s="12" t="inlineStr">
        <is>
          <t>PLTC|24 pr|18</t>
        </is>
      </c>
      <c r="L5663" s="12" t="inlineStr">
        <is>
          <t>24 pr</t>
        </is>
      </c>
      <c r="M5663" s="12" t="inlineStr">
        <is>
          <t>18</t>
        </is>
      </c>
      <c r="N5663" s="12" t="n">
        <v>1</v>
      </c>
      <c r="O5663" s="12" t="n">
        <v>1</v>
      </c>
      <c r="P5663" s="12" t="n"/>
      <c r="Q5663" s="12" t="n"/>
      <c r="R5663" s="12" t="n"/>
      <c r="S5663" s="12" t="inlineStr">
        <is>
          <t>Tray</t>
        </is>
      </c>
      <c r="T5663" s="15" t="n">
        <v>0</v>
      </c>
      <c r="U5663" s="15" t="n">
        <v>70</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J-I-0011</t>
        </is>
      </c>
      <c r="B5664" s="12" t="inlineStr">
        <is>
          <t>J</t>
        </is>
      </c>
      <c r="C5664" s="12" t="inlineStr">
        <is>
          <t>GT inlet chilling</t>
        </is>
      </c>
      <c r="D5664" s="12" t="inlineStr">
        <is>
          <t>Analog instrument to JB JB-CW pumps (inlet ch-AI02: 4 x 1 pr (field cables)</t>
        </is>
      </c>
      <c r="E5664" s="12" t="inlineStr"/>
      <c r="F5664" s="12" t="inlineStr">
        <is>
          <t>CW pumps (inlet chilling)</t>
        </is>
      </c>
      <c r="G5664" s="12" t="inlineStr">
        <is>
          <t>JB-CW pumps (inlet ch-AI02</t>
        </is>
      </c>
      <c r="H5664" s="12" t="inlineStr">
        <is>
          <t>CW pumps (inlet chilling)</t>
        </is>
      </c>
      <c r="I5664" s="12" t="inlineStr">
        <is>
          <t>Instrumentation</t>
        </is>
      </c>
      <c r="J5664" s="12" t="inlineStr">
        <is>
          <t>Instrumentation PLTC / TC-ER 300 V, #18 twisted shielded pairs, overall shield</t>
        </is>
      </c>
      <c r="K5664" s="12" t="inlineStr">
        <is>
          <t>PLTC|1 pr|16</t>
        </is>
      </c>
      <c r="L5664" s="12" t="inlineStr">
        <is>
          <t>1 pr</t>
        </is>
      </c>
      <c r="M5664" s="12" t="inlineStr">
        <is>
          <t>16</t>
        </is>
      </c>
      <c r="N5664" s="12" t="n">
        <v>4</v>
      </c>
      <c r="O5664" s="12" t="n">
        <v>1</v>
      </c>
      <c r="P5664" s="12" t="n"/>
      <c r="Q5664" s="12" t="n"/>
      <c r="R5664" s="12" t="n"/>
      <c r="S5664" s="12" t="inlineStr">
        <is>
          <t>Tray / conduit</t>
        </is>
      </c>
      <c r="T5664" s="15" t="n">
        <v>92</v>
      </c>
      <c r="U5664" s="15" t="n">
        <v>10</v>
      </c>
      <c r="V5664" s="15">
        <f>ROUNDUP((T5664+U5664+2*'Read Me'!$B$13)*(1+'Read Me'!$B$12),-1)</f>
        <v/>
      </c>
      <c r="W5664" s="15">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J-I-0012</t>
        </is>
      </c>
      <c r="B5665" s="12" t="inlineStr">
        <is>
          <t>J</t>
        </is>
      </c>
      <c r="C5665" s="12" t="inlineStr">
        <is>
          <t>GT inlet chilling</t>
        </is>
      </c>
      <c r="D5665" s="12" t="inlineStr">
        <is>
          <t>Home run JB-CW pumps (inlet ch-AI02 to the control / marshalling room</t>
        </is>
      </c>
      <c r="E5665" s="12" t="inlineStr"/>
      <c r="F5665" s="12" t="inlineStr">
        <is>
          <t>Inlet-chilling e-house / transformer</t>
        </is>
      </c>
      <c r="G5665" s="12" t="inlineStr">
        <is>
          <t>JB-CW pumps (inlet ch-AI02</t>
        </is>
      </c>
      <c r="H5665" s="12" t="inlineStr">
        <is>
          <t>CW pumps (inlet chilling)</t>
        </is>
      </c>
      <c r="I5665" s="12" t="inlineStr">
        <is>
          <t>Instrumentation</t>
        </is>
      </c>
      <c r="J5665" s="12" t="inlineStr">
        <is>
          <t>Instrumentation PLTC / TC-ER 300 V, #18 twisted shielded pairs, overall shield</t>
        </is>
      </c>
      <c r="K5665" s="12" t="inlineStr">
        <is>
          <t>PLTC|24 pr|18</t>
        </is>
      </c>
      <c r="L5665" s="12" t="inlineStr">
        <is>
          <t>24 pr</t>
        </is>
      </c>
      <c r="M5665" s="12" t="inlineStr">
        <is>
          <t>18</t>
        </is>
      </c>
      <c r="N5665" s="12" t="n">
        <v>1</v>
      </c>
      <c r="O5665" s="12" t="n">
        <v>1</v>
      </c>
      <c r="P5665" s="12" t="n"/>
      <c r="Q5665" s="12" t="n"/>
      <c r="R5665" s="12" t="n"/>
      <c r="S5665" s="12" t="inlineStr">
        <is>
          <t>Tray</t>
        </is>
      </c>
      <c r="T5665" s="15" t="n">
        <v>0</v>
      </c>
      <c r="U5665" s="15" t="n">
        <v>70</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J-I-0013</t>
        </is>
      </c>
      <c r="B5666" s="12" t="inlineStr">
        <is>
          <t>J</t>
        </is>
      </c>
      <c r="C5666" s="12" t="inlineStr">
        <is>
          <t>GT inlet chilling</t>
        </is>
      </c>
      <c r="D5666" s="12" t="inlineStr">
        <is>
          <t>Discrete device to JB JB-CW pumps (inlet ch-DI01: 20 x 1 pr (field cables)</t>
        </is>
      </c>
      <c r="E5666" s="12" t="inlineStr"/>
      <c r="F5666" s="12" t="inlineStr">
        <is>
          <t>CW pumps (inlet chilling)</t>
        </is>
      </c>
      <c r="G5666" s="12" t="inlineStr">
        <is>
          <t>JB-CW pumps (inlet ch-DI01</t>
        </is>
      </c>
      <c r="H5666" s="12" t="inlineStr">
        <is>
          <t>CW pumps (inlet chilling)</t>
        </is>
      </c>
      <c r="I5666" s="12" t="inlineStr">
        <is>
          <t>Instrumentation</t>
        </is>
      </c>
      <c r="J5666" s="12" t="inlineStr">
        <is>
          <t>Instrumentation PLTC / TC-ER 300 V, #18 twisted shielded pairs, overall shield</t>
        </is>
      </c>
      <c r="K5666" s="12" t="inlineStr">
        <is>
          <t>PLTC|1 pr|16</t>
        </is>
      </c>
      <c r="L5666" s="12" t="inlineStr">
        <is>
          <t>1 pr</t>
        </is>
      </c>
      <c r="M5666" s="12" t="inlineStr">
        <is>
          <t>16</t>
        </is>
      </c>
      <c r="N5666" s="12" t="n">
        <v>20</v>
      </c>
      <c r="O5666" s="12" t="n">
        <v>1</v>
      </c>
      <c r="P5666" s="12" t="n"/>
      <c r="Q5666" s="12" t="n"/>
      <c r="R5666" s="12" t="n"/>
      <c r="S5666" s="12" t="inlineStr">
        <is>
          <t>Tray / conduit</t>
        </is>
      </c>
      <c r="T5666" s="15" t="n">
        <v>92</v>
      </c>
      <c r="U5666" s="15" t="n">
        <v>10</v>
      </c>
      <c r="V5666" s="15">
        <f>ROUNDUP((T5666+U5666+2*'Read Me'!$B$13)*(1+'Read Me'!$B$12),-1)</f>
        <v/>
      </c>
      <c r="W5666" s="15">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J-I-0014</t>
        </is>
      </c>
      <c r="B5667" s="12" t="inlineStr">
        <is>
          <t>J</t>
        </is>
      </c>
      <c r="C5667" s="12" t="inlineStr">
        <is>
          <t>GT inlet chilling</t>
        </is>
      </c>
      <c r="D5667" s="12" t="inlineStr">
        <is>
          <t>Home run JB-CW pumps (inlet ch-DI01 to the control / marshalling room</t>
        </is>
      </c>
      <c r="E5667" s="12" t="inlineStr"/>
      <c r="F5667" s="12" t="inlineStr">
        <is>
          <t>Inlet-chilling e-house / transformer</t>
        </is>
      </c>
      <c r="G5667" s="12" t="inlineStr">
        <is>
          <t>JB-CW pumps (inlet ch-DI01</t>
        </is>
      </c>
      <c r="H5667" s="12" t="inlineStr">
        <is>
          <t>CW pumps (inlet chilling)</t>
        </is>
      </c>
      <c r="I5667" s="12" t="inlineStr">
        <is>
          <t>Instrumentation</t>
        </is>
      </c>
      <c r="J5667" s="12" t="inlineStr">
        <is>
          <t>Instrumentation PLTC / TC-ER 300 V, #18 twisted shielded pairs, overall shield</t>
        </is>
      </c>
      <c r="K5667" s="12" t="inlineStr">
        <is>
          <t>PLTC|24 pr|18</t>
        </is>
      </c>
      <c r="L5667" s="12" t="inlineStr">
        <is>
          <t>24 pr</t>
        </is>
      </c>
      <c r="M5667" s="12" t="inlineStr">
        <is>
          <t>18</t>
        </is>
      </c>
      <c r="N5667" s="12" t="n">
        <v>1</v>
      </c>
      <c r="O5667" s="12" t="n">
        <v>1</v>
      </c>
      <c r="P5667" s="12" t="n"/>
      <c r="Q5667" s="12" t="n"/>
      <c r="R5667" s="12" t="n"/>
      <c r="S5667" s="12" t="inlineStr">
        <is>
          <t>Tray</t>
        </is>
      </c>
      <c r="T5667" s="15" t="n">
        <v>0</v>
      </c>
      <c r="U5667" s="15" t="n">
        <v>70</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J-I-0015</t>
        </is>
      </c>
      <c r="B5668" s="12" t="inlineStr">
        <is>
          <t>J</t>
        </is>
      </c>
      <c r="C5668" s="12" t="inlineStr">
        <is>
          <t>GT inlet chilling</t>
        </is>
      </c>
      <c r="D5668" s="12" t="inlineStr">
        <is>
          <t>Discrete device to JB JB-CW pumps (inlet ch-DI02: 4 x 1 pr (field cables)</t>
        </is>
      </c>
      <c r="E5668" s="12" t="inlineStr"/>
      <c r="F5668" s="12" t="inlineStr">
        <is>
          <t>CW pumps (inlet chilling)</t>
        </is>
      </c>
      <c r="G5668" s="12" t="inlineStr">
        <is>
          <t>JB-CW pumps (inlet ch-DI02</t>
        </is>
      </c>
      <c r="H5668" s="12" t="inlineStr">
        <is>
          <t>CW pumps (inlet chilling)</t>
        </is>
      </c>
      <c r="I5668" s="12" t="inlineStr">
        <is>
          <t>Instrumentation</t>
        </is>
      </c>
      <c r="J5668" s="12" t="inlineStr">
        <is>
          <t>Instrumentation PLTC / TC-ER 300 V, #18 twisted shielded pairs, overall shield</t>
        </is>
      </c>
      <c r="K5668" s="12" t="inlineStr">
        <is>
          <t>PLTC|1 pr|16</t>
        </is>
      </c>
      <c r="L5668" s="12" t="inlineStr">
        <is>
          <t>1 pr</t>
        </is>
      </c>
      <c r="M5668" s="12" t="inlineStr">
        <is>
          <t>16</t>
        </is>
      </c>
      <c r="N5668" s="12" t="n">
        <v>4</v>
      </c>
      <c r="O5668" s="12" t="n">
        <v>1</v>
      </c>
      <c r="P5668" s="12" t="n"/>
      <c r="Q5668" s="12" t="n"/>
      <c r="R5668" s="12" t="n"/>
      <c r="S5668" s="12" t="inlineStr">
        <is>
          <t>Tray / conduit</t>
        </is>
      </c>
      <c r="T5668" s="15" t="n">
        <v>92</v>
      </c>
      <c r="U5668" s="15" t="n">
        <v>10</v>
      </c>
      <c r="V5668" s="15">
        <f>ROUNDUP((T5668+U5668+2*'Read Me'!$B$13)*(1+'Read Me'!$B$12),-1)</f>
        <v/>
      </c>
      <c r="W5668" s="15">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J-I-0016</t>
        </is>
      </c>
      <c r="B5669" s="12" t="inlineStr">
        <is>
          <t>J</t>
        </is>
      </c>
      <c r="C5669" s="12" t="inlineStr">
        <is>
          <t>GT inlet chilling</t>
        </is>
      </c>
      <c r="D5669" s="12" t="inlineStr">
        <is>
          <t>Home run JB-CW pumps (inlet ch-DI02 to the control / marshalling room</t>
        </is>
      </c>
      <c r="E5669" s="12" t="inlineStr"/>
      <c r="F5669" s="12" t="inlineStr">
        <is>
          <t>Inlet-chilling e-house / transformer</t>
        </is>
      </c>
      <c r="G5669" s="12" t="inlineStr">
        <is>
          <t>JB-CW pumps (inlet ch-DI02</t>
        </is>
      </c>
      <c r="H5669" s="12" t="inlineStr">
        <is>
          <t>CW pumps (inlet chilling)</t>
        </is>
      </c>
      <c r="I5669" s="12" t="inlineStr">
        <is>
          <t>Instrumentation</t>
        </is>
      </c>
      <c r="J5669" s="12" t="inlineStr">
        <is>
          <t>Instrumentation PLTC / TC-ER 300 V, #18 twisted shielded pairs, overall shield</t>
        </is>
      </c>
      <c r="K5669" s="12" t="inlineStr">
        <is>
          <t>PLTC|24 pr|18</t>
        </is>
      </c>
      <c r="L5669" s="12" t="inlineStr">
        <is>
          <t>24 pr</t>
        </is>
      </c>
      <c r="M5669" s="12" t="inlineStr">
        <is>
          <t>18</t>
        </is>
      </c>
      <c r="N5669" s="12" t="n">
        <v>1</v>
      </c>
      <c r="O5669" s="12" t="n">
        <v>1</v>
      </c>
      <c r="P5669" s="12" t="n"/>
      <c r="Q5669" s="12" t="n"/>
      <c r="R5669" s="12" t="n"/>
      <c r="S5669" s="12" t="inlineStr">
        <is>
          <t>Tray</t>
        </is>
      </c>
      <c r="T5669" s="15" t="n">
        <v>0</v>
      </c>
      <c r="U5669" s="15" t="n">
        <v>70</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J-I-0017</t>
        </is>
      </c>
      <c r="B5670" s="12" t="inlineStr">
        <is>
          <t>J</t>
        </is>
      </c>
      <c r="C5670" s="12" t="inlineStr">
        <is>
          <t>GT inlet chilling</t>
        </is>
      </c>
      <c r="D5670" s="12" t="inlineStr">
        <is>
          <t>Analog instrument to JB JB-Chillers x6 (water-AI01: 20 x 1 pr (field cables)</t>
        </is>
      </c>
      <c r="E5670" s="12" t="inlineStr"/>
      <c r="F5670" s="12" t="inlineStr">
        <is>
          <t>Chillers x6 (water-cooled)</t>
        </is>
      </c>
      <c r="G5670" s="12" t="inlineStr">
        <is>
          <t>JB-Chillers x6 (water-AI01</t>
        </is>
      </c>
      <c r="H5670" s="12" t="inlineStr">
        <is>
          <t>Chillers x6 (water-cooled)</t>
        </is>
      </c>
      <c r="I5670" s="12" t="inlineStr">
        <is>
          <t>Instrumentation</t>
        </is>
      </c>
      <c r="J5670" s="12" t="inlineStr">
        <is>
          <t>Instrumentation PLTC / TC-ER 300 V, #18 twisted shielded pairs, overall shield</t>
        </is>
      </c>
      <c r="K5670" s="12" t="inlineStr">
        <is>
          <t>PLTC|1 pr|16</t>
        </is>
      </c>
      <c r="L5670" s="12" t="inlineStr">
        <is>
          <t>1 pr</t>
        </is>
      </c>
      <c r="M5670" s="12" t="inlineStr">
        <is>
          <t>16</t>
        </is>
      </c>
      <c r="N5670" s="12" t="n">
        <v>20</v>
      </c>
      <c r="O5670" s="12" t="n">
        <v>1</v>
      </c>
      <c r="P5670" s="12" t="n"/>
      <c r="Q5670" s="12" t="n"/>
      <c r="R5670" s="12" t="n"/>
      <c r="S5670" s="12" t="inlineStr">
        <is>
          <t>Tray / conduit</t>
        </is>
      </c>
      <c r="T5670" s="15" t="n">
        <v>190</v>
      </c>
      <c r="U5670" s="15" t="n">
        <v>10</v>
      </c>
      <c r="V5670" s="15">
        <f>ROUNDUP((T5670+U5670+2*'Read Me'!$B$13)*(1+'Read Me'!$B$12),-1)</f>
        <v/>
      </c>
      <c r="W5670" s="15">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J-I-0018</t>
        </is>
      </c>
      <c r="B5671" s="12" t="inlineStr">
        <is>
          <t>J</t>
        </is>
      </c>
      <c r="C5671" s="12" t="inlineStr">
        <is>
          <t>GT inlet chilling</t>
        </is>
      </c>
      <c r="D5671" s="12" t="inlineStr">
        <is>
          <t>Home run JB-Chillers x6 (water-AI01 to the control / marshalling room</t>
        </is>
      </c>
      <c r="E5671" s="12" t="inlineStr"/>
      <c r="F5671" s="12" t="inlineStr">
        <is>
          <t>Inlet-chilling e-house / transformer</t>
        </is>
      </c>
      <c r="G5671" s="12" t="inlineStr">
        <is>
          <t>JB-Chillers x6 (water-AI01</t>
        </is>
      </c>
      <c r="H5671" s="12" t="inlineStr">
        <is>
          <t>Chillers x6 (water-cooled)</t>
        </is>
      </c>
      <c r="I5671" s="12" t="inlineStr">
        <is>
          <t>Instrumentation</t>
        </is>
      </c>
      <c r="J5671" s="12" t="inlineStr">
        <is>
          <t>Instrumentation PLTC / TC-ER 300 V, #18 twisted shielded pairs, overall shield</t>
        </is>
      </c>
      <c r="K5671" s="12" t="inlineStr">
        <is>
          <t>PLTC|24 pr|18</t>
        </is>
      </c>
      <c r="L5671" s="12" t="inlineStr">
        <is>
          <t>24 pr</t>
        </is>
      </c>
      <c r="M5671" s="12" t="inlineStr">
        <is>
          <t>18</t>
        </is>
      </c>
      <c r="N5671" s="12" t="n">
        <v>1</v>
      </c>
      <c r="O5671" s="12" t="n">
        <v>1</v>
      </c>
      <c r="P5671" s="12" t="n"/>
      <c r="Q5671" s="12" t="n"/>
      <c r="R5671" s="12" t="n"/>
      <c r="S5671" s="12" t="inlineStr">
        <is>
          <t>Duct bank</t>
        </is>
      </c>
      <c r="T5671" s="15" t="n">
        <v>10</v>
      </c>
      <c r="U5671" s="15" t="n">
        <v>32</v>
      </c>
      <c r="V5671" s="15">
        <f>ROUNDUP((T5671+U5671+2*'Read Me'!$B$13)*(1+'Read Me'!$B$12),-1)</f>
        <v/>
      </c>
      <c r="W5671" s="15">
        <f>V5671*N5671*O5671</f>
        <v/>
      </c>
      <c r="X5671" s="12">
        <f>IF(LEFT(I5671,2)="MV",2*N5671*IF(L5671="1/C",O5671,1),0)</f>
        <v/>
      </c>
      <c r="Y5671" s="12">
        <f>IF(OR(LEFT(K5671,4)="LVAX",LEFT(K5671,6)="MV15AX",LEFT(K5671,4)="CTAX",LEFT(K5671,2)="W|"),2*N5671*O5671,0)</f>
        <v/>
      </c>
      <c r="Z5671" s="12" t="inlineStr"/>
      <c r="AA5671" s="12">
        <f>N5671*O5671</f>
        <v/>
      </c>
    </row>
    <row r="5672">
      <c r="A5672" s="12" t="inlineStr">
        <is>
          <t>J-I-0019</t>
        </is>
      </c>
      <c r="B5672" s="12" t="inlineStr">
        <is>
          <t>J</t>
        </is>
      </c>
      <c r="C5672" s="12" t="inlineStr">
        <is>
          <t>GT inlet chilling</t>
        </is>
      </c>
      <c r="D5672" s="12" t="inlineStr">
        <is>
          <t>Analog instrument to JB JB-Chillers x6 (water-AI02: 20 x 1 pr (field cables)</t>
        </is>
      </c>
      <c r="E5672" s="12" t="inlineStr"/>
      <c r="F5672" s="12" t="inlineStr">
        <is>
          <t>Chillers x6 (water-cooled)</t>
        </is>
      </c>
      <c r="G5672" s="12" t="inlineStr">
        <is>
          <t>JB-Chillers x6 (water-AI02</t>
        </is>
      </c>
      <c r="H5672" s="12" t="inlineStr">
        <is>
          <t>Chillers x6 (water-cooled)</t>
        </is>
      </c>
      <c r="I5672" s="12" t="inlineStr">
        <is>
          <t>Instrumentation</t>
        </is>
      </c>
      <c r="J5672" s="12" t="inlineStr">
        <is>
          <t>Instrumentation PLTC / TC-ER 300 V, #18 twisted shielded pairs, overall shield</t>
        </is>
      </c>
      <c r="K5672" s="12" t="inlineStr">
        <is>
          <t>PLTC|1 pr|16</t>
        </is>
      </c>
      <c r="L5672" s="12" t="inlineStr">
        <is>
          <t>1 pr</t>
        </is>
      </c>
      <c r="M5672" s="12" t="inlineStr">
        <is>
          <t>16</t>
        </is>
      </c>
      <c r="N5672" s="12" t="n">
        <v>20</v>
      </c>
      <c r="O5672" s="12" t="n">
        <v>1</v>
      </c>
      <c r="P5672" s="12" t="n"/>
      <c r="Q5672" s="12" t="n"/>
      <c r="R5672" s="12" t="n"/>
      <c r="S5672" s="12" t="inlineStr">
        <is>
          <t>Tray / conduit</t>
        </is>
      </c>
      <c r="T5672" s="15" t="n">
        <v>190</v>
      </c>
      <c r="U5672" s="15" t="n">
        <v>10</v>
      </c>
      <c r="V5672" s="15">
        <f>ROUNDUP((T5672+U5672+2*'Read Me'!$B$13)*(1+'Read Me'!$B$12),-1)</f>
        <v/>
      </c>
      <c r="W5672" s="15">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J-I-0020</t>
        </is>
      </c>
      <c r="B5673" s="12" t="inlineStr">
        <is>
          <t>J</t>
        </is>
      </c>
      <c r="C5673" s="12" t="inlineStr">
        <is>
          <t>GT inlet chilling</t>
        </is>
      </c>
      <c r="D5673" s="12" t="inlineStr">
        <is>
          <t>Home run JB-Chillers x6 (water-AI02 to the control / marshalling room</t>
        </is>
      </c>
      <c r="E5673" s="12" t="inlineStr"/>
      <c r="F5673" s="12" t="inlineStr">
        <is>
          <t>Inlet-chilling e-house / transformer</t>
        </is>
      </c>
      <c r="G5673" s="12" t="inlineStr">
        <is>
          <t>JB-Chillers x6 (water-AI02</t>
        </is>
      </c>
      <c r="H5673" s="12" t="inlineStr">
        <is>
          <t>Chillers x6 (water-cooled)</t>
        </is>
      </c>
      <c r="I5673" s="12" t="inlineStr">
        <is>
          <t>Instrumentation</t>
        </is>
      </c>
      <c r="J5673" s="12" t="inlineStr">
        <is>
          <t>Instrumentation PLTC / TC-ER 300 V, #18 twisted shielded pairs, overall shield</t>
        </is>
      </c>
      <c r="K5673" s="12" t="inlineStr">
        <is>
          <t>PLTC|24 pr|18</t>
        </is>
      </c>
      <c r="L5673" s="12" t="inlineStr">
        <is>
          <t>24 pr</t>
        </is>
      </c>
      <c r="M5673" s="12" t="inlineStr">
        <is>
          <t>18</t>
        </is>
      </c>
      <c r="N5673" s="12" t="n">
        <v>1</v>
      </c>
      <c r="O5673" s="12" t="n">
        <v>1</v>
      </c>
      <c r="P5673" s="12" t="n"/>
      <c r="Q5673" s="12" t="n"/>
      <c r="R5673" s="12" t="n"/>
      <c r="S5673" s="12" t="inlineStr">
        <is>
          <t>Duct bank</t>
        </is>
      </c>
      <c r="T5673" s="15" t="n">
        <v>10</v>
      </c>
      <c r="U5673" s="15" t="n">
        <v>32</v>
      </c>
      <c r="V5673" s="15">
        <f>ROUNDUP((T5673+U5673+2*'Read Me'!$B$13)*(1+'Read Me'!$B$12),-1)</f>
        <v/>
      </c>
      <c r="W5673" s="15">
        <f>V5673*N5673*O5673</f>
        <v/>
      </c>
      <c r="X5673" s="12">
        <f>IF(LEFT(I5673,2)="MV",2*N5673*IF(L5673="1/C",O5673,1),0)</f>
        <v/>
      </c>
      <c r="Y5673" s="12">
        <f>IF(OR(LEFT(K5673,4)="LVAX",LEFT(K5673,6)="MV15AX",LEFT(K5673,4)="CTAX",LEFT(K5673,2)="W|"),2*N5673*O5673,0)</f>
        <v/>
      </c>
      <c r="Z5673" s="12" t="inlineStr"/>
      <c r="AA5673" s="12">
        <f>N5673*O5673</f>
        <v/>
      </c>
    </row>
    <row r="5674">
      <c r="A5674" s="12" t="inlineStr">
        <is>
          <t>J-I-0021</t>
        </is>
      </c>
      <c r="B5674" s="12" t="inlineStr">
        <is>
          <t>J</t>
        </is>
      </c>
      <c r="C5674" s="12" t="inlineStr">
        <is>
          <t>GT inlet chilling</t>
        </is>
      </c>
      <c r="D5674" s="12" t="inlineStr">
        <is>
          <t>Analog instrument to JB JB-Chillers x6 (water-AI03: 20 x 1 pr (field cables)</t>
        </is>
      </c>
      <c r="E5674" s="12" t="inlineStr"/>
      <c r="F5674" s="12" t="inlineStr">
        <is>
          <t>Chillers x6 (water-cooled)</t>
        </is>
      </c>
      <c r="G5674" s="12" t="inlineStr">
        <is>
          <t>JB-Chillers x6 (water-AI03</t>
        </is>
      </c>
      <c r="H5674" s="12" t="inlineStr">
        <is>
          <t>Chillers x6 (water-cooled)</t>
        </is>
      </c>
      <c r="I5674" s="12" t="inlineStr">
        <is>
          <t>Instrumentation</t>
        </is>
      </c>
      <c r="J5674" s="12" t="inlineStr">
        <is>
          <t>Instrumentation PLTC / TC-ER 300 V, #18 twisted shielded pairs, overall shield</t>
        </is>
      </c>
      <c r="K5674" s="12" t="inlineStr">
        <is>
          <t>PLTC|1 pr|16</t>
        </is>
      </c>
      <c r="L5674" s="12" t="inlineStr">
        <is>
          <t>1 pr</t>
        </is>
      </c>
      <c r="M5674" s="12" t="inlineStr">
        <is>
          <t>16</t>
        </is>
      </c>
      <c r="N5674" s="12" t="n">
        <v>20</v>
      </c>
      <c r="O5674" s="12" t="n">
        <v>1</v>
      </c>
      <c r="P5674" s="12" t="n"/>
      <c r="Q5674" s="12" t="n"/>
      <c r="R5674" s="12" t="n"/>
      <c r="S5674" s="12" t="inlineStr">
        <is>
          <t>Tray / conduit</t>
        </is>
      </c>
      <c r="T5674" s="15" t="n">
        <v>190</v>
      </c>
      <c r="U5674" s="15" t="n">
        <v>10</v>
      </c>
      <c r="V5674" s="15">
        <f>ROUNDUP((T5674+U5674+2*'Read Me'!$B$13)*(1+'Read Me'!$B$12),-1)</f>
        <v/>
      </c>
      <c r="W5674" s="15">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J-I-0022</t>
        </is>
      </c>
      <c r="B5675" s="12" t="inlineStr">
        <is>
          <t>J</t>
        </is>
      </c>
      <c r="C5675" s="12" t="inlineStr">
        <is>
          <t>GT inlet chilling</t>
        </is>
      </c>
      <c r="D5675" s="12" t="inlineStr">
        <is>
          <t>Home run JB-Chillers x6 (water-AI03 to the control / marshalling room</t>
        </is>
      </c>
      <c r="E5675" s="12" t="inlineStr"/>
      <c r="F5675" s="12" t="inlineStr">
        <is>
          <t>Inlet-chilling e-house / transformer</t>
        </is>
      </c>
      <c r="G5675" s="12" t="inlineStr">
        <is>
          <t>JB-Chillers x6 (water-AI03</t>
        </is>
      </c>
      <c r="H5675" s="12" t="inlineStr">
        <is>
          <t>Chillers x6 (water-cooled)</t>
        </is>
      </c>
      <c r="I5675" s="12" t="inlineStr">
        <is>
          <t>Instrumentation</t>
        </is>
      </c>
      <c r="J5675" s="12" t="inlineStr">
        <is>
          <t>Instrumentation PLTC / TC-ER 300 V, #18 twisted shielded pairs, overall shield</t>
        </is>
      </c>
      <c r="K5675" s="12" t="inlineStr">
        <is>
          <t>PLTC|24 pr|18</t>
        </is>
      </c>
      <c r="L5675" s="12" t="inlineStr">
        <is>
          <t>24 pr</t>
        </is>
      </c>
      <c r="M5675" s="12" t="inlineStr">
        <is>
          <t>18</t>
        </is>
      </c>
      <c r="N5675" s="12" t="n">
        <v>1</v>
      </c>
      <c r="O5675" s="12" t="n">
        <v>1</v>
      </c>
      <c r="P5675" s="12" t="n"/>
      <c r="Q5675" s="12" t="n"/>
      <c r="R5675" s="12" t="n"/>
      <c r="S5675" s="12" t="inlineStr">
        <is>
          <t>Duct bank</t>
        </is>
      </c>
      <c r="T5675" s="15" t="n">
        <v>10</v>
      </c>
      <c r="U5675" s="15" t="n">
        <v>32</v>
      </c>
      <c r="V5675" s="15">
        <f>ROUNDUP((T5675+U5675+2*'Read Me'!$B$13)*(1+'Read Me'!$B$12),-1)</f>
        <v/>
      </c>
      <c r="W5675" s="15">
        <f>V5675*N5675*O5675</f>
        <v/>
      </c>
      <c r="X5675" s="12">
        <f>IF(LEFT(I5675,2)="MV",2*N5675*IF(L5675="1/C",O5675,1),0)</f>
        <v/>
      </c>
      <c r="Y5675" s="12">
        <f>IF(OR(LEFT(K5675,4)="LVAX",LEFT(K5675,6)="MV15AX",LEFT(K5675,4)="CTAX",LEFT(K5675,2)="W|"),2*N5675*O5675,0)</f>
        <v/>
      </c>
      <c r="Z5675" s="12" t="inlineStr"/>
      <c r="AA5675" s="12">
        <f>N5675*O5675</f>
        <v/>
      </c>
    </row>
    <row r="5676">
      <c r="A5676" s="12" t="inlineStr">
        <is>
          <t>J-I-0023</t>
        </is>
      </c>
      <c r="B5676" s="12" t="inlineStr">
        <is>
          <t>J</t>
        </is>
      </c>
      <c r="C5676" s="12" t="inlineStr">
        <is>
          <t>GT inlet chilling</t>
        </is>
      </c>
      <c r="D5676" s="12" t="inlineStr">
        <is>
          <t>Analog instrument to JB JB-Chillers x6 (water-AI04: 20 x 1 pr (field cables)</t>
        </is>
      </c>
      <c r="E5676" s="12" t="inlineStr"/>
      <c r="F5676" s="12" t="inlineStr">
        <is>
          <t>Chillers x6 (water-cooled)</t>
        </is>
      </c>
      <c r="G5676" s="12" t="inlineStr">
        <is>
          <t>JB-Chillers x6 (water-AI04</t>
        </is>
      </c>
      <c r="H5676" s="12" t="inlineStr">
        <is>
          <t>Chillers x6 (water-cooled)</t>
        </is>
      </c>
      <c r="I5676" s="12" t="inlineStr">
        <is>
          <t>Instrumentation</t>
        </is>
      </c>
      <c r="J5676" s="12" t="inlineStr">
        <is>
          <t>Instrumentation PLTC / TC-ER 300 V, #18 twisted shielded pairs, overall shield</t>
        </is>
      </c>
      <c r="K5676" s="12" t="inlineStr">
        <is>
          <t>PLTC|1 pr|16</t>
        </is>
      </c>
      <c r="L5676" s="12" t="inlineStr">
        <is>
          <t>1 pr</t>
        </is>
      </c>
      <c r="M5676" s="12" t="inlineStr">
        <is>
          <t>16</t>
        </is>
      </c>
      <c r="N5676" s="12" t="n">
        <v>20</v>
      </c>
      <c r="O5676" s="12" t="n">
        <v>1</v>
      </c>
      <c r="P5676" s="12" t="n"/>
      <c r="Q5676" s="12" t="n"/>
      <c r="R5676" s="12" t="n"/>
      <c r="S5676" s="12" t="inlineStr">
        <is>
          <t>Tray / conduit</t>
        </is>
      </c>
      <c r="T5676" s="15" t="n">
        <v>190</v>
      </c>
      <c r="U5676" s="15" t="n">
        <v>10</v>
      </c>
      <c r="V5676" s="15">
        <f>ROUNDUP((T5676+U5676+2*'Read Me'!$B$13)*(1+'Read Me'!$B$12),-1)</f>
        <v/>
      </c>
      <c r="W5676" s="15">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J-I-0024</t>
        </is>
      </c>
      <c r="B5677" s="12" t="inlineStr">
        <is>
          <t>J</t>
        </is>
      </c>
      <c r="C5677" s="12" t="inlineStr">
        <is>
          <t>GT inlet chilling</t>
        </is>
      </c>
      <c r="D5677" s="12" t="inlineStr">
        <is>
          <t>Home run JB-Chillers x6 (water-AI04 to the control / marshalling room</t>
        </is>
      </c>
      <c r="E5677" s="12" t="inlineStr"/>
      <c r="F5677" s="12" t="inlineStr">
        <is>
          <t>Inlet-chilling e-house / transformer</t>
        </is>
      </c>
      <c r="G5677" s="12" t="inlineStr">
        <is>
          <t>JB-Chillers x6 (water-AI04</t>
        </is>
      </c>
      <c r="H5677" s="12" t="inlineStr">
        <is>
          <t>Chillers x6 (water-cooled)</t>
        </is>
      </c>
      <c r="I5677" s="12" t="inlineStr">
        <is>
          <t>Instrumentation</t>
        </is>
      </c>
      <c r="J5677" s="12" t="inlineStr">
        <is>
          <t>Instrumentation PLTC / TC-ER 300 V, #18 twisted shielded pairs, overall shield</t>
        </is>
      </c>
      <c r="K5677" s="12" t="inlineStr">
        <is>
          <t>PLTC|24 pr|18</t>
        </is>
      </c>
      <c r="L5677" s="12" t="inlineStr">
        <is>
          <t>24 pr</t>
        </is>
      </c>
      <c r="M5677" s="12" t="inlineStr">
        <is>
          <t>18</t>
        </is>
      </c>
      <c r="N5677" s="12" t="n">
        <v>1</v>
      </c>
      <c r="O5677" s="12" t="n">
        <v>1</v>
      </c>
      <c r="P5677" s="12" t="n"/>
      <c r="Q5677" s="12" t="n"/>
      <c r="R5677" s="12" t="n"/>
      <c r="S5677" s="12" t="inlineStr">
        <is>
          <t>Duct bank</t>
        </is>
      </c>
      <c r="T5677" s="15" t="n">
        <v>10</v>
      </c>
      <c r="U5677" s="15" t="n">
        <v>32</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J-I-0025</t>
        </is>
      </c>
      <c r="B5678" s="12" t="inlineStr">
        <is>
          <t>J</t>
        </is>
      </c>
      <c r="C5678" s="12" t="inlineStr">
        <is>
          <t>GT inlet chilling</t>
        </is>
      </c>
      <c r="D5678" s="12" t="inlineStr">
        <is>
          <t>Analog instrument to JB JB-Chillers x6 (water-AI05: 20 x 1 pr (field cables)</t>
        </is>
      </c>
      <c r="E5678" s="12" t="inlineStr"/>
      <c r="F5678" s="12" t="inlineStr">
        <is>
          <t>Chillers x6 (water-cooled)</t>
        </is>
      </c>
      <c r="G5678" s="12" t="inlineStr">
        <is>
          <t>JB-Chillers x6 (water-AI05</t>
        </is>
      </c>
      <c r="H5678" s="12" t="inlineStr">
        <is>
          <t>Chillers x6 (water-cooled)</t>
        </is>
      </c>
      <c r="I5678" s="12" t="inlineStr">
        <is>
          <t>Instrumentation</t>
        </is>
      </c>
      <c r="J5678" s="12" t="inlineStr">
        <is>
          <t>Instrumentation PLTC / TC-ER 300 V, #18 twisted shielded pairs, overall shield</t>
        </is>
      </c>
      <c r="K5678" s="12" t="inlineStr">
        <is>
          <t>PLTC|1 pr|16</t>
        </is>
      </c>
      <c r="L5678" s="12" t="inlineStr">
        <is>
          <t>1 pr</t>
        </is>
      </c>
      <c r="M5678" s="12" t="inlineStr">
        <is>
          <t>16</t>
        </is>
      </c>
      <c r="N5678" s="12" t="n">
        <v>20</v>
      </c>
      <c r="O5678" s="12" t="n">
        <v>1</v>
      </c>
      <c r="P5678" s="12" t="n"/>
      <c r="Q5678" s="12" t="n"/>
      <c r="R5678" s="12" t="n"/>
      <c r="S5678" s="12" t="inlineStr">
        <is>
          <t>Tray / conduit</t>
        </is>
      </c>
      <c r="T5678" s="15" t="n">
        <v>190</v>
      </c>
      <c r="U5678" s="15" t="n">
        <v>10</v>
      </c>
      <c r="V5678" s="15">
        <f>ROUNDUP((T5678+U5678+2*'Read Me'!$B$13)*(1+'Read Me'!$B$12),-1)</f>
        <v/>
      </c>
      <c r="W5678" s="15">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J-I-0026</t>
        </is>
      </c>
      <c r="B5679" s="12" t="inlineStr">
        <is>
          <t>J</t>
        </is>
      </c>
      <c r="C5679" s="12" t="inlineStr">
        <is>
          <t>GT inlet chilling</t>
        </is>
      </c>
      <c r="D5679" s="12" t="inlineStr">
        <is>
          <t>Home run JB-Chillers x6 (water-AI05 to the control / marshalling room</t>
        </is>
      </c>
      <c r="E5679" s="12" t="inlineStr"/>
      <c r="F5679" s="12" t="inlineStr">
        <is>
          <t>Inlet-chilling e-house / transformer</t>
        </is>
      </c>
      <c r="G5679" s="12" t="inlineStr">
        <is>
          <t>JB-Chillers x6 (water-AI05</t>
        </is>
      </c>
      <c r="H5679" s="12" t="inlineStr">
        <is>
          <t>Chillers x6 (water-cooled)</t>
        </is>
      </c>
      <c r="I5679" s="12" t="inlineStr">
        <is>
          <t>Instrumentation</t>
        </is>
      </c>
      <c r="J5679" s="12" t="inlineStr">
        <is>
          <t>Instrumentation PLTC / TC-ER 300 V, #18 twisted shielded pairs, overall shield</t>
        </is>
      </c>
      <c r="K5679" s="12" t="inlineStr">
        <is>
          <t>PLTC|24 pr|18</t>
        </is>
      </c>
      <c r="L5679" s="12" t="inlineStr">
        <is>
          <t>24 pr</t>
        </is>
      </c>
      <c r="M5679" s="12" t="inlineStr">
        <is>
          <t>18</t>
        </is>
      </c>
      <c r="N5679" s="12" t="n">
        <v>1</v>
      </c>
      <c r="O5679" s="12" t="n">
        <v>1</v>
      </c>
      <c r="P5679" s="12" t="n"/>
      <c r="Q5679" s="12" t="n"/>
      <c r="R5679" s="12" t="n"/>
      <c r="S5679" s="12" t="inlineStr">
        <is>
          <t>Duct bank</t>
        </is>
      </c>
      <c r="T5679" s="15" t="n">
        <v>10</v>
      </c>
      <c r="U5679" s="15" t="n">
        <v>32</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J-I-0027</t>
        </is>
      </c>
      <c r="B5680" s="12" t="inlineStr">
        <is>
          <t>J</t>
        </is>
      </c>
      <c r="C5680" s="12" t="inlineStr">
        <is>
          <t>GT inlet chilling</t>
        </is>
      </c>
      <c r="D5680" s="12" t="inlineStr">
        <is>
          <t>Analog instrument to JB JB-Chillers x6 (water-AI06: 20 x 1 pr (field cables)</t>
        </is>
      </c>
      <c r="E5680" s="12" t="inlineStr"/>
      <c r="F5680" s="12" t="inlineStr">
        <is>
          <t>Chillers x6 (water-cooled)</t>
        </is>
      </c>
      <c r="G5680" s="12" t="inlineStr">
        <is>
          <t>JB-Chillers x6 (water-AI06</t>
        </is>
      </c>
      <c r="H5680" s="12" t="inlineStr">
        <is>
          <t>Chillers x6 (water-cooled)</t>
        </is>
      </c>
      <c r="I5680" s="12" t="inlineStr">
        <is>
          <t>Instrumentation</t>
        </is>
      </c>
      <c r="J5680" s="12" t="inlineStr">
        <is>
          <t>Instrumentation PLTC / TC-ER 300 V, #18 twisted shielded pairs, overall shield</t>
        </is>
      </c>
      <c r="K5680" s="12" t="inlineStr">
        <is>
          <t>PLTC|1 pr|16</t>
        </is>
      </c>
      <c r="L5680" s="12" t="inlineStr">
        <is>
          <t>1 pr</t>
        </is>
      </c>
      <c r="M5680" s="12" t="inlineStr">
        <is>
          <t>16</t>
        </is>
      </c>
      <c r="N5680" s="12" t="n">
        <v>20</v>
      </c>
      <c r="O5680" s="12" t="n">
        <v>1</v>
      </c>
      <c r="P5680" s="12" t="n"/>
      <c r="Q5680" s="12" t="n"/>
      <c r="R5680" s="12" t="n"/>
      <c r="S5680" s="12" t="inlineStr">
        <is>
          <t>Tray / conduit</t>
        </is>
      </c>
      <c r="T5680" s="15" t="n">
        <v>190</v>
      </c>
      <c r="U5680" s="15" t="n">
        <v>10</v>
      </c>
      <c r="V5680" s="15">
        <f>ROUNDUP((T5680+U5680+2*'Read Me'!$B$13)*(1+'Read Me'!$B$12),-1)</f>
        <v/>
      </c>
      <c r="W5680" s="15">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J-I-0028</t>
        </is>
      </c>
      <c r="B5681" s="12" t="inlineStr">
        <is>
          <t>J</t>
        </is>
      </c>
      <c r="C5681" s="12" t="inlineStr">
        <is>
          <t>GT inlet chilling</t>
        </is>
      </c>
      <c r="D5681" s="12" t="inlineStr">
        <is>
          <t>Home run JB-Chillers x6 (water-AI06 to the control / marshalling room</t>
        </is>
      </c>
      <c r="E5681" s="12" t="inlineStr"/>
      <c r="F5681" s="12" t="inlineStr">
        <is>
          <t>Inlet-chilling e-house / transformer</t>
        </is>
      </c>
      <c r="G5681" s="12" t="inlineStr">
        <is>
          <t>JB-Chillers x6 (water-AI06</t>
        </is>
      </c>
      <c r="H5681" s="12" t="inlineStr">
        <is>
          <t>Chillers x6 (water-cooled)</t>
        </is>
      </c>
      <c r="I5681" s="12" t="inlineStr">
        <is>
          <t>Instrumentation</t>
        </is>
      </c>
      <c r="J5681" s="12" t="inlineStr">
        <is>
          <t>Instrumentation PLTC / TC-ER 300 V, #18 twisted shielded pairs, overall shield</t>
        </is>
      </c>
      <c r="K5681" s="12" t="inlineStr">
        <is>
          <t>PLTC|24 pr|18</t>
        </is>
      </c>
      <c r="L5681" s="12" t="inlineStr">
        <is>
          <t>24 pr</t>
        </is>
      </c>
      <c r="M5681" s="12" t="inlineStr">
        <is>
          <t>18</t>
        </is>
      </c>
      <c r="N5681" s="12" t="n">
        <v>1</v>
      </c>
      <c r="O5681" s="12" t="n">
        <v>1</v>
      </c>
      <c r="P5681" s="12" t="n"/>
      <c r="Q5681" s="12" t="n"/>
      <c r="R5681" s="12" t="n"/>
      <c r="S5681" s="12" t="inlineStr">
        <is>
          <t>Duct bank</t>
        </is>
      </c>
      <c r="T5681" s="15" t="n">
        <v>10</v>
      </c>
      <c r="U5681" s="15" t="n">
        <v>32</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J-I-0029</t>
        </is>
      </c>
      <c r="B5682" s="12" t="inlineStr">
        <is>
          <t>J</t>
        </is>
      </c>
      <c r="C5682" s="12" t="inlineStr">
        <is>
          <t>GT inlet chilling</t>
        </is>
      </c>
      <c r="D5682" s="12" t="inlineStr">
        <is>
          <t>Discrete device to JB JB-Chillers x6 (water-DI01: 20 x 1 pr (field cables)</t>
        </is>
      </c>
      <c r="E5682" s="12" t="inlineStr"/>
      <c r="F5682" s="12" t="inlineStr">
        <is>
          <t>Chillers x6 (water-cooled)</t>
        </is>
      </c>
      <c r="G5682" s="12" t="inlineStr">
        <is>
          <t>JB-Chillers x6 (water-DI01</t>
        </is>
      </c>
      <c r="H5682" s="12" t="inlineStr">
        <is>
          <t>Chillers x6 (water-cooled)</t>
        </is>
      </c>
      <c r="I5682" s="12" t="inlineStr">
        <is>
          <t>Instrumentation</t>
        </is>
      </c>
      <c r="J5682" s="12" t="inlineStr">
        <is>
          <t>Instrumentation PLTC / TC-ER 300 V, #18 twisted shielded pairs, overall shield</t>
        </is>
      </c>
      <c r="K5682" s="12" t="inlineStr">
        <is>
          <t>PLTC|1 pr|16</t>
        </is>
      </c>
      <c r="L5682" s="12" t="inlineStr">
        <is>
          <t>1 pr</t>
        </is>
      </c>
      <c r="M5682" s="12" t="inlineStr">
        <is>
          <t>16</t>
        </is>
      </c>
      <c r="N5682" s="12" t="n">
        <v>20</v>
      </c>
      <c r="O5682" s="12" t="n">
        <v>1</v>
      </c>
      <c r="P5682" s="12" t="n"/>
      <c r="Q5682" s="12" t="n"/>
      <c r="R5682" s="12" t="n"/>
      <c r="S5682" s="12" t="inlineStr">
        <is>
          <t>Tray / conduit</t>
        </is>
      </c>
      <c r="T5682" s="15" t="n">
        <v>190</v>
      </c>
      <c r="U5682" s="15" t="n">
        <v>10</v>
      </c>
      <c r="V5682" s="15">
        <f>ROUNDUP((T5682+U5682+2*'Read Me'!$B$13)*(1+'Read Me'!$B$12),-1)</f>
        <v/>
      </c>
      <c r="W5682" s="15">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J-I-0030</t>
        </is>
      </c>
      <c r="B5683" s="12" t="inlineStr">
        <is>
          <t>J</t>
        </is>
      </c>
      <c r="C5683" s="12" t="inlineStr">
        <is>
          <t>GT inlet chilling</t>
        </is>
      </c>
      <c r="D5683" s="12" t="inlineStr">
        <is>
          <t>Home run JB-Chillers x6 (water-DI01 to the control / marshalling room</t>
        </is>
      </c>
      <c r="E5683" s="12" t="inlineStr"/>
      <c r="F5683" s="12" t="inlineStr">
        <is>
          <t>Inlet-chilling e-house / transformer</t>
        </is>
      </c>
      <c r="G5683" s="12" t="inlineStr">
        <is>
          <t>JB-Chillers x6 (water-DI01</t>
        </is>
      </c>
      <c r="H5683" s="12" t="inlineStr">
        <is>
          <t>Chillers x6 (water-cooled)</t>
        </is>
      </c>
      <c r="I5683" s="12" t="inlineStr">
        <is>
          <t>Instrumentation</t>
        </is>
      </c>
      <c r="J5683" s="12" t="inlineStr">
        <is>
          <t>Instrumentation PLTC / TC-ER 300 V, #18 twisted shielded pairs, overall shield</t>
        </is>
      </c>
      <c r="K5683" s="12" t="inlineStr">
        <is>
          <t>PLTC|24 pr|18</t>
        </is>
      </c>
      <c r="L5683" s="12" t="inlineStr">
        <is>
          <t>24 pr</t>
        </is>
      </c>
      <c r="M5683" s="12" t="inlineStr">
        <is>
          <t>18</t>
        </is>
      </c>
      <c r="N5683" s="12" t="n">
        <v>1</v>
      </c>
      <c r="O5683" s="12" t="n">
        <v>1</v>
      </c>
      <c r="P5683" s="12" t="n"/>
      <c r="Q5683" s="12" t="n"/>
      <c r="R5683" s="12" t="n"/>
      <c r="S5683" s="12" t="inlineStr">
        <is>
          <t>Duct bank</t>
        </is>
      </c>
      <c r="T5683" s="15" t="n">
        <v>10</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J-I-0031</t>
        </is>
      </c>
      <c r="B5684" s="12" t="inlineStr">
        <is>
          <t>J</t>
        </is>
      </c>
      <c r="C5684" s="12" t="inlineStr">
        <is>
          <t>GT inlet chilling</t>
        </is>
      </c>
      <c r="D5684" s="12" t="inlineStr">
        <is>
          <t>Discrete device to JB JB-Chillers x6 (water-DI02: 20 x 1 pr (field cables)</t>
        </is>
      </c>
      <c r="E5684" s="12" t="inlineStr"/>
      <c r="F5684" s="12" t="inlineStr">
        <is>
          <t>Chillers x6 (water-cooled)</t>
        </is>
      </c>
      <c r="G5684" s="12" t="inlineStr">
        <is>
          <t>JB-Chillers x6 (water-DI02</t>
        </is>
      </c>
      <c r="H5684" s="12" t="inlineStr">
        <is>
          <t>Chillers x6 (water-cooled)</t>
        </is>
      </c>
      <c r="I5684" s="12" t="inlineStr">
        <is>
          <t>Instrumentation</t>
        </is>
      </c>
      <c r="J5684" s="12" t="inlineStr">
        <is>
          <t>Instrumentation PLTC / TC-ER 300 V, #18 twisted shielded pairs, overall shield</t>
        </is>
      </c>
      <c r="K5684" s="12" t="inlineStr">
        <is>
          <t>PLTC|1 pr|16</t>
        </is>
      </c>
      <c r="L5684" s="12" t="inlineStr">
        <is>
          <t>1 pr</t>
        </is>
      </c>
      <c r="M5684" s="12" t="inlineStr">
        <is>
          <t>16</t>
        </is>
      </c>
      <c r="N5684" s="12" t="n">
        <v>20</v>
      </c>
      <c r="O5684" s="12" t="n">
        <v>1</v>
      </c>
      <c r="P5684" s="12" t="n"/>
      <c r="Q5684" s="12" t="n"/>
      <c r="R5684" s="12" t="n"/>
      <c r="S5684" s="12" t="inlineStr">
        <is>
          <t>Tray / conduit</t>
        </is>
      </c>
      <c r="T5684" s="15" t="n">
        <v>190</v>
      </c>
      <c r="U5684" s="15" t="n">
        <v>10</v>
      </c>
      <c r="V5684" s="15">
        <f>ROUNDUP((T5684+U5684+2*'Read Me'!$B$13)*(1+'Read Me'!$B$12),-1)</f>
        <v/>
      </c>
      <c r="W5684" s="15">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J-I-0032</t>
        </is>
      </c>
      <c r="B5685" s="12" t="inlineStr">
        <is>
          <t>J</t>
        </is>
      </c>
      <c r="C5685" s="12" t="inlineStr">
        <is>
          <t>GT inlet chilling</t>
        </is>
      </c>
      <c r="D5685" s="12" t="inlineStr">
        <is>
          <t>Home run JB-Chillers x6 (water-DI02 to the control / marshalling room</t>
        </is>
      </c>
      <c r="E5685" s="12" t="inlineStr"/>
      <c r="F5685" s="12" t="inlineStr">
        <is>
          <t>Inlet-chilling e-house / transformer</t>
        </is>
      </c>
      <c r="G5685" s="12" t="inlineStr">
        <is>
          <t>JB-Chillers x6 (water-DI02</t>
        </is>
      </c>
      <c r="H5685" s="12" t="inlineStr">
        <is>
          <t>Chillers x6 (water-cooled)</t>
        </is>
      </c>
      <c r="I5685" s="12" t="inlineStr">
        <is>
          <t>Instrumentation</t>
        </is>
      </c>
      <c r="J5685" s="12" t="inlineStr">
        <is>
          <t>Instrumentation PLTC / TC-ER 300 V, #18 twisted shielded pairs, overall shield</t>
        </is>
      </c>
      <c r="K5685" s="12" t="inlineStr">
        <is>
          <t>PLTC|24 pr|18</t>
        </is>
      </c>
      <c r="L5685" s="12" t="inlineStr">
        <is>
          <t>24 pr</t>
        </is>
      </c>
      <c r="M5685" s="12" t="inlineStr">
        <is>
          <t>18</t>
        </is>
      </c>
      <c r="N5685" s="12" t="n">
        <v>1</v>
      </c>
      <c r="O5685" s="12" t="n">
        <v>1</v>
      </c>
      <c r="P5685" s="12" t="n"/>
      <c r="Q5685" s="12" t="n"/>
      <c r="R5685" s="12" t="n"/>
      <c r="S5685" s="12" t="inlineStr">
        <is>
          <t>Duct bank</t>
        </is>
      </c>
      <c r="T5685" s="15" t="n">
        <v>10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J-I-0033</t>
        </is>
      </c>
      <c r="B5686" s="12" t="inlineStr">
        <is>
          <t>J</t>
        </is>
      </c>
      <c r="C5686" s="12" t="inlineStr">
        <is>
          <t>GT inlet chilling</t>
        </is>
      </c>
      <c r="D5686" s="12" t="inlineStr">
        <is>
          <t>Discrete device to JB JB-Chillers x6 (water-DI03: 20 x 1 pr (field cables)</t>
        </is>
      </c>
      <c r="E5686" s="12" t="inlineStr"/>
      <c r="F5686" s="12" t="inlineStr">
        <is>
          <t>Chillers x6 (water-cooled)</t>
        </is>
      </c>
      <c r="G5686" s="12" t="inlineStr">
        <is>
          <t>JB-Chillers x6 (water-DI03</t>
        </is>
      </c>
      <c r="H5686" s="12" t="inlineStr">
        <is>
          <t>Chillers x6 (water-cooled)</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20</v>
      </c>
      <c r="O5686" s="12" t="n">
        <v>1</v>
      </c>
      <c r="P5686" s="12" t="n"/>
      <c r="Q5686" s="12" t="n"/>
      <c r="R5686" s="12" t="n"/>
      <c r="S5686" s="12" t="inlineStr">
        <is>
          <t>Tray / conduit</t>
        </is>
      </c>
      <c r="T5686" s="15" t="n">
        <v>190</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J-I-0034</t>
        </is>
      </c>
      <c r="B5687" s="12" t="inlineStr">
        <is>
          <t>J</t>
        </is>
      </c>
      <c r="C5687" s="12" t="inlineStr">
        <is>
          <t>GT inlet chilling</t>
        </is>
      </c>
      <c r="D5687" s="12" t="inlineStr">
        <is>
          <t>Home run JB-Chillers x6 (water-DI03 to the control / marshalling room</t>
        </is>
      </c>
      <c r="E5687" s="12" t="inlineStr"/>
      <c r="F5687" s="12" t="inlineStr">
        <is>
          <t>Inlet-chilling e-house / transformer</t>
        </is>
      </c>
      <c r="G5687" s="12" t="inlineStr">
        <is>
          <t>JB-Chillers x6 (water-DI03</t>
        </is>
      </c>
      <c r="H5687" s="12" t="inlineStr">
        <is>
          <t>Chillers x6 (water-cooled)</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10</v>
      </c>
      <c r="U5687" s="15" t="n">
        <v>32</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J-I-0035</t>
        </is>
      </c>
      <c r="B5688" s="12" t="inlineStr">
        <is>
          <t>J</t>
        </is>
      </c>
      <c r="C5688" s="12" t="inlineStr">
        <is>
          <t>GT inlet chilling</t>
        </is>
      </c>
      <c r="D5688" s="12" t="inlineStr">
        <is>
          <t>Discrete device to JB JB-Chillers x6 (water-DI04: 20 x 1 pr (field cables)</t>
        </is>
      </c>
      <c r="E5688" s="12" t="inlineStr"/>
      <c r="F5688" s="12" t="inlineStr">
        <is>
          <t>Chillers x6 (water-cooled)</t>
        </is>
      </c>
      <c r="G5688" s="12" t="inlineStr">
        <is>
          <t>JB-Chillers x6 (water-DI04</t>
        </is>
      </c>
      <c r="H5688" s="12" t="inlineStr">
        <is>
          <t>Chillers x6 (water-cooled)</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190</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J-I-0036</t>
        </is>
      </c>
      <c r="B5689" s="12" t="inlineStr">
        <is>
          <t>J</t>
        </is>
      </c>
      <c r="C5689" s="12" t="inlineStr">
        <is>
          <t>GT inlet chilling</t>
        </is>
      </c>
      <c r="D5689" s="12" t="inlineStr">
        <is>
          <t>Home run JB-Chillers x6 (water-DI04 to the control / marshalling room</t>
        </is>
      </c>
      <c r="E5689" s="12" t="inlineStr"/>
      <c r="F5689" s="12" t="inlineStr">
        <is>
          <t>Inlet-chilling e-house / transformer</t>
        </is>
      </c>
      <c r="G5689" s="12" t="inlineStr">
        <is>
          <t>JB-Chillers x6 (water-DI04</t>
        </is>
      </c>
      <c r="H5689" s="12" t="inlineStr">
        <is>
          <t>Chillers x6 (water-cooled)</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10</v>
      </c>
      <c r="U5689" s="15" t="n">
        <v>32</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J-I-0037</t>
        </is>
      </c>
      <c r="B5690" s="12" t="inlineStr">
        <is>
          <t>J</t>
        </is>
      </c>
      <c r="C5690" s="12" t="inlineStr">
        <is>
          <t>GT inlet chilling</t>
        </is>
      </c>
      <c r="D5690" s="12" t="inlineStr">
        <is>
          <t>Discrete device to JB JB-Chillers x6 (water-DI05: 20 x 1 pr (field cables)</t>
        </is>
      </c>
      <c r="E5690" s="12" t="inlineStr"/>
      <c r="F5690" s="12" t="inlineStr">
        <is>
          <t>Chillers x6 (water-cooled)</t>
        </is>
      </c>
      <c r="G5690" s="12" t="inlineStr">
        <is>
          <t>JB-Chillers x6 (water-DI05</t>
        </is>
      </c>
      <c r="H5690" s="12" t="inlineStr">
        <is>
          <t>Chillers x6 (water-cooled)</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20</v>
      </c>
      <c r="O5690" s="12" t="n">
        <v>1</v>
      </c>
      <c r="P5690" s="12" t="n"/>
      <c r="Q5690" s="12" t="n"/>
      <c r="R5690" s="12" t="n"/>
      <c r="S5690" s="12" t="inlineStr">
        <is>
          <t>Tray / conduit</t>
        </is>
      </c>
      <c r="T5690" s="15" t="n">
        <v>190</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J-I-0038</t>
        </is>
      </c>
      <c r="B5691" s="12" t="inlineStr">
        <is>
          <t>J</t>
        </is>
      </c>
      <c r="C5691" s="12" t="inlineStr">
        <is>
          <t>GT inlet chilling</t>
        </is>
      </c>
      <c r="D5691" s="12" t="inlineStr">
        <is>
          <t>Home run JB-Chillers x6 (water-DI05 to the control / marshalling room</t>
        </is>
      </c>
      <c r="E5691" s="12" t="inlineStr"/>
      <c r="F5691" s="12" t="inlineStr">
        <is>
          <t>Inlet-chilling e-house / transformer</t>
        </is>
      </c>
      <c r="G5691" s="12" t="inlineStr">
        <is>
          <t>JB-Chillers x6 (water-DI05</t>
        </is>
      </c>
      <c r="H5691" s="12" t="inlineStr">
        <is>
          <t>Chillers x6 (water-cooled)</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10</v>
      </c>
      <c r="U5691" s="15" t="n">
        <v>32</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J-I-0039</t>
        </is>
      </c>
      <c r="B5692" s="12" t="inlineStr">
        <is>
          <t>J</t>
        </is>
      </c>
      <c r="C5692" s="12" t="inlineStr">
        <is>
          <t>GT inlet chilling</t>
        </is>
      </c>
      <c r="D5692" s="12" t="inlineStr">
        <is>
          <t>Discrete device to JB JB-Chillers x6 (water-DI06: 20 x 1 pr (field cables)</t>
        </is>
      </c>
      <c r="E5692" s="12" t="inlineStr"/>
      <c r="F5692" s="12" t="inlineStr">
        <is>
          <t>Chillers x6 (water-cooled)</t>
        </is>
      </c>
      <c r="G5692" s="12" t="inlineStr">
        <is>
          <t>JB-Chillers x6 (water-DI06</t>
        </is>
      </c>
      <c r="H5692" s="12" t="inlineStr">
        <is>
          <t>Chillers x6 (water-cooled)</t>
        </is>
      </c>
      <c r="I5692" s="12" t="inlineStr">
        <is>
          <t>Instrumentation</t>
        </is>
      </c>
      <c r="J5692" s="12" t="inlineStr">
        <is>
          <t>Instrumentation PLTC / TC-ER 300 V, #18 twisted shielded pairs, overall shield</t>
        </is>
      </c>
      <c r="K5692" s="12" t="inlineStr">
        <is>
          <t>PLTC|1 pr|16</t>
        </is>
      </c>
      <c r="L5692" s="12" t="inlineStr">
        <is>
          <t>1 pr</t>
        </is>
      </c>
      <c r="M5692" s="12" t="inlineStr">
        <is>
          <t>16</t>
        </is>
      </c>
      <c r="N5692" s="12" t="n">
        <v>20</v>
      </c>
      <c r="O5692" s="12" t="n">
        <v>1</v>
      </c>
      <c r="P5692" s="12" t="n"/>
      <c r="Q5692" s="12" t="n"/>
      <c r="R5692" s="12" t="n"/>
      <c r="S5692" s="12" t="inlineStr">
        <is>
          <t>Tray / conduit</t>
        </is>
      </c>
      <c r="T5692" s="15" t="n">
        <v>190</v>
      </c>
      <c r="U5692" s="15" t="n">
        <v>10</v>
      </c>
      <c r="V5692" s="15">
        <f>ROUNDUP((T5692+U5692+2*'Read Me'!$B$13)*(1+'Read Me'!$B$12),-1)</f>
        <v/>
      </c>
      <c r="W5692" s="15">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J-I-0040</t>
        </is>
      </c>
      <c r="B5693" s="12" t="inlineStr">
        <is>
          <t>J</t>
        </is>
      </c>
      <c r="C5693" s="12" t="inlineStr">
        <is>
          <t>GT inlet chilling</t>
        </is>
      </c>
      <c r="D5693" s="12" t="inlineStr">
        <is>
          <t>Home run JB-Chillers x6 (water-DI06 to the control / marshalling room</t>
        </is>
      </c>
      <c r="E5693" s="12" t="inlineStr"/>
      <c r="F5693" s="12" t="inlineStr">
        <is>
          <t>Inlet-chilling e-house / transformer</t>
        </is>
      </c>
      <c r="G5693" s="12" t="inlineStr">
        <is>
          <t>JB-Chillers x6 (water-DI06</t>
        </is>
      </c>
      <c r="H5693" s="12" t="inlineStr">
        <is>
          <t>Chillers x6 (water-cooled)</t>
        </is>
      </c>
      <c r="I5693" s="12" t="inlineStr">
        <is>
          <t>Instrumentation</t>
        </is>
      </c>
      <c r="J5693" s="12" t="inlineStr">
        <is>
          <t>Instrumentation PLTC / TC-ER 300 V, #18 twisted shielded pairs, overall shield</t>
        </is>
      </c>
      <c r="K5693" s="12" t="inlineStr">
        <is>
          <t>PLTC|24 pr|18</t>
        </is>
      </c>
      <c r="L5693" s="12" t="inlineStr">
        <is>
          <t>24 pr</t>
        </is>
      </c>
      <c r="M5693" s="12" t="inlineStr">
        <is>
          <t>18</t>
        </is>
      </c>
      <c r="N5693" s="12" t="n">
        <v>1</v>
      </c>
      <c r="O5693" s="12" t="n">
        <v>1</v>
      </c>
      <c r="P5693" s="12" t="n"/>
      <c r="Q5693" s="12" t="n"/>
      <c r="R5693" s="12" t="n"/>
      <c r="S5693" s="12" t="inlineStr">
        <is>
          <t>Duct bank</t>
        </is>
      </c>
      <c r="T5693" s="15" t="n">
        <v>10</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c r="AA5693" s="12">
        <f>N5693*O5693</f>
        <v/>
      </c>
    </row>
    <row r="5694">
      <c r="A5694" s="12" t="inlineStr">
        <is>
          <t>J-I-0041</t>
        </is>
      </c>
      <c r="B5694" s="12" t="inlineStr">
        <is>
          <t>J</t>
        </is>
      </c>
      <c r="C5694" s="12" t="inlineStr">
        <is>
          <t>GT inlet chilling</t>
        </is>
      </c>
      <c r="D5694" s="12" t="inlineStr">
        <is>
          <t>Instrumentation</t>
        </is>
      </c>
      <c r="E5694" s="12" t="inlineStr"/>
      <c r="F5694" s="12" t="inlineStr">
        <is>
          <t>Inlet-chilling e-house / transformer</t>
        </is>
      </c>
      <c r="G5694" s="12" t="inlineStr"/>
      <c r="H5694" s="12" t="inlineStr">
        <is>
          <t>Inlet-chilling e-house / transformer</t>
        </is>
      </c>
      <c r="I5694" s="12" t="inlineStr">
        <is>
          <t>Instrumentation</t>
        </is>
      </c>
      <c r="J5694" s="12" t="inlineStr">
        <is>
          <t>Instrumentation PLTC / TC-ER 300 V, #18 twisted shielded pairs, overall shield</t>
        </is>
      </c>
      <c r="K5694" s="12" t="inlineStr">
        <is>
          <t>PLTC|4 pr|18</t>
        </is>
      </c>
      <c r="L5694" s="12" t="inlineStr">
        <is>
          <t>4 pr</t>
        </is>
      </c>
      <c r="M5694" s="12" t="inlineStr">
        <is>
          <t>18</t>
        </is>
      </c>
      <c r="N5694" s="12" t="n">
        <v>1</v>
      </c>
      <c r="O5694" s="12" t="n">
        <v>1</v>
      </c>
      <c r="P5694" s="12" t="n"/>
      <c r="Q5694" s="12" t="n"/>
      <c r="R5694" s="12" t="n"/>
      <c r="S5694" s="12" t="inlineStr">
        <is>
          <t>Tray</t>
        </is>
      </c>
      <c r="T5694" s="15" t="n">
        <v>0</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J-I-0042</t>
        </is>
      </c>
      <c r="B5695" s="12" t="inlineStr">
        <is>
          <t>J</t>
        </is>
      </c>
      <c r="C5695" s="12" t="inlineStr">
        <is>
          <t>GT inlet chilling</t>
        </is>
      </c>
      <c r="D5695" s="12" t="inlineStr">
        <is>
          <t>Analog instrument to JB JB-Inlet-chilling tow-AI01: 12 x 1 pr (field cables)</t>
        </is>
      </c>
      <c r="E5695" s="12" t="inlineStr"/>
      <c r="F5695" s="12" t="inlineStr">
        <is>
          <t>Inlet-chilling tower (12 cells): chiller heat rejection</t>
        </is>
      </c>
      <c r="G5695" s="12" t="inlineStr">
        <is>
          <t>JB-Inlet-chilling tow-AI01</t>
        </is>
      </c>
      <c r="H5695" s="12" t="inlineStr">
        <is>
          <t>Inlet-chilling tower (12 cells): chiller heat rejection</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12</v>
      </c>
      <c r="O5695" s="12" t="n">
        <v>1</v>
      </c>
      <c r="P5695" s="12" t="n"/>
      <c r="Q5695" s="12" t="n"/>
      <c r="R5695" s="12" t="n"/>
      <c r="S5695" s="12" t="inlineStr">
        <is>
          <t>Tray / conduit</t>
        </is>
      </c>
      <c r="T5695" s="15" t="n">
        <v>205</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J-I-0043</t>
        </is>
      </c>
      <c r="B5696" s="12" t="inlineStr">
        <is>
          <t>J</t>
        </is>
      </c>
      <c r="C5696" s="12" t="inlineStr">
        <is>
          <t>GT inlet chilling</t>
        </is>
      </c>
      <c r="D5696" s="12" t="inlineStr">
        <is>
          <t>Home run JB-Inlet-chilling tow-AI01 to the control / marshalling room</t>
        </is>
      </c>
      <c r="E5696" s="12" t="inlineStr"/>
      <c r="F5696" s="12" t="inlineStr">
        <is>
          <t>Inlet-chilling e-house / transformer</t>
        </is>
      </c>
      <c r="G5696" s="12" t="inlineStr">
        <is>
          <t>JB-Inlet-chilling tow-AI01</t>
        </is>
      </c>
      <c r="H5696" s="12" t="inlineStr">
        <is>
          <t>Inlet-chilling tower (12 cells): chiller heat rejection</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478</v>
      </c>
      <c r="U5696" s="15" t="n">
        <v>38</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J-I-0044</t>
        </is>
      </c>
      <c r="B5697" s="12" t="inlineStr">
        <is>
          <t>J</t>
        </is>
      </c>
      <c r="C5697" s="12" t="inlineStr">
        <is>
          <t>GT inlet chilling</t>
        </is>
      </c>
      <c r="D5697" s="12" t="inlineStr">
        <is>
          <t>Discrete device to JB JB-Inlet-chilling tow-DI01: 20 x 1 pr (field cables)</t>
        </is>
      </c>
      <c r="E5697" s="12" t="inlineStr"/>
      <c r="F5697" s="12" t="inlineStr">
        <is>
          <t>Inlet-chilling tower (12 cells): chiller heat rejection</t>
        </is>
      </c>
      <c r="G5697" s="12" t="inlineStr">
        <is>
          <t>JB-Inlet-chilling tow-DI01</t>
        </is>
      </c>
      <c r="H5697" s="12" t="inlineStr">
        <is>
          <t>Inlet-chilling tower (12 cells): chiller heat rejection</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20</v>
      </c>
      <c r="O5697" s="12" t="n">
        <v>1</v>
      </c>
      <c r="P5697" s="12" t="n"/>
      <c r="Q5697" s="12" t="n"/>
      <c r="R5697" s="12" t="n"/>
      <c r="S5697" s="12" t="inlineStr">
        <is>
          <t>Tray / conduit</t>
        </is>
      </c>
      <c r="T5697" s="15" t="n">
        <v>205</v>
      </c>
      <c r="U5697" s="15" t="n">
        <v>10</v>
      </c>
      <c r="V5697" s="15">
        <f>ROUNDUP((T5697+U5697+2*'Read Me'!$B$13)*(1+'Read Me'!$B$12),-1)</f>
        <v/>
      </c>
      <c r="W5697" s="15">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J-I-0045</t>
        </is>
      </c>
      <c r="B5698" s="12" t="inlineStr">
        <is>
          <t>J</t>
        </is>
      </c>
      <c r="C5698" s="12" t="inlineStr">
        <is>
          <t>GT inlet chilling</t>
        </is>
      </c>
      <c r="D5698" s="12" t="inlineStr">
        <is>
          <t>Home run JB-Inlet-chilling tow-DI01 to the control / marshalling room</t>
        </is>
      </c>
      <c r="E5698" s="12" t="inlineStr"/>
      <c r="F5698" s="12" t="inlineStr">
        <is>
          <t>Inlet-chilling e-house / transformer</t>
        </is>
      </c>
      <c r="G5698" s="12" t="inlineStr">
        <is>
          <t>JB-Inlet-chilling tow-DI01</t>
        </is>
      </c>
      <c r="H5698" s="12" t="inlineStr">
        <is>
          <t>Inlet-chilling tower (12 cells): chiller heat rejection</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Duct bank</t>
        </is>
      </c>
      <c r="T5698" s="15" t="n">
        <v>478</v>
      </c>
      <c r="U5698" s="15" t="n">
        <v>38</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J-I-0046</t>
        </is>
      </c>
      <c r="B5699" s="12" t="inlineStr">
        <is>
          <t>J</t>
        </is>
      </c>
      <c r="C5699" s="12" t="inlineStr">
        <is>
          <t>GT inlet chilling</t>
        </is>
      </c>
      <c r="D5699" s="12" t="inlineStr">
        <is>
          <t>Discrete device to JB JB-Inlet-chilling tow-DI02: 4 x 1 pr (field cables)</t>
        </is>
      </c>
      <c r="E5699" s="12" t="inlineStr"/>
      <c r="F5699" s="12" t="inlineStr">
        <is>
          <t>Inlet-chilling tower (12 cells): chiller heat rejection</t>
        </is>
      </c>
      <c r="G5699" s="12" t="inlineStr">
        <is>
          <t>JB-Inlet-chilling tow-DI02</t>
        </is>
      </c>
      <c r="H5699" s="12" t="inlineStr">
        <is>
          <t>Inlet-chilling tower (12 cells): chiller heat rejection</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4</v>
      </c>
      <c r="O5699" s="12" t="n">
        <v>1</v>
      </c>
      <c r="P5699" s="12" t="n"/>
      <c r="Q5699" s="12" t="n"/>
      <c r="R5699" s="12" t="n"/>
      <c r="S5699" s="12" t="inlineStr">
        <is>
          <t>Tray / conduit</t>
        </is>
      </c>
      <c r="T5699" s="15" t="n">
        <v>205</v>
      </c>
      <c r="U5699" s="15" t="n">
        <v>10</v>
      </c>
      <c r="V5699" s="15">
        <f>ROUNDUP((T5699+U5699+2*'Read Me'!$B$13)*(1+'Read Me'!$B$12),-1)</f>
        <v/>
      </c>
      <c r="W5699" s="15">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J-I-0047</t>
        </is>
      </c>
      <c r="B5700" s="12" t="inlineStr">
        <is>
          <t>J</t>
        </is>
      </c>
      <c r="C5700" s="12" t="inlineStr">
        <is>
          <t>GT inlet chilling</t>
        </is>
      </c>
      <c r="D5700" s="12" t="inlineStr">
        <is>
          <t>Home run JB-Inlet-chilling tow-DI02 to the control / marshalling room</t>
        </is>
      </c>
      <c r="E5700" s="12" t="inlineStr"/>
      <c r="F5700" s="12" t="inlineStr">
        <is>
          <t>Inlet-chilling e-house / transformer</t>
        </is>
      </c>
      <c r="G5700" s="12" t="inlineStr">
        <is>
          <t>JB-Inlet-chilling tow-DI02</t>
        </is>
      </c>
      <c r="H5700" s="12" t="inlineStr">
        <is>
          <t>Inlet-chilling tower (12 cells): chiller heat rejection</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Duct bank</t>
        </is>
      </c>
      <c r="T5700" s="15" t="n">
        <v>478</v>
      </c>
      <c r="U5700" s="15" t="n">
        <v>38</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J-P-0001</t>
        </is>
      </c>
      <c r="B5701" s="12" t="inlineStr">
        <is>
          <t>J</t>
        </is>
      </c>
      <c r="C5701" s="12" t="inlineStr">
        <is>
          <t>GT inlet chilling</t>
        </is>
      </c>
      <c r="D5701" s="12" t="inlineStr">
        <is>
          <t>Motor 1 of 4, 150 kW</t>
        </is>
      </c>
      <c r="E5701" s="12" t="inlineStr"/>
      <c r="F5701" s="12" t="inlineStr">
        <is>
          <t>Inlet-chilling e-house / transformer</t>
        </is>
      </c>
      <c r="G5701" s="12" t="inlineStr"/>
      <c r="H5701" s="12" t="inlineStr">
        <is>
          <t>CHW pumps</t>
        </is>
      </c>
      <c r="I5701" s="12" t="inlineStr">
        <is>
          <t>LV 600 V</t>
        </is>
      </c>
      <c r="J5701" s="12" t="inlineStr">
        <is>
          <t>Type TC-ER 600 V 3/C Cu XHHW-2 + ground, PVC jacket</t>
        </is>
      </c>
      <c r="K5701" s="12" t="inlineStr">
        <is>
          <t>LV|3/C+G|350</t>
        </is>
      </c>
      <c r="L5701" s="12" t="inlineStr">
        <is>
          <t>3/C+G</t>
        </is>
      </c>
      <c r="M5701" s="12" t="inlineStr">
        <is>
          <t>350 kcmil</t>
        </is>
      </c>
      <c r="N5701" s="12" t="n">
        <v>1</v>
      </c>
      <c r="O5701" s="12" t="n">
        <v>1</v>
      </c>
      <c r="P5701" s="12" t="n">
        <v>480</v>
      </c>
      <c r="Q5701" s="12" t="n">
        <v>150</v>
      </c>
      <c r="R5701" s="12" t="n">
        <v>212.3</v>
      </c>
      <c r="S5701" s="12" t="inlineStr">
        <is>
          <t>Duct bank</t>
        </is>
      </c>
      <c r="T5701" s="15" t="n">
        <v>579</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1.9 %</t>
        </is>
      </c>
      <c r="AA5701" s="12">
        <f>N5701*O5701</f>
        <v/>
      </c>
    </row>
    <row r="5702">
      <c r="A5702" s="12" t="inlineStr">
        <is>
          <t>J-P-0002</t>
        </is>
      </c>
      <c r="B5702" s="12" t="inlineStr">
        <is>
          <t>J</t>
        </is>
      </c>
      <c r="C5702" s="12" t="inlineStr">
        <is>
          <t>GT inlet chilling</t>
        </is>
      </c>
      <c r="D5702" s="12" t="inlineStr">
        <is>
          <t>Motor 2 of 4, 150 kW</t>
        </is>
      </c>
      <c r="E5702" s="12" t="inlineStr"/>
      <c r="F5702" s="12" t="inlineStr">
        <is>
          <t>Inlet-chilling e-house / transformer</t>
        </is>
      </c>
      <c r="G5702" s="12" t="inlineStr"/>
      <c r="H5702" s="12" t="inlineStr">
        <is>
          <t>CHW pumps</t>
        </is>
      </c>
      <c r="I5702" s="12" t="inlineStr">
        <is>
          <t>LV 600 V</t>
        </is>
      </c>
      <c r="J5702" s="12" t="inlineStr">
        <is>
          <t>Type TC-ER 600 V 3/C Cu XHHW-2 + ground, PVC jacket</t>
        </is>
      </c>
      <c r="K5702" s="12" t="inlineStr">
        <is>
          <t>LV|3/C+G|350</t>
        </is>
      </c>
      <c r="L5702" s="12" t="inlineStr">
        <is>
          <t>3/C+G</t>
        </is>
      </c>
      <c r="M5702" s="12" t="inlineStr">
        <is>
          <t>350 kcmil</t>
        </is>
      </c>
      <c r="N5702" s="12" t="n">
        <v>1</v>
      </c>
      <c r="O5702" s="12" t="n">
        <v>1</v>
      </c>
      <c r="P5702" s="12" t="n">
        <v>480</v>
      </c>
      <c r="Q5702" s="12" t="n">
        <v>150</v>
      </c>
      <c r="R5702" s="12" t="n">
        <v>212.3</v>
      </c>
      <c r="S5702" s="12" t="inlineStr">
        <is>
          <t>Duct bank</t>
        </is>
      </c>
      <c r="T5702" s="15" t="n">
        <v>579</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1.9 %</t>
        </is>
      </c>
      <c r="AA5702" s="12">
        <f>N5702*O5702</f>
        <v/>
      </c>
    </row>
    <row r="5703">
      <c r="A5703" s="12" t="inlineStr">
        <is>
          <t>J-P-0003</t>
        </is>
      </c>
      <c r="B5703" s="12" t="inlineStr">
        <is>
          <t>J</t>
        </is>
      </c>
      <c r="C5703" s="12" t="inlineStr">
        <is>
          <t>GT inlet chilling</t>
        </is>
      </c>
      <c r="D5703" s="12" t="inlineStr">
        <is>
          <t>Motor 3 of 4, 150 kW</t>
        </is>
      </c>
      <c r="E5703" s="12" t="inlineStr"/>
      <c r="F5703" s="12" t="inlineStr">
        <is>
          <t>Inlet-chilling e-house / transformer</t>
        </is>
      </c>
      <c r="G5703" s="12" t="inlineStr"/>
      <c r="H5703" s="12" t="inlineStr">
        <is>
          <t>CHW pumps</t>
        </is>
      </c>
      <c r="I5703" s="12" t="inlineStr">
        <is>
          <t>LV 600 V</t>
        </is>
      </c>
      <c r="J5703" s="12" t="inlineStr">
        <is>
          <t>Type TC-ER 600 V 3/C Cu XHHW-2 + ground, PVC jacket</t>
        </is>
      </c>
      <c r="K5703" s="12" t="inlineStr">
        <is>
          <t>LV|3/C+G|350</t>
        </is>
      </c>
      <c r="L5703" s="12" t="inlineStr">
        <is>
          <t>3/C+G</t>
        </is>
      </c>
      <c r="M5703" s="12" t="inlineStr">
        <is>
          <t>350 kcmil</t>
        </is>
      </c>
      <c r="N5703" s="12" t="n">
        <v>1</v>
      </c>
      <c r="O5703" s="12" t="n">
        <v>1</v>
      </c>
      <c r="P5703" s="12" t="n">
        <v>480</v>
      </c>
      <c r="Q5703" s="12" t="n">
        <v>150</v>
      </c>
      <c r="R5703" s="12" t="n">
        <v>212.3</v>
      </c>
      <c r="S5703" s="12" t="inlineStr">
        <is>
          <t>Duct bank</t>
        </is>
      </c>
      <c r="T5703" s="15" t="n">
        <v>579</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is>
          <t>VD 1.9 %</t>
        </is>
      </c>
      <c r="AA5703" s="12">
        <f>N5703*O5703</f>
        <v/>
      </c>
    </row>
    <row r="5704">
      <c r="A5704" s="12" t="inlineStr">
        <is>
          <t>J-P-0004</t>
        </is>
      </c>
      <c r="B5704" s="12" t="inlineStr">
        <is>
          <t>J</t>
        </is>
      </c>
      <c r="C5704" s="12" t="inlineStr">
        <is>
          <t>GT inlet chilling</t>
        </is>
      </c>
      <c r="D5704" s="12" t="inlineStr">
        <is>
          <t>Motor 4 of 4, 150 kW</t>
        </is>
      </c>
      <c r="E5704" s="12" t="inlineStr"/>
      <c r="F5704" s="12" t="inlineStr">
        <is>
          <t>Inlet-chilling e-house / transformer</t>
        </is>
      </c>
      <c r="G5704" s="12" t="inlineStr"/>
      <c r="H5704" s="12" t="inlineStr">
        <is>
          <t>CHW pumps</t>
        </is>
      </c>
      <c r="I5704" s="12" t="inlineStr">
        <is>
          <t>LV 600 V</t>
        </is>
      </c>
      <c r="J5704" s="12" t="inlineStr">
        <is>
          <t>Type TC-ER 600 V 3/C Cu XHHW-2 + ground, PVC jacket</t>
        </is>
      </c>
      <c r="K5704" s="12" t="inlineStr">
        <is>
          <t>LV|3/C+G|350</t>
        </is>
      </c>
      <c r="L5704" s="12" t="inlineStr">
        <is>
          <t>3/C+G</t>
        </is>
      </c>
      <c r="M5704" s="12" t="inlineStr">
        <is>
          <t>350 kcmil</t>
        </is>
      </c>
      <c r="N5704" s="12" t="n">
        <v>1</v>
      </c>
      <c r="O5704" s="12" t="n">
        <v>1</v>
      </c>
      <c r="P5704" s="12" t="n">
        <v>480</v>
      </c>
      <c r="Q5704" s="12" t="n">
        <v>150</v>
      </c>
      <c r="R5704" s="12" t="n">
        <v>212.3</v>
      </c>
      <c r="S5704" s="12" t="inlineStr">
        <is>
          <t>Duct bank</t>
        </is>
      </c>
      <c r="T5704" s="15" t="n">
        <v>579</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is>
          <t>VD 1.9 %</t>
        </is>
      </c>
      <c r="AA5704" s="12">
        <f>N5704*O5704</f>
        <v/>
      </c>
    </row>
    <row r="5705">
      <c r="A5705" s="12" t="inlineStr">
        <is>
          <t>J-P-0005</t>
        </is>
      </c>
      <c r="B5705" s="12" t="inlineStr">
        <is>
          <t>J</t>
        </is>
      </c>
      <c r="C5705" s="12" t="inlineStr">
        <is>
          <t>GT inlet chilling</t>
        </is>
      </c>
      <c r="D5705" s="12" t="inlineStr">
        <is>
          <t>LV power feeder</t>
        </is>
      </c>
      <c r="E5705" s="12" t="inlineStr"/>
      <c r="F5705" s="12" t="inlineStr">
        <is>
          <t>Inlet-chilling e-house / transformer</t>
        </is>
      </c>
      <c r="G5705" s="12" t="inlineStr"/>
      <c r="H5705" s="12" t="inlineStr">
        <is>
          <t>CONDITIONAL: TES chilled-water tank</t>
        </is>
      </c>
      <c r="I5705" s="12" t="inlineStr">
        <is>
          <t>LV 600 V</t>
        </is>
      </c>
      <c r="J5705" s="12" t="inlineStr">
        <is>
          <t>Type TC-ER 600 V 3/C Cu XHHW-2 + ground, PVC jacket</t>
        </is>
      </c>
      <c r="K5705" s="12" t="inlineStr">
        <is>
          <t>LV|3/C+G|8</t>
        </is>
      </c>
      <c r="L5705" s="12" t="inlineStr">
        <is>
          <t>3/C+G</t>
        </is>
      </c>
      <c r="M5705" s="12" t="inlineStr">
        <is>
          <t>8</t>
        </is>
      </c>
      <c r="N5705" s="12" t="n">
        <v>1</v>
      </c>
      <c r="O5705" s="12" t="n">
        <v>1</v>
      </c>
      <c r="P5705" s="12" t="n">
        <v>480</v>
      </c>
      <c r="Q5705" s="12" t="n">
        <v>10</v>
      </c>
      <c r="R5705" s="12" t="n">
        <v>14.2</v>
      </c>
      <c r="S5705" s="12" t="inlineStr">
        <is>
          <t>Duct bank</t>
        </is>
      </c>
      <c r="T5705" s="15" t="n">
        <v>271</v>
      </c>
      <c r="U5705" s="15" t="n">
        <v>217</v>
      </c>
      <c r="V5705" s="15">
        <f>ROUNDUP((T5705+U5705+2*'Read Me'!$B$13)*(1+'Read Me'!$B$12),-1)</f>
        <v/>
      </c>
      <c r="W5705" s="15">
        <f>V5705*N5705*O5705</f>
        <v/>
      </c>
      <c r="X5705" s="12">
        <f>IF(LEFT(I5705,2)="MV",2*N5705*IF(L5705="1/C",O5705,1),0)</f>
        <v/>
      </c>
      <c r="Y5705" s="12">
        <f>IF(OR(LEFT(K5705,4)="LVAX",LEFT(K5705,6)="MV15AX",LEFT(K5705,4)="CTAX",LEFT(K5705,2)="W|"),2*N5705*O5705,0)</f>
        <v/>
      </c>
      <c r="Z5705" s="12" t="inlineStr">
        <is>
          <t>VD 2.1 %</t>
        </is>
      </c>
      <c r="AA5705" s="12">
        <f>N5705*O5705</f>
        <v/>
      </c>
    </row>
    <row r="5706">
      <c r="A5706" s="12" t="inlineStr">
        <is>
          <t>J-P-0006</t>
        </is>
      </c>
      <c r="B5706" s="12" t="inlineStr">
        <is>
          <t>J</t>
        </is>
      </c>
      <c r="C5706" s="12" t="inlineStr">
        <is>
          <t>GT inlet chilling</t>
        </is>
      </c>
      <c r="D5706" s="12" t="inlineStr">
        <is>
          <t>Motor 1 of 6, 7 kW</t>
        </is>
      </c>
      <c r="E5706" s="12" t="inlineStr"/>
      <c r="F5706" s="12" t="inlineStr">
        <is>
          <t>Inlet-chilling e-house / transformer</t>
        </is>
      </c>
      <c r="G5706" s="12" t="inlineStr"/>
      <c r="H5706" s="12" t="inlineStr">
        <is>
          <t>Chillers x6 (water-cooled)</t>
        </is>
      </c>
      <c r="I5706" s="12" t="inlineStr">
        <is>
          <t>LV 600 V</t>
        </is>
      </c>
      <c r="J5706" s="12" t="inlineStr">
        <is>
          <t>Type TC-ER 600 V 3/C Cu XHHW-2 + ground, PVC jacket</t>
        </is>
      </c>
      <c r="K5706" s="12" t="inlineStr">
        <is>
          <t>LV|3/C+G|10</t>
        </is>
      </c>
      <c r="L5706" s="12" t="inlineStr">
        <is>
          <t>3/C+G</t>
        </is>
      </c>
      <c r="M5706" s="12" t="inlineStr">
        <is>
          <t>10</t>
        </is>
      </c>
      <c r="N5706" s="12" t="n">
        <v>1</v>
      </c>
      <c r="O5706" s="12" t="n">
        <v>1</v>
      </c>
      <c r="P5706" s="12" t="n">
        <v>480</v>
      </c>
      <c r="Q5706" s="12" t="n">
        <v>7</v>
      </c>
      <c r="R5706" s="12" t="n">
        <v>9.9</v>
      </c>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is>
          <t>VD 0.2 %</t>
        </is>
      </c>
      <c r="AA5706" s="12">
        <f>N5706*O5706</f>
        <v/>
      </c>
    </row>
    <row r="5707">
      <c r="A5707" s="12" t="inlineStr">
        <is>
          <t>J-P-0007</t>
        </is>
      </c>
      <c r="B5707" s="12" t="inlineStr">
        <is>
          <t>J</t>
        </is>
      </c>
      <c r="C5707" s="12" t="inlineStr">
        <is>
          <t>GT inlet chilling</t>
        </is>
      </c>
      <c r="D5707" s="12" t="inlineStr">
        <is>
          <t>Motor 2 of 6, 7 kW</t>
        </is>
      </c>
      <c r="E5707" s="12" t="inlineStr"/>
      <c r="F5707" s="12" t="inlineStr">
        <is>
          <t>Inlet-chilling e-house / transformer</t>
        </is>
      </c>
      <c r="G5707" s="12" t="inlineStr"/>
      <c r="H5707" s="12" t="inlineStr">
        <is>
          <t>Chillers x6 (water-cooled)</t>
        </is>
      </c>
      <c r="I5707" s="12" t="inlineStr">
        <is>
          <t>LV 600 V</t>
        </is>
      </c>
      <c r="J5707" s="12" t="inlineStr">
        <is>
          <t>Type TC-ER 600 V 3/C Cu XHHW-2 + ground, PVC jacket</t>
        </is>
      </c>
      <c r="K5707" s="12" t="inlineStr">
        <is>
          <t>LV|3/C+G|10</t>
        </is>
      </c>
      <c r="L5707" s="12" t="inlineStr">
        <is>
          <t>3/C+G</t>
        </is>
      </c>
      <c r="M5707" s="12" t="inlineStr">
        <is>
          <t>10</t>
        </is>
      </c>
      <c r="N5707" s="12" t="n">
        <v>1</v>
      </c>
      <c r="O5707" s="12" t="n">
        <v>1</v>
      </c>
      <c r="P5707" s="12" t="n">
        <v>480</v>
      </c>
      <c r="Q5707" s="12" t="n">
        <v>7</v>
      </c>
      <c r="R5707" s="12" t="n">
        <v>9.9</v>
      </c>
      <c r="S5707" s="12" t="inlineStr">
        <is>
          <t>Duct bank</t>
        </is>
      </c>
      <c r="T5707" s="15" t="n">
        <v>10</v>
      </c>
      <c r="U5707" s="15" t="n">
        <v>32</v>
      </c>
      <c r="V5707" s="15">
        <f>ROUNDUP((T5707+U5707+2*'Read Me'!$B$13)*(1+'Read Me'!$B$12),-1)</f>
        <v/>
      </c>
      <c r="W5707" s="15">
        <f>V5707*N5707*O5707</f>
        <v/>
      </c>
      <c r="X5707" s="12">
        <f>IF(LEFT(I5707,2)="MV",2*N5707*IF(L5707="1/C",O5707,1),0)</f>
        <v/>
      </c>
      <c r="Y5707" s="12">
        <f>IF(OR(LEFT(K5707,4)="LVAX",LEFT(K5707,6)="MV15AX",LEFT(K5707,4)="CTAX",LEFT(K5707,2)="W|"),2*N5707*O5707,0)</f>
        <v/>
      </c>
      <c r="Z5707" s="12" t="inlineStr">
        <is>
          <t>VD 0.2 %</t>
        </is>
      </c>
      <c r="AA5707" s="12">
        <f>N5707*O5707</f>
        <v/>
      </c>
    </row>
    <row r="5708">
      <c r="A5708" s="12" t="inlineStr">
        <is>
          <t>J-P-0008</t>
        </is>
      </c>
      <c r="B5708" s="12" t="inlineStr">
        <is>
          <t>J</t>
        </is>
      </c>
      <c r="C5708" s="12" t="inlineStr">
        <is>
          <t>GT inlet chilling</t>
        </is>
      </c>
      <c r="D5708" s="12" t="inlineStr">
        <is>
          <t>Motor 3 of 6, 7 kW</t>
        </is>
      </c>
      <c r="E5708" s="12" t="inlineStr"/>
      <c r="F5708" s="12" t="inlineStr">
        <is>
          <t>Inlet-chilling e-house / transformer</t>
        </is>
      </c>
      <c r="G5708" s="12" t="inlineStr"/>
      <c r="H5708" s="12" t="inlineStr">
        <is>
          <t>Chillers x6 (water-cooled)</t>
        </is>
      </c>
      <c r="I5708" s="12" t="inlineStr">
        <is>
          <t>LV 600 V</t>
        </is>
      </c>
      <c r="J5708" s="12" t="inlineStr">
        <is>
          <t>Type TC-ER 600 V 3/C Cu XHHW-2 + ground, PVC jacket</t>
        </is>
      </c>
      <c r="K5708" s="12" t="inlineStr">
        <is>
          <t>LV|3/C+G|10</t>
        </is>
      </c>
      <c r="L5708" s="12" t="inlineStr">
        <is>
          <t>3/C+G</t>
        </is>
      </c>
      <c r="M5708" s="12" t="inlineStr">
        <is>
          <t>10</t>
        </is>
      </c>
      <c r="N5708" s="12" t="n">
        <v>1</v>
      </c>
      <c r="O5708" s="12" t="n">
        <v>1</v>
      </c>
      <c r="P5708" s="12" t="n">
        <v>480</v>
      </c>
      <c r="Q5708" s="12" t="n">
        <v>7</v>
      </c>
      <c r="R5708" s="12" t="n">
        <v>9.9</v>
      </c>
      <c r="S5708" s="12" t="inlineStr">
        <is>
          <t>Duct bank</t>
        </is>
      </c>
      <c r="T5708" s="15" t="n">
        <v>10</v>
      </c>
      <c r="U5708" s="15" t="n">
        <v>32</v>
      </c>
      <c r="V5708" s="15">
        <f>ROUNDUP((T5708+U5708+2*'Read Me'!$B$13)*(1+'Read Me'!$B$12),-1)</f>
        <v/>
      </c>
      <c r="W5708" s="15">
        <f>V5708*N5708*O5708</f>
        <v/>
      </c>
      <c r="X5708" s="12">
        <f>IF(LEFT(I5708,2)="MV",2*N5708*IF(L5708="1/C",O5708,1),0)</f>
        <v/>
      </c>
      <c r="Y5708" s="12">
        <f>IF(OR(LEFT(K5708,4)="LVAX",LEFT(K5708,6)="MV15AX",LEFT(K5708,4)="CTAX",LEFT(K5708,2)="W|"),2*N5708*O5708,0)</f>
        <v/>
      </c>
      <c r="Z5708" s="12" t="inlineStr">
        <is>
          <t>VD 0.2 %</t>
        </is>
      </c>
      <c r="AA5708" s="12">
        <f>N5708*O5708</f>
        <v/>
      </c>
    </row>
    <row r="5709">
      <c r="A5709" s="12" t="inlineStr">
        <is>
          <t>J-P-0009</t>
        </is>
      </c>
      <c r="B5709" s="12" t="inlineStr">
        <is>
          <t>J</t>
        </is>
      </c>
      <c r="C5709" s="12" t="inlineStr">
        <is>
          <t>GT inlet chilling</t>
        </is>
      </c>
      <c r="D5709" s="12" t="inlineStr">
        <is>
          <t>Motor 4 of 6, 7 kW</t>
        </is>
      </c>
      <c r="E5709" s="12" t="inlineStr"/>
      <c r="F5709" s="12" t="inlineStr">
        <is>
          <t>Inlet-chilling e-house / transformer</t>
        </is>
      </c>
      <c r="G5709" s="12" t="inlineStr"/>
      <c r="H5709" s="12" t="inlineStr">
        <is>
          <t>Chillers x6 (water-cooled)</t>
        </is>
      </c>
      <c r="I5709" s="12" t="inlineStr">
        <is>
          <t>LV 600 V</t>
        </is>
      </c>
      <c r="J5709" s="12" t="inlineStr">
        <is>
          <t>Type TC-ER 600 V 3/C Cu XHHW-2 + ground, PVC jacket</t>
        </is>
      </c>
      <c r="K5709" s="12" t="inlineStr">
        <is>
          <t>LV|3/C+G|10</t>
        </is>
      </c>
      <c r="L5709" s="12" t="inlineStr">
        <is>
          <t>3/C+G</t>
        </is>
      </c>
      <c r="M5709" s="12" t="inlineStr">
        <is>
          <t>10</t>
        </is>
      </c>
      <c r="N5709" s="12" t="n">
        <v>1</v>
      </c>
      <c r="O5709" s="12" t="n">
        <v>1</v>
      </c>
      <c r="P5709" s="12" t="n">
        <v>480</v>
      </c>
      <c r="Q5709" s="12" t="n">
        <v>7</v>
      </c>
      <c r="R5709" s="12" t="n">
        <v>9.9</v>
      </c>
      <c r="S5709" s="12" t="inlineStr">
        <is>
          <t>Duct bank</t>
        </is>
      </c>
      <c r="T5709" s="15" t="n">
        <v>10</v>
      </c>
      <c r="U5709" s="15" t="n">
        <v>32</v>
      </c>
      <c r="V5709" s="15">
        <f>ROUNDUP((T5709+U5709+2*'Read Me'!$B$13)*(1+'Read Me'!$B$12),-1)</f>
        <v/>
      </c>
      <c r="W5709" s="15">
        <f>V5709*N5709*O5709</f>
        <v/>
      </c>
      <c r="X5709" s="12">
        <f>IF(LEFT(I5709,2)="MV",2*N5709*IF(L5709="1/C",O5709,1),0)</f>
        <v/>
      </c>
      <c r="Y5709" s="12">
        <f>IF(OR(LEFT(K5709,4)="LVAX",LEFT(K5709,6)="MV15AX",LEFT(K5709,4)="CTAX",LEFT(K5709,2)="W|"),2*N5709*O5709,0)</f>
        <v/>
      </c>
      <c r="Z5709" s="12" t="inlineStr">
        <is>
          <t>VD 0.2 %</t>
        </is>
      </c>
      <c r="AA5709" s="12">
        <f>N5709*O5709</f>
        <v/>
      </c>
    </row>
    <row r="5710">
      <c r="A5710" s="12" t="inlineStr">
        <is>
          <t>J-P-0010</t>
        </is>
      </c>
      <c r="B5710" s="12" t="inlineStr">
        <is>
          <t>J</t>
        </is>
      </c>
      <c r="C5710" s="12" t="inlineStr">
        <is>
          <t>GT inlet chilling</t>
        </is>
      </c>
      <c r="D5710" s="12" t="inlineStr">
        <is>
          <t>Motor 5 of 6, 7 kW</t>
        </is>
      </c>
      <c r="E5710" s="12" t="inlineStr"/>
      <c r="F5710" s="12" t="inlineStr">
        <is>
          <t>Inlet-chilling e-house / transformer</t>
        </is>
      </c>
      <c r="G5710" s="12" t="inlineStr"/>
      <c r="H5710" s="12" t="inlineStr">
        <is>
          <t>Chillers x6 (water-cooled)</t>
        </is>
      </c>
      <c r="I5710" s="12" t="inlineStr">
        <is>
          <t>LV 600 V</t>
        </is>
      </c>
      <c r="J5710" s="12" t="inlineStr">
        <is>
          <t>Type TC-ER 600 V 3/C Cu XHHW-2 + ground, PVC jacket</t>
        </is>
      </c>
      <c r="K5710" s="12" t="inlineStr">
        <is>
          <t>LV|3/C+G|10</t>
        </is>
      </c>
      <c r="L5710" s="12" t="inlineStr">
        <is>
          <t>3/C+G</t>
        </is>
      </c>
      <c r="M5710" s="12" t="inlineStr">
        <is>
          <t>10</t>
        </is>
      </c>
      <c r="N5710" s="12" t="n">
        <v>1</v>
      </c>
      <c r="O5710" s="12" t="n">
        <v>1</v>
      </c>
      <c r="P5710" s="12" t="n">
        <v>480</v>
      </c>
      <c r="Q5710" s="12" t="n">
        <v>7</v>
      </c>
      <c r="R5710" s="12" t="n">
        <v>9.9</v>
      </c>
      <c r="S5710" s="12" t="inlineStr">
        <is>
          <t>Duct bank</t>
        </is>
      </c>
      <c r="T5710" s="15" t="n">
        <v>10</v>
      </c>
      <c r="U5710" s="15" t="n">
        <v>32</v>
      </c>
      <c r="V5710" s="15">
        <f>ROUNDUP((T5710+U5710+2*'Read Me'!$B$13)*(1+'Read Me'!$B$12),-1)</f>
        <v/>
      </c>
      <c r="W5710" s="15">
        <f>V5710*N5710*O5710</f>
        <v/>
      </c>
      <c r="X5710" s="12">
        <f>IF(LEFT(I5710,2)="MV",2*N5710*IF(L5710="1/C",O5710,1),0)</f>
        <v/>
      </c>
      <c r="Y5710" s="12">
        <f>IF(OR(LEFT(K5710,4)="LVAX",LEFT(K5710,6)="MV15AX",LEFT(K5710,4)="CTAX",LEFT(K5710,2)="W|"),2*N5710*O5710,0)</f>
        <v/>
      </c>
      <c r="Z5710" s="12" t="inlineStr">
        <is>
          <t>VD 0.2 %</t>
        </is>
      </c>
      <c r="AA5710" s="12">
        <f>N5710*O5710</f>
        <v/>
      </c>
    </row>
    <row r="5711">
      <c r="A5711" s="12" t="inlineStr">
        <is>
          <t>J-P-0011</t>
        </is>
      </c>
      <c r="B5711" s="12" t="inlineStr">
        <is>
          <t>J</t>
        </is>
      </c>
      <c r="C5711" s="12" t="inlineStr">
        <is>
          <t>GT inlet chilling</t>
        </is>
      </c>
      <c r="D5711" s="12" t="inlineStr">
        <is>
          <t>Motor 6 of 6, 7 kW</t>
        </is>
      </c>
      <c r="E5711" s="12" t="inlineStr"/>
      <c r="F5711" s="12" t="inlineStr">
        <is>
          <t>Inlet-chilling e-house / transformer</t>
        </is>
      </c>
      <c r="G5711" s="12" t="inlineStr"/>
      <c r="H5711" s="12" t="inlineStr">
        <is>
          <t>Chillers x6 (water-cooled)</t>
        </is>
      </c>
      <c r="I5711" s="12" t="inlineStr">
        <is>
          <t>LV 600 V</t>
        </is>
      </c>
      <c r="J5711" s="12" t="inlineStr">
        <is>
          <t>Type TC-ER 600 V 3/C Cu XHHW-2 + ground, PVC jacket</t>
        </is>
      </c>
      <c r="K5711" s="12" t="inlineStr">
        <is>
          <t>LV|3/C+G|10</t>
        </is>
      </c>
      <c r="L5711" s="12" t="inlineStr">
        <is>
          <t>3/C+G</t>
        </is>
      </c>
      <c r="M5711" s="12" t="inlineStr">
        <is>
          <t>10</t>
        </is>
      </c>
      <c r="N5711" s="12" t="n">
        <v>1</v>
      </c>
      <c r="O5711" s="12" t="n">
        <v>1</v>
      </c>
      <c r="P5711" s="12" t="n">
        <v>480</v>
      </c>
      <c r="Q5711" s="12" t="n">
        <v>7</v>
      </c>
      <c r="R5711" s="12" t="n">
        <v>9.9</v>
      </c>
      <c r="S5711" s="12" t="inlineStr">
        <is>
          <t>Duct bank</t>
        </is>
      </c>
      <c r="T5711" s="15" t="n">
        <v>10</v>
      </c>
      <c r="U5711" s="15" t="n">
        <v>32</v>
      </c>
      <c r="V5711" s="15">
        <f>ROUNDUP((T5711+U5711+2*'Read Me'!$B$13)*(1+'Read Me'!$B$12),-1)</f>
        <v/>
      </c>
      <c r="W5711" s="15">
        <f>V5711*N5711*O5711</f>
        <v/>
      </c>
      <c r="X5711" s="12">
        <f>IF(LEFT(I5711,2)="MV",2*N5711*IF(L5711="1/C",O5711,1),0)</f>
        <v/>
      </c>
      <c r="Y5711" s="12">
        <f>IF(OR(LEFT(K5711,4)="LVAX",LEFT(K5711,6)="MV15AX",LEFT(K5711,4)="CTAX",LEFT(K5711,2)="W|"),2*N5711*O5711,0)</f>
        <v/>
      </c>
      <c r="Z5711" s="12" t="inlineStr">
        <is>
          <t>VD 0.2 %</t>
        </is>
      </c>
      <c r="AA5711" s="12">
        <f>N5711*O5711</f>
        <v/>
      </c>
    </row>
    <row r="5712">
      <c r="A5712" s="12" t="inlineStr">
        <is>
          <t>J-P-0012</t>
        </is>
      </c>
      <c r="B5712" s="12" t="inlineStr">
        <is>
          <t>J</t>
        </is>
      </c>
      <c r="C5712" s="12" t="inlineStr">
        <is>
          <t>GT inlet chilling</t>
        </is>
      </c>
      <c r="D5712" s="12" t="inlineStr">
        <is>
          <t>Motor 1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J-P-0013</t>
        </is>
      </c>
      <c r="B5713" s="12" t="inlineStr">
        <is>
          <t>J</t>
        </is>
      </c>
      <c r="C5713" s="12" t="inlineStr">
        <is>
          <t>GT inlet chilling</t>
        </is>
      </c>
      <c r="D5713" s="12" t="inlineStr">
        <is>
          <t>Motor 2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J-P-0014</t>
        </is>
      </c>
      <c r="B5714" s="12" t="inlineStr">
        <is>
          <t>J</t>
        </is>
      </c>
      <c r="C5714" s="12" t="inlineStr">
        <is>
          <t>GT inlet chilling</t>
        </is>
      </c>
      <c r="D5714" s="12" t="inlineStr">
        <is>
          <t>Motor 3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J-P-0015</t>
        </is>
      </c>
      <c r="B5715" s="12" t="inlineStr">
        <is>
          <t>J</t>
        </is>
      </c>
      <c r="C5715" s="12" t="inlineStr">
        <is>
          <t>GT inlet chilling</t>
        </is>
      </c>
      <c r="D5715" s="12" t="inlineStr">
        <is>
          <t>Motor 4 of 12, 75 kW (VFD output)</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VFD cable 600 V 3/C Cu XHHW-2, 3 symmetrical grounds, overall Cu tape shield, TC-ER</t>
        </is>
      </c>
      <c r="K5715" s="12" t="inlineStr">
        <is>
          <t>VFD|3/C+3G|2/0</t>
        </is>
      </c>
      <c r="L5715" s="12" t="inlineStr">
        <is>
          <t>3/C+3G</t>
        </is>
      </c>
      <c r="M5715" s="12" t="inlineStr">
        <is>
          <t>2/0</t>
        </is>
      </c>
      <c r="N5715" s="12" t="n">
        <v>1</v>
      </c>
      <c r="O5715" s="12" t="n">
        <v>1</v>
      </c>
      <c r="P5715" s="12" t="n">
        <v>480</v>
      </c>
      <c r="Q5715" s="12" t="n">
        <v>75</v>
      </c>
      <c r="R5715" s="12" t="n">
        <v>106</v>
      </c>
      <c r="S5715" s="12" t="inlineStr">
        <is>
          <t>Duct bank</t>
        </is>
      </c>
      <c r="T5715" s="15" t="n">
        <v>683</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VD 2.9 %</t>
        </is>
      </c>
      <c r="AA5715" s="12">
        <f>N5715*O5715</f>
        <v/>
      </c>
    </row>
    <row r="5716">
      <c r="A5716" s="12" t="inlineStr">
        <is>
          <t>J-P-0016</t>
        </is>
      </c>
      <c r="B5716" s="12" t="inlineStr">
        <is>
          <t>J</t>
        </is>
      </c>
      <c r="C5716" s="12" t="inlineStr">
        <is>
          <t>GT inlet chilling</t>
        </is>
      </c>
      <c r="D5716" s="12" t="inlineStr">
        <is>
          <t>Motor 5 of 12, 75 kW (VFD output)</t>
        </is>
      </c>
      <c r="E5716" s="12" t="inlineStr"/>
      <c r="F5716" s="12" t="inlineStr">
        <is>
          <t>Inlet-chilling e-house / transformer</t>
        </is>
      </c>
      <c r="G5716" s="12" t="inlineStr"/>
      <c r="H5716" s="12" t="inlineStr">
        <is>
          <t>Inlet-chilling tower (12 cells): chiller heat rejection</t>
        </is>
      </c>
      <c r="I5716" s="12" t="inlineStr">
        <is>
          <t>LV 600 V</t>
        </is>
      </c>
      <c r="J5716" s="12" t="inlineStr">
        <is>
          <t>VFD cable 600 V 3/C Cu XHHW-2, 3 symmetrical grounds, overall Cu tape shield, TC-ER</t>
        </is>
      </c>
      <c r="K5716" s="12" t="inlineStr">
        <is>
          <t>VFD|3/C+3G|2/0</t>
        </is>
      </c>
      <c r="L5716" s="12" t="inlineStr">
        <is>
          <t>3/C+3G</t>
        </is>
      </c>
      <c r="M5716" s="12" t="inlineStr">
        <is>
          <t>2/0</t>
        </is>
      </c>
      <c r="N5716" s="12" t="n">
        <v>1</v>
      </c>
      <c r="O5716" s="12" t="n">
        <v>1</v>
      </c>
      <c r="P5716" s="12" t="n">
        <v>480</v>
      </c>
      <c r="Q5716" s="12" t="n">
        <v>75</v>
      </c>
      <c r="R5716" s="12" t="n">
        <v>106</v>
      </c>
      <c r="S5716" s="12" t="inlineStr">
        <is>
          <t>Duct bank</t>
        </is>
      </c>
      <c r="T5716" s="15" t="n">
        <v>683</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is>
          <t>VD 2.9 %</t>
        </is>
      </c>
      <c r="AA5716" s="12">
        <f>N5716*O5716</f>
        <v/>
      </c>
    </row>
    <row r="5717">
      <c r="A5717" s="12" t="inlineStr">
        <is>
          <t>J-P-0017</t>
        </is>
      </c>
      <c r="B5717" s="12" t="inlineStr">
        <is>
          <t>J</t>
        </is>
      </c>
      <c r="C5717" s="12" t="inlineStr">
        <is>
          <t>GT inlet chilling</t>
        </is>
      </c>
      <c r="D5717" s="12" t="inlineStr">
        <is>
          <t>Motor 6 of 12, 75 kW (VFD output)</t>
        </is>
      </c>
      <c r="E5717" s="12" t="inlineStr"/>
      <c r="F5717" s="12" t="inlineStr">
        <is>
          <t>Inlet-chilling e-house / transformer</t>
        </is>
      </c>
      <c r="G5717" s="12" t="inlineStr"/>
      <c r="H5717" s="12" t="inlineStr">
        <is>
          <t>Inlet-chilling tower (12 cells): chiller heat rejection</t>
        </is>
      </c>
      <c r="I5717" s="12" t="inlineStr">
        <is>
          <t>LV 600 V</t>
        </is>
      </c>
      <c r="J5717" s="12" t="inlineStr">
        <is>
          <t>VFD cable 600 V 3/C Cu XHHW-2, 3 symmetrical grounds, overall Cu tape shield, TC-ER</t>
        </is>
      </c>
      <c r="K5717" s="12" t="inlineStr">
        <is>
          <t>VFD|3/C+3G|2/0</t>
        </is>
      </c>
      <c r="L5717" s="12" t="inlineStr">
        <is>
          <t>3/C+3G</t>
        </is>
      </c>
      <c r="M5717" s="12" t="inlineStr">
        <is>
          <t>2/0</t>
        </is>
      </c>
      <c r="N5717" s="12" t="n">
        <v>1</v>
      </c>
      <c r="O5717" s="12" t="n">
        <v>1</v>
      </c>
      <c r="P5717" s="12" t="n">
        <v>480</v>
      </c>
      <c r="Q5717" s="12" t="n">
        <v>75</v>
      </c>
      <c r="R5717" s="12" t="n">
        <v>106</v>
      </c>
      <c r="S5717" s="12" t="inlineStr">
        <is>
          <t>Duct bank</t>
        </is>
      </c>
      <c r="T5717" s="15" t="n">
        <v>683</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is>
          <t>VD 2.9 %</t>
        </is>
      </c>
      <c r="AA5717" s="12">
        <f>N5717*O5717</f>
        <v/>
      </c>
    </row>
    <row r="5718">
      <c r="A5718" s="12" t="inlineStr">
        <is>
          <t>J-P-0018</t>
        </is>
      </c>
      <c r="B5718" s="12" t="inlineStr">
        <is>
          <t>J</t>
        </is>
      </c>
      <c r="C5718" s="12" t="inlineStr">
        <is>
          <t>GT inlet chilling</t>
        </is>
      </c>
      <c r="D5718" s="12" t="inlineStr">
        <is>
          <t>Motor 7 of 12, 75 kW (VFD output)</t>
        </is>
      </c>
      <c r="E5718" s="12" t="inlineStr"/>
      <c r="F5718" s="12" t="inlineStr">
        <is>
          <t>Inlet-chilling e-house / transformer</t>
        </is>
      </c>
      <c r="G5718" s="12" t="inlineStr"/>
      <c r="H5718" s="12" t="inlineStr">
        <is>
          <t>Inlet-chilling tower (12 cells): chiller heat rejection</t>
        </is>
      </c>
      <c r="I5718" s="12" t="inlineStr">
        <is>
          <t>LV 600 V</t>
        </is>
      </c>
      <c r="J5718" s="12" t="inlineStr">
        <is>
          <t>VFD cable 600 V 3/C Cu XHHW-2, 3 symmetrical grounds, overall Cu tape shield, TC-ER</t>
        </is>
      </c>
      <c r="K5718" s="12" t="inlineStr">
        <is>
          <t>VFD|3/C+3G|2/0</t>
        </is>
      </c>
      <c r="L5718" s="12" t="inlineStr">
        <is>
          <t>3/C+3G</t>
        </is>
      </c>
      <c r="M5718" s="12" t="inlineStr">
        <is>
          <t>2/0</t>
        </is>
      </c>
      <c r="N5718" s="12" t="n">
        <v>1</v>
      </c>
      <c r="O5718" s="12" t="n">
        <v>1</v>
      </c>
      <c r="P5718" s="12" t="n">
        <v>480</v>
      </c>
      <c r="Q5718" s="12" t="n">
        <v>75</v>
      </c>
      <c r="R5718" s="12" t="n">
        <v>106</v>
      </c>
      <c r="S5718" s="12" t="inlineStr">
        <is>
          <t>Duct bank</t>
        </is>
      </c>
      <c r="T5718" s="15" t="n">
        <v>683</v>
      </c>
      <c r="U5718" s="15" t="n">
        <v>38</v>
      </c>
      <c r="V5718" s="15">
        <f>ROUNDUP((T5718+U5718+2*'Read Me'!$B$13)*(1+'Read Me'!$B$12),-1)</f>
        <v/>
      </c>
      <c r="W5718" s="15">
        <f>V5718*N5718*O5718</f>
        <v/>
      </c>
      <c r="X5718" s="12">
        <f>IF(LEFT(I5718,2)="MV",2*N5718*IF(L5718="1/C",O5718,1),0)</f>
        <v/>
      </c>
      <c r="Y5718" s="12">
        <f>IF(OR(LEFT(K5718,4)="LVAX",LEFT(K5718,6)="MV15AX",LEFT(K5718,4)="CTAX",LEFT(K5718,2)="W|"),2*N5718*O5718,0)</f>
        <v/>
      </c>
      <c r="Z5718" s="12" t="inlineStr">
        <is>
          <t>VD 2.9 %</t>
        </is>
      </c>
      <c r="AA5718" s="12">
        <f>N5718*O5718</f>
        <v/>
      </c>
    </row>
    <row r="5719">
      <c r="A5719" s="12" t="inlineStr">
        <is>
          <t>J-P-0019</t>
        </is>
      </c>
      <c r="B5719" s="12" t="inlineStr">
        <is>
          <t>J</t>
        </is>
      </c>
      <c r="C5719" s="12" t="inlineStr">
        <is>
          <t>GT inlet chilling</t>
        </is>
      </c>
      <c r="D5719" s="12" t="inlineStr">
        <is>
          <t>Motor 8 of 12, 75 kW (VFD output)</t>
        </is>
      </c>
      <c r="E5719" s="12" t="inlineStr"/>
      <c r="F5719" s="12" t="inlineStr">
        <is>
          <t>Inlet-chilling e-house / transformer</t>
        </is>
      </c>
      <c r="G5719" s="12" t="inlineStr"/>
      <c r="H5719" s="12" t="inlineStr">
        <is>
          <t>Inlet-chilling tower (12 cells): chiller heat rejection</t>
        </is>
      </c>
      <c r="I5719" s="12" t="inlineStr">
        <is>
          <t>LV 600 V</t>
        </is>
      </c>
      <c r="J5719" s="12" t="inlineStr">
        <is>
          <t>VFD cable 600 V 3/C Cu XHHW-2, 3 symmetrical grounds, overall Cu tape shield, TC-ER</t>
        </is>
      </c>
      <c r="K5719" s="12" t="inlineStr">
        <is>
          <t>VFD|3/C+3G|2/0</t>
        </is>
      </c>
      <c r="L5719" s="12" t="inlineStr">
        <is>
          <t>3/C+3G</t>
        </is>
      </c>
      <c r="M5719" s="12" t="inlineStr">
        <is>
          <t>2/0</t>
        </is>
      </c>
      <c r="N5719" s="12" t="n">
        <v>1</v>
      </c>
      <c r="O5719" s="12" t="n">
        <v>1</v>
      </c>
      <c r="P5719" s="12" t="n">
        <v>480</v>
      </c>
      <c r="Q5719" s="12" t="n">
        <v>75</v>
      </c>
      <c r="R5719" s="12" t="n">
        <v>106</v>
      </c>
      <c r="S5719" s="12" t="inlineStr">
        <is>
          <t>Duct bank</t>
        </is>
      </c>
      <c r="T5719" s="15" t="n">
        <v>683</v>
      </c>
      <c r="U5719" s="15" t="n">
        <v>38</v>
      </c>
      <c r="V5719" s="15">
        <f>ROUNDUP((T5719+U5719+2*'Read Me'!$B$13)*(1+'Read Me'!$B$12),-1)</f>
        <v/>
      </c>
      <c r="W5719" s="15">
        <f>V5719*N5719*O5719</f>
        <v/>
      </c>
      <c r="X5719" s="12">
        <f>IF(LEFT(I5719,2)="MV",2*N5719*IF(L5719="1/C",O5719,1),0)</f>
        <v/>
      </c>
      <c r="Y5719" s="12">
        <f>IF(OR(LEFT(K5719,4)="LVAX",LEFT(K5719,6)="MV15AX",LEFT(K5719,4)="CTAX",LEFT(K5719,2)="W|"),2*N5719*O5719,0)</f>
        <v/>
      </c>
      <c r="Z5719" s="12" t="inlineStr">
        <is>
          <t>VD 2.9 %</t>
        </is>
      </c>
      <c r="AA5719" s="12">
        <f>N5719*O5719</f>
        <v/>
      </c>
    </row>
    <row r="5720">
      <c r="A5720" s="12" t="inlineStr">
        <is>
          <t>J-P-0020</t>
        </is>
      </c>
      <c r="B5720" s="12" t="inlineStr">
        <is>
          <t>J</t>
        </is>
      </c>
      <c r="C5720" s="12" t="inlineStr">
        <is>
          <t>GT inlet chilling</t>
        </is>
      </c>
      <c r="D5720" s="12" t="inlineStr">
        <is>
          <t>Motor 9 of 12, 75 kW (VFD output)</t>
        </is>
      </c>
      <c r="E5720" s="12" t="inlineStr"/>
      <c r="F5720" s="12" t="inlineStr">
        <is>
          <t>Inlet-chilling e-house / transformer</t>
        </is>
      </c>
      <c r="G5720" s="12" t="inlineStr"/>
      <c r="H5720" s="12" t="inlineStr">
        <is>
          <t>Inlet-chilling tower (12 cells): chiller heat rejection</t>
        </is>
      </c>
      <c r="I5720" s="12" t="inlineStr">
        <is>
          <t>LV 600 V</t>
        </is>
      </c>
      <c r="J5720" s="12" t="inlineStr">
        <is>
          <t>VFD cable 600 V 3/C Cu XHHW-2, 3 symmetrical grounds, overall Cu tape shield, TC-ER</t>
        </is>
      </c>
      <c r="K5720" s="12" t="inlineStr">
        <is>
          <t>VFD|3/C+3G|2/0</t>
        </is>
      </c>
      <c r="L5720" s="12" t="inlineStr">
        <is>
          <t>3/C+3G</t>
        </is>
      </c>
      <c r="M5720" s="12" t="inlineStr">
        <is>
          <t>2/0</t>
        </is>
      </c>
      <c r="N5720" s="12" t="n">
        <v>1</v>
      </c>
      <c r="O5720" s="12" t="n">
        <v>1</v>
      </c>
      <c r="P5720" s="12" t="n">
        <v>480</v>
      </c>
      <c r="Q5720" s="12" t="n">
        <v>75</v>
      </c>
      <c r="R5720" s="12" t="n">
        <v>106</v>
      </c>
      <c r="S5720" s="12" t="inlineStr">
        <is>
          <t>Duct bank</t>
        </is>
      </c>
      <c r="T5720" s="15" t="n">
        <v>683</v>
      </c>
      <c r="U5720" s="15" t="n">
        <v>38</v>
      </c>
      <c r="V5720" s="15">
        <f>ROUNDUP((T5720+U5720+2*'Read Me'!$B$13)*(1+'Read Me'!$B$12),-1)</f>
        <v/>
      </c>
      <c r="W5720" s="15">
        <f>V5720*N5720*O5720</f>
        <v/>
      </c>
      <c r="X5720" s="12">
        <f>IF(LEFT(I5720,2)="MV",2*N5720*IF(L5720="1/C",O5720,1),0)</f>
        <v/>
      </c>
      <c r="Y5720" s="12">
        <f>IF(OR(LEFT(K5720,4)="LVAX",LEFT(K5720,6)="MV15AX",LEFT(K5720,4)="CTAX",LEFT(K5720,2)="W|"),2*N5720*O5720,0)</f>
        <v/>
      </c>
      <c r="Z5720" s="12" t="inlineStr">
        <is>
          <t>VD 2.9 %</t>
        </is>
      </c>
      <c r="AA5720" s="12">
        <f>N5720*O5720</f>
        <v/>
      </c>
    </row>
    <row r="5721">
      <c r="A5721" s="12" t="inlineStr">
        <is>
          <t>J-P-0021</t>
        </is>
      </c>
      <c r="B5721" s="12" t="inlineStr">
        <is>
          <t>J</t>
        </is>
      </c>
      <c r="C5721" s="12" t="inlineStr">
        <is>
          <t>GT inlet chilling</t>
        </is>
      </c>
      <c r="D5721" s="12" t="inlineStr">
        <is>
          <t>Motor 10 of 12, 75 kW (VFD output)</t>
        </is>
      </c>
      <c r="E5721" s="12" t="inlineStr"/>
      <c r="F5721" s="12" t="inlineStr">
        <is>
          <t>Inlet-chilling e-house / transformer</t>
        </is>
      </c>
      <c r="G5721" s="12" t="inlineStr"/>
      <c r="H5721" s="12" t="inlineStr">
        <is>
          <t>Inlet-chilling tower (12 cells): chiller heat rejection</t>
        </is>
      </c>
      <c r="I5721" s="12" t="inlineStr">
        <is>
          <t>LV 600 V</t>
        </is>
      </c>
      <c r="J5721" s="12" t="inlineStr">
        <is>
          <t>VFD cable 600 V 3/C Cu XHHW-2, 3 symmetrical grounds, overall Cu tape shield, TC-ER</t>
        </is>
      </c>
      <c r="K5721" s="12" t="inlineStr">
        <is>
          <t>VFD|3/C+3G|2/0</t>
        </is>
      </c>
      <c r="L5721" s="12" t="inlineStr">
        <is>
          <t>3/C+3G</t>
        </is>
      </c>
      <c r="M5721" s="12" t="inlineStr">
        <is>
          <t>2/0</t>
        </is>
      </c>
      <c r="N5721" s="12" t="n">
        <v>1</v>
      </c>
      <c r="O5721" s="12" t="n">
        <v>1</v>
      </c>
      <c r="P5721" s="12" t="n">
        <v>480</v>
      </c>
      <c r="Q5721" s="12" t="n">
        <v>75</v>
      </c>
      <c r="R5721" s="12" t="n">
        <v>106</v>
      </c>
      <c r="S5721" s="12" t="inlineStr">
        <is>
          <t>Duct bank</t>
        </is>
      </c>
      <c r="T5721" s="15" t="n">
        <v>683</v>
      </c>
      <c r="U5721" s="15" t="n">
        <v>38</v>
      </c>
      <c r="V5721" s="15">
        <f>ROUNDUP((T5721+U5721+2*'Read Me'!$B$13)*(1+'Read Me'!$B$12),-1)</f>
        <v/>
      </c>
      <c r="W5721" s="15">
        <f>V5721*N5721*O5721</f>
        <v/>
      </c>
      <c r="X5721" s="12">
        <f>IF(LEFT(I5721,2)="MV",2*N5721*IF(L5721="1/C",O5721,1),0)</f>
        <v/>
      </c>
      <c r="Y5721" s="12">
        <f>IF(OR(LEFT(K5721,4)="LVAX",LEFT(K5721,6)="MV15AX",LEFT(K5721,4)="CTAX",LEFT(K5721,2)="W|"),2*N5721*O5721,0)</f>
        <v/>
      </c>
      <c r="Z5721" s="12" t="inlineStr">
        <is>
          <t>VD 2.9 %</t>
        </is>
      </c>
      <c r="AA5721" s="12">
        <f>N5721*O5721</f>
        <v/>
      </c>
    </row>
    <row r="5722">
      <c r="A5722" s="12" t="inlineStr">
        <is>
          <t>J-P-0022</t>
        </is>
      </c>
      <c r="B5722" s="12" t="inlineStr">
        <is>
          <t>J</t>
        </is>
      </c>
      <c r="C5722" s="12" t="inlineStr">
        <is>
          <t>GT inlet chilling</t>
        </is>
      </c>
      <c r="D5722" s="12" t="inlineStr">
        <is>
          <t>Motor 11 of 12, 75 kW (VFD output)</t>
        </is>
      </c>
      <c r="E5722" s="12" t="inlineStr"/>
      <c r="F5722" s="12" t="inlineStr">
        <is>
          <t>Inlet-chilling e-house / transformer</t>
        </is>
      </c>
      <c r="G5722" s="12" t="inlineStr"/>
      <c r="H5722" s="12" t="inlineStr">
        <is>
          <t>Inlet-chilling tower (12 cells): chiller heat rejection</t>
        </is>
      </c>
      <c r="I5722" s="12" t="inlineStr">
        <is>
          <t>LV 600 V</t>
        </is>
      </c>
      <c r="J5722" s="12" t="inlineStr">
        <is>
          <t>VFD cable 600 V 3/C Cu XHHW-2, 3 symmetrical grounds, overall Cu tape shield, TC-ER</t>
        </is>
      </c>
      <c r="K5722" s="12" t="inlineStr">
        <is>
          <t>VFD|3/C+3G|2/0</t>
        </is>
      </c>
      <c r="L5722" s="12" t="inlineStr">
        <is>
          <t>3/C+3G</t>
        </is>
      </c>
      <c r="M5722" s="12" t="inlineStr">
        <is>
          <t>2/0</t>
        </is>
      </c>
      <c r="N5722" s="12" t="n">
        <v>1</v>
      </c>
      <c r="O5722" s="12" t="n">
        <v>1</v>
      </c>
      <c r="P5722" s="12" t="n">
        <v>480</v>
      </c>
      <c r="Q5722" s="12" t="n">
        <v>75</v>
      </c>
      <c r="R5722" s="12" t="n">
        <v>106</v>
      </c>
      <c r="S5722" s="12" t="inlineStr">
        <is>
          <t>Duct bank</t>
        </is>
      </c>
      <c r="T5722" s="15" t="n">
        <v>683</v>
      </c>
      <c r="U5722" s="15" t="n">
        <v>38</v>
      </c>
      <c r="V5722" s="15">
        <f>ROUNDUP((T5722+U5722+2*'Read Me'!$B$13)*(1+'Read Me'!$B$12),-1)</f>
        <v/>
      </c>
      <c r="W5722" s="15">
        <f>V5722*N5722*O5722</f>
        <v/>
      </c>
      <c r="X5722" s="12">
        <f>IF(LEFT(I5722,2)="MV",2*N5722*IF(L5722="1/C",O5722,1),0)</f>
        <v/>
      </c>
      <c r="Y5722" s="12">
        <f>IF(OR(LEFT(K5722,4)="LVAX",LEFT(K5722,6)="MV15AX",LEFT(K5722,4)="CTAX",LEFT(K5722,2)="W|"),2*N5722*O5722,0)</f>
        <v/>
      </c>
      <c r="Z5722" s="12" t="inlineStr">
        <is>
          <t>VD 2.9 %</t>
        </is>
      </c>
      <c r="AA5722" s="12">
        <f>N5722*O5722</f>
        <v/>
      </c>
    </row>
    <row r="5723">
      <c r="A5723" s="12" t="inlineStr">
        <is>
          <t>J-P-0023</t>
        </is>
      </c>
      <c r="B5723" s="12" t="inlineStr">
        <is>
          <t>J</t>
        </is>
      </c>
      <c r="C5723" s="12" t="inlineStr">
        <is>
          <t>GT inlet chilling</t>
        </is>
      </c>
      <c r="D5723" s="12" t="inlineStr">
        <is>
          <t>Motor 12 of 12, 75 kW (VFD output)</t>
        </is>
      </c>
      <c r="E5723" s="12" t="inlineStr"/>
      <c r="F5723" s="12" t="inlineStr">
        <is>
          <t>Inlet-chilling e-house / transformer</t>
        </is>
      </c>
      <c r="G5723" s="12" t="inlineStr"/>
      <c r="H5723" s="12" t="inlineStr">
        <is>
          <t>Inlet-chilling tower (12 cells): chiller heat rejection</t>
        </is>
      </c>
      <c r="I5723" s="12" t="inlineStr">
        <is>
          <t>LV 600 V</t>
        </is>
      </c>
      <c r="J5723" s="12" t="inlineStr">
        <is>
          <t>VFD cable 600 V 3/C Cu XHHW-2, 3 symmetrical grounds, overall Cu tape shield, TC-ER</t>
        </is>
      </c>
      <c r="K5723" s="12" t="inlineStr">
        <is>
          <t>VFD|3/C+3G|2/0</t>
        </is>
      </c>
      <c r="L5723" s="12" t="inlineStr">
        <is>
          <t>3/C+3G</t>
        </is>
      </c>
      <c r="M5723" s="12" t="inlineStr">
        <is>
          <t>2/0</t>
        </is>
      </c>
      <c r="N5723" s="12" t="n">
        <v>1</v>
      </c>
      <c r="O5723" s="12" t="n">
        <v>1</v>
      </c>
      <c r="P5723" s="12" t="n">
        <v>480</v>
      </c>
      <c r="Q5723" s="12" t="n">
        <v>75</v>
      </c>
      <c r="R5723" s="12" t="n">
        <v>106</v>
      </c>
      <c r="S5723" s="12" t="inlineStr">
        <is>
          <t>Duct bank</t>
        </is>
      </c>
      <c r="T5723" s="15" t="n">
        <v>683</v>
      </c>
      <c r="U5723" s="15" t="n">
        <v>38</v>
      </c>
      <c r="V5723" s="15">
        <f>ROUNDUP((T5723+U5723+2*'Read Me'!$B$13)*(1+'Read Me'!$B$12),-1)</f>
        <v/>
      </c>
      <c r="W5723" s="15">
        <f>V5723*N5723*O5723</f>
        <v/>
      </c>
      <c r="X5723" s="12">
        <f>IF(LEFT(I5723,2)="MV",2*N5723*IF(L5723="1/C",O5723,1),0)</f>
        <v/>
      </c>
      <c r="Y5723" s="12">
        <f>IF(OR(LEFT(K5723,4)="LVAX",LEFT(K5723,6)="MV15AX",LEFT(K5723,4)="CTAX",LEFT(K5723,2)="W|"),2*N5723*O5723,0)</f>
        <v/>
      </c>
      <c r="Z5723" s="12" t="inlineStr">
        <is>
          <t>VD 2.9 %</t>
        </is>
      </c>
      <c r="AA5723" s="12">
        <f>N5723*O5723</f>
        <v/>
      </c>
    </row>
    <row r="5724">
      <c r="A5724" s="12" t="inlineStr">
        <is>
          <t>J-P-0024</t>
        </is>
      </c>
      <c r="B5724" s="12" t="inlineStr">
        <is>
          <t>J</t>
        </is>
      </c>
      <c r="C5724" s="12" t="inlineStr">
        <is>
          <t>GT inlet chilling</t>
        </is>
      </c>
      <c r="D5724" s="12" t="inlineStr">
        <is>
          <t>Area / platform lighting circuit 1 (12 fixtures)</t>
        </is>
      </c>
      <c r="E5724" s="12" t="inlineStr"/>
      <c r="F5724" s="12" t="inlineStr">
        <is>
          <t>Inlet-chilling e-house / transformer</t>
        </is>
      </c>
      <c r="G5724" s="12" t="inlineStr"/>
      <c r="H5724" s="12" t="inlineStr">
        <is>
          <t>Inlet-chilling tower (12 cells): chiller heat rejection</t>
        </is>
      </c>
      <c r="I5724" s="12" t="inlineStr">
        <is>
          <t>LV 600 V</t>
        </is>
      </c>
      <c r="J5724" s="12" t="inlineStr">
        <is>
          <t>Type TC-ER 600 V 3/C Cu XHHW-2 + ground, PVC jacket</t>
        </is>
      </c>
      <c r="K5724" s="12" t="inlineStr">
        <is>
          <t>LV|3/C+G|10</t>
        </is>
      </c>
      <c r="L5724" s="12" t="inlineStr">
        <is>
          <t>3/C+G</t>
        </is>
      </c>
      <c r="M5724" s="12" t="inlineStr">
        <is>
          <t>10</t>
        </is>
      </c>
      <c r="N5724" s="12" t="n">
        <v>1</v>
      </c>
      <c r="O5724" s="12" t="n">
        <v>1</v>
      </c>
      <c r="P5724" s="12" t="n">
        <v>480</v>
      </c>
      <c r="Q5724" s="12" t="n">
        <v>3</v>
      </c>
      <c r="R5724" s="12" t="n">
        <v>5</v>
      </c>
      <c r="S5724" s="12" t="inlineStr">
        <is>
          <t>Duct bank</t>
        </is>
      </c>
      <c r="T5724" s="15" t="n">
        <v>778</v>
      </c>
      <c r="U5724" s="15" t="n">
        <v>38</v>
      </c>
      <c r="V5724" s="15">
        <f>ROUNDUP((T5724+U5724+2*'Read Me'!$B$13)*(1+'Read Me'!$B$12),-1)</f>
        <v/>
      </c>
      <c r="W5724" s="15">
        <f>V5724*N5724*O5724</f>
        <v/>
      </c>
      <c r="X5724" s="12">
        <f>IF(LEFT(I5724,2)="MV",2*N5724*IF(L5724="1/C",O5724,1),0)</f>
        <v/>
      </c>
      <c r="Y5724" s="12">
        <f>IF(OR(LEFT(K5724,4)="LVAX",LEFT(K5724,6)="MV15AX",LEFT(K5724,4)="CTAX",LEFT(K5724,2)="W|"),2*N5724*O5724,0)</f>
        <v/>
      </c>
      <c r="Z5724" s="12" t="inlineStr">
        <is>
          <t>fixture-to-fixture run included</t>
        </is>
      </c>
      <c r="AA5724" s="12">
        <f>N5724*O5724</f>
        <v/>
      </c>
    </row>
    <row r="5725">
      <c r="A5725" s="12" t="inlineStr">
        <is>
          <t>J-MV-0001</t>
        </is>
      </c>
      <c r="B5725" s="12" t="inlineStr">
        <is>
          <t>J</t>
        </is>
      </c>
      <c r="C5725" s="12" t="inlineStr">
        <is>
          <t>GT inlet chilling</t>
        </is>
      </c>
      <c r="D5725" s="12" t="inlineStr">
        <is>
          <t>Inlet-chilling e-house / transformer</t>
        </is>
      </c>
      <c r="E5725" s="12" t="inlineStr">
        <is>
          <t>SWGR-13.8-1</t>
        </is>
      </c>
      <c r="F5725" s="12" t="inlineStr">
        <is>
          <t>R1 SWGR-13.8-1 (11 x 36 in cubicles, 15 kV metal-clad)</t>
        </is>
      </c>
      <c r="G5725" s="12" t="inlineStr"/>
      <c r="H5725" s="12" t="inlineStr">
        <is>
          <t>Inlet-chilling e-house / transformer</t>
        </is>
      </c>
      <c r="I5725" s="12" t="inlineStr">
        <is>
          <t>MV 15 kV</t>
        </is>
      </c>
      <c r="J5725" s="12" t="inlineStr">
        <is>
          <t>MV-105 15 kV 1/C Cu, EPR 133%, Cu tape shield, PVC jacket (triplexed)</t>
        </is>
      </c>
      <c r="K5725" s="12" t="inlineStr">
        <is>
          <t>MV15|1/C|1000</t>
        </is>
      </c>
      <c r="L5725" s="12" t="inlineStr">
        <is>
          <t>1/C</t>
        </is>
      </c>
      <c r="M5725" s="12" t="inlineStr">
        <is>
          <t>1000 kcmil</t>
        </is>
      </c>
      <c r="N5725" s="12" t="n">
        <v>1</v>
      </c>
      <c r="O5725" s="12" t="n">
        <v>3</v>
      </c>
      <c r="P5725" s="12" t="n">
        <v>13800</v>
      </c>
      <c r="Q5725" s="12" t="n">
        <v>12000</v>
      </c>
      <c r="R5725" s="12" t="n">
        <v>502</v>
      </c>
      <c r="S5725" s="12" t="inlineStr">
        <is>
          <t>Duct bank</t>
        </is>
      </c>
      <c r="T5725" s="15" t="n">
        <v>629</v>
      </c>
      <c r="U5725" s="15" t="n">
        <v>38</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J-MV-0002</t>
        </is>
      </c>
      <c r="B5726" s="12" t="inlineStr">
        <is>
          <t>J</t>
        </is>
      </c>
      <c r="C5726" s="12" t="inlineStr">
        <is>
          <t>GT inlet chilling</t>
        </is>
      </c>
      <c r="D5726" s="12" t="inlineStr">
        <is>
          <t>Inlet-chilling CW pump 1</t>
        </is>
      </c>
      <c r="E5726" s="12" t="inlineStr"/>
      <c r="F5726" s="12" t="inlineStr">
        <is>
          <t>Inlet-chilling e-house / transformer</t>
        </is>
      </c>
      <c r="G5726" s="12" t="inlineStr"/>
      <c r="H5726" s="12" t="inlineStr">
        <is>
          <t>CW pumps (inlet chilling)</t>
        </is>
      </c>
      <c r="I5726" s="12" t="inlineStr">
        <is>
          <t>MV 5 kV</t>
        </is>
      </c>
      <c r="J5726" s="12" t="inlineStr">
        <is>
          <t>MV-105 5 kV 3/C Cu, EPR 133%, tape shield, gnd, PVC jacket</t>
        </is>
      </c>
      <c r="K5726" s="12" t="inlineStr">
        <is>
          <t>MV5|3/C|2</t>
        </is>
      </c>
      <c r="L5726" s="12" t="inlineStr">
        <is>
          <t>3/C</t>
        </is>
      </c>
      <c r="M5726" s="12" t="inlineStr">
        <is>
          <t>2</t>
        </is>
      </c>
      <c r="N5726" s="12" t="n">
        <v>1</v>
      </c>
      <c r="O5726" s="12" t="n">
        <v>1</v>
      </c>
      <c r="P5726" s="12" t="n">
        <v>4160</v>
      </c>
      <c r="Q5726" s="12" t="n">
        <v>450</v>
      </c>
      <c r="R5726" s="12" t="n">
        <v>69</v>
      </c>
      <c r="S5726" s="12" t="inlineStr">
        <is>
          <t>Tray</t>
        </is>
      </c>
      <c r="T5726" s="15" t="n">
        <v>0</v>
      </c>
      <c r="U5726" s="15" t="n">
        <v>70</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J-MV-0003</t>
        </is>
      </c>
      <c r="B5727" s="12" t="inlineStr">
        <is>
          <t>J</t>
        </is>
      </c>
      <c r="C5727" s="12" t="inlineStr">
        <is>
          <t>GT inlet chilling</t>
        </is>
      </c>
      <c r="D5727" s="12" t="inlineStr">
        <is>
          <t>Inlet-chilling CW pump 2</t>
        </is>
      </c>
      <c r="E5727" s="12" t="inlineStr"/>
      <c r="F5727" s="12" t="inlineStr">
        <is>
          <t>Inlet-chilling e-house / transformer</t>
        </is>
      </c>
      <c r="G5727" s="12" t="inlineStr"/>
      <c r="H5727" s="12" t="inlineStr">
        <is>
          <t>CW pumps (inlet chilling)</t>
        </is>
      </c>
      <c r="I5727" s="12" t="inlineStr">
        <is>
          <t>MV 5 kV</t>
        </is>
      </c>
      <c r="J5727" s="12" t="inlineStr">
        <is>
          <t>MV-105 5 kV 3/C Cu, EPR 133%, tape shield, gnd, PVC jacket</t>
        </is>
      </c>
      <c r="K5727" s="12" t="inlineStr">
        <is>
          <t>MV5|3/C|2</t>
        </is>
      </c>
      <c r="L5727" s="12" t="inlineStr">
        <is>
          <t>3/C</t>
        </is>
      </c>
      <c r="M5727" s="12" t="inlineStr">
        <is>
          <t>2</t>
        </is>
      </c>
      <c r="N5727" s="12" t="n">
        <v>1</v>
      </c>
      <c r="O5727" s="12" t="n">
        <v>1</v>
      </c>
      <c r="P5727" s="12" t="n">
        <v>4160</v>
      </c>
      <c r="Q5727" s="12" t="n">
        <v>450</v>
      </c>
      <c r="R5727" s="12" t="n">
        <v>69</v>
      </c>
      <c r="S5727" s="12" t="inlineStr">
        <is>
          <t>Tray</t>
        </is>
      </c>
      <c r="T5727" s="15" t="n">
        <v>0</v>
      </c>
      <c r="U5727" s="15" t="n">
        <v>70</v>
      </c>
      <c r="V5727" s="15">
        <f>ROUNDUP((T5727+U5727+2*'Read Me'!$B$13)*(1+'Read Me'!$B$12),-1)</f>
        <v/>
      </c>
      <c r="W5727" s="15">
        <f>V5727*N5727*O5727</f>
        <v/>
      </c>
      <c r="X5727" s="12">
        <f>IF(LEFT(I5727,2)="MV",2*N5727*IF(L5727="1/C",O5727,1),0)</f>
        <v/>
      </c>
      <c r="Y5727" s="12">
        <f>IF(OR(LEFT(K5727,4)="LVAX",LEFT(K5727,6)="MV15AX",LEFT(K5727,4)="CTAX",LEFT(K5727,2)="W|"),2*N5727*O5727,0)</f>
        <v/>
      </c>
      <c r="Z5727" s="12" t="inlineStr"/>
      <c r="AA5727" s="12">
        <f>N5727*O5727</f>
        <v/>
      </c>
    </row>
    <row r="5728">
      <c r="A5728" s="12" t="inlineStr">
        <is>
          <t>J-MV-0004</t>
        </is>
      </c>
      <c r="B5728" s="12" t="inlineStr">
        <is>
          <t>J</t>
        </is>
      </c>
      <c r="C5728" s="12" t="inlineStr">
        <is>
          <t>GT inlet chilling</t>
        </is>
      </c>
      <c r="D5728" s="12" t="inlineStr">
        <is>
          <t>Inlet-chilling CW pump 3</t>
        </is>
      </c>
      <c r="E5728" s="12" t="inlineStr"/>
      <c r="F5728" s="12" t="inlineStr">
        <is>
          <t>Inlet-chilling e-house / transformer</t>
        </is>
      </c>
      <c r="G5728" s="12" t="inlineStr"/>
      <c r="H5728" s="12" t="inlineStr">
        <is>
          <t>CW pumps (inlet chilling)</t>
        </is>
      </c>
      <c r="I5728" s="12" t="inlineStr">
        <is>
          <t>MV 5 kV</t>
        </is>
      </c>
      <c r="J5728" s="12" t="inlineStr">
        <is>
          <t>MV-105 5 kV 3/C Cu, EPR 133%, tape shield, gnd, PVC jacket</t>
        </is>
      </c>
      <c r="K5728" s="12" t="inlineStr">
        <is>
          <t>MV5|3/C|2</t>
        </is>
      </c>
      <c r="L5728" s="12" t="inlineStr">
        <is>
          <t>3/C</t>
        </is>
      </c>
      <c r="M5728" s="12" t="inlineStr">
        <is>
          <t>2</t>
        </is>
      </c>
      <c r="N5728" s="12" t="n">
        <v>1</v>
      </c>
      <c r="O5728" s="12" t="n">
        <v>1</v>
      </c>
      <c r="P5728" s="12" t="n">
        <v>4160</v>
      </c>
      <c r="Q5728" s="12" t="n">
        <v>450</v>
      </c>
      <c r="R5728" s="12" t="n">
        <v>69</v>
      </c>
      <c r="S5728" s="12" t="inlineStr">
        <is>
          <t>Tray</t>
        </is>
      </c>
      <c r="T5728" s="15" t="n">
        <v>0</v>
      </c>
      <c r="U5728" s="15" t="n">
        <v>70</v>
      </c>
      <c r="V5728" s="15">
        <f>ROUNDUP((T5728+U5728+2*'Read Me'!$B$13)*(1+'Read Me'!$B$12),-1)</f>
        <v/>
      </c>
      <c r="W5728" s="15">
        <f>V5728*N5728*O5728</f>
        <v/>
      </c>
      <c r="X5728" s="12">
        <f>IF(LEFT(I5728,2)="MV",2*N5728*IF(L5728="1/C",O5728,1),0)</f>
        <v/>
      </c>
      <c r="Y5728" s="12">
        <f>IF(OR(LEFT(K5728,4)="LVAX",LEFT(K5728,6)="MV15AX",LEFT(K5728,4)="CTAX",LEFT(K5728,2)="W|"),2*N5728*O5728,0)</f>
        <v/>
      </c>
      <c r="Z5728" s="12" t="inlineStr"/>
      <c r="AA5728" s="12">
        <f>N5728*O5728</f>
        <v/>
      </c>
    </row>
    <row r="5729">
      <c r="A5729" s="12" t="inlineStr">
        <is>
          <t>J-MV-0005</t>
        </is>
      </c>
      <c r="B5729" s="12" t="inlineStr">
        <is>
          <t>J</t>
        </is>
      </c>
      <c r="C5729" s="12" t="inlineStr">
        <is>
          <t>GT inlet chilling</t>
        </is>
      </c>
      <c r="D5729" s="12" t="inlineStr">
        <is>
          <t>Inlet-chilling CW pump 4</t>
        </is>
      </c>
      <c r="E5729" s="12" t="inlineStr"/>
      <c r="F5729" s="12" t="inlineStr">
        <is>
          <t>Inlet-chilling e-house / transformer</t>
        </is>
      </c>
      <c r="G5729" s="12" t="inlineStr"/>
      <c r="H5729" s="12" t="inlineStr">
        <is>
          <t>CW pumps (inlet chilling)</t>
        </is>
      </c>
      <c r="I5729" s="12" t="inlineStr">
        <is>
          <t>MV 5 kV</t>
        </is>
      </c>
      <c r="J5729" s="12" t="inlineStr">
        <is>
          <t>MV-105 5 kV 3/C Cu, EPR 133%, tape shield, gnd, PVC jacket</t>
        </is>
      </c>
      <c r="K5729" s="12" t="inlineStr">
        <is>
          <t>MV5|3/C|2</t>
        </is>
      </c>
      <c r="L5729" s="12" t="inlineStr">
        <is>
          <t>3/C</t>
        </is>
      </c>
      <c r="M5729" s="12" t="inlineStr">
        <is>
          <t>2</t>
        </is>
      </c>
      <c r="N5729" s="12" t="n">
        <v>1</v>
      </c>
      <c r="O5729" s="12" t="n">
        <v>1</v>
      </c>
      <c r="P5729" s="12" t="n">
        <v>4160</v>
      </c>
      <c r="Q5729" s="12" t="n">
        <v>450</v>
      </c>
      <c r="R5729" s="12" t="n">
        <v>69</v>
      </c>
      <c r="S5729" s="12" t="inlineStr">
        <is>
          <t>Tray</t>
        </is>
      </c>
      <c r="T5729" s="15" t="n">
        <v>0</v>
      </c>
      <c r="U5729" s="15" t="n">
        <v>70</v>
      </c>
      <c r="V5729" s="15">
        <f>ROUNDUP((T5729+U5729+2*'Read Me'!$B$13)*(1+'Read Me'!$B$12),-1)</f>
        <v/>
      </c>
      <c r="W5729" s="15">
        <f>V5729*N5729*O5729</f>
        <v/>
      </c>
      <c r="X5729" s="12">
        <f>IF(LEFT(I5729,2)="MV",2*N5729*IF(L5729="1/C",O5729,1),0)</f>
        <v/>
      </c>
      <c r="Y5729" s="12">
        <f>IF(OR(LEFT(K5729,4)="LVAX",LEFT(K5729,6)="MV15AX",LEFT(K5729,4)="CTAX",LEFT(K5729,2)="W|"),2*N5729*O5729,0)</f>
        <v/>
      </c>
      <c r="Z5729" s="12" t="inlineStr"/>
      <c r="AA5729" s="12">
        <f>N5729*O5729</f>
        <v/>
      </c>
    </row>
    <row r="5730">
      <c r="A5730" s="12" t="inlineStr">
        <is>
          <t>J-MV-0006</t>
        </is>
      </c>
      <c r="B5730" s="12" t="inlineStr">
        <is>
          <t>J</t>
        </is>
      </c>
      <c r="C5730" s="12" t="inlineStr">
        <is>
          <t>GT inlet chilling</t>
        </is>
      </c>
      <c r="D5730" s="12" t="inlineStr">
        <is>
          <t>Water-cooled chiller CH-1</t>
        </is>
      </c>
      <c r="E5730" s="12" t="inlineStr"/>
      <c r="F5730" s="12" t="inlineStr">
        <is>
          <t>Inlet-chilling e-house / transformer</t>
        </is>
      </c>
      <c r="G5730" s="12" t="inlineStr"/>
      <c r="H5730" s="12" t="inlineStr">
        <is>
          <t>Chillers x6 (water-cooled)</t>
        </is>
      </c>
      <c r="I5730" s="12" t="inlineStr">
        <is>
          <t>MV 5 kV</t>
        </is>
      </c>
      <c r="J5730" s="12" t="inlineStr">
        <is>
          <t>MV-105 5 kV 3/C Cu, EPR 133%, tape shield, gnd, PVC jacket</t>
        </is>
      </c>
      <c r="K5730" s="12" t="inlineStr">
        <is>
          <t>MV5|3/C|250</t>
        </is>
      </c>
      <c r="L5730" s="12" t="inlineStr">
        <is>
          <t>3/C</t>
        </is>
      </c>
      <c r="M5730" s="12" t="inlineStr">
        <is>
          <t>250 kcmil</t>
        </is>
      </c>
      <c r="N5730" s="12" t="n">
        <v>1</v>
      </c>
      <c r="O5730" s="12" t="n">
        <v>1</v>
      </c>
      <c r="P5730" s="12" t="n">
        <v>4160</v>
      </c>
      <c r="Q5730" s="12" t="n">
        <v>1500</v>
      </c>
      <c r="R5730" s="12" t="n">
        <v>231</v>
      </c>
      <c r="S5730" s="12" t="inlineStr">
        <is>
          <t>Duct bank</t>
        </is>
      </c>
      <c r="T5730" s="15" t="n">
        <v>10</v>
      </c>
      <c r="U5730" s="15" t="n">
        <v>32</v>
      </c>
      <c r="V5730" s="15">
        <f>ROUNDUP((T5730+U5730+2*'Read Me'!$B$13)*(1+'Read Me'!$B$12),-1)</f>
        <v/>
      </c>
      <c r="W5730" s="15">
        <f>V5730*N5730*O5730</f>
        <v/>
      </c>
      <c r="X5730" s="12">
        <f>IF(LEFT(I5730,2)="MV",2*N5730*IF(L5730="1/C",O5730,1),0)</f>
        <v/>
      </c>
      <c r="Y5730" s="12">
        <f>IF(OR(LEFT(K5730,4)="LVAX",LEFT(K5730,6)="MV15AX",LEFT(K5730,4)="CTAX",LEFT(K5730,2)="W|"),2*N5730*O5730,0)</f>
        <v/>
      </c>
      <c r="Z5730" s="12" t="inlineStr"/>
      <c r="AA5730" s="12">
        <f>N5730*O5730</f>
        <v/>
      </c>
    </row>
    <row r="5731">
      <c r="A5731" s="12" t="inlineStr">
        <is>
          <t>J-MV-0007</t>
        </is>
      </c>
      <c r="B5731" s="12" t="inlineStr">
        <is>
          <t>J</t>
        </is>
      </c>
      <c r="C5731" s="12" t="inlineStr">
        <is>
          <t>GT inlet chilling</t>
        </is>
      </c>
      <c r="D5731" s="12" t="inlineStr">
        <is>
          <t>Water-cooled chiller CH-2</t>
        </is>
      </c>
      <c r="E5731" s="12" t="inlineStr"/>
      <c r="F5731" s="12" t="inlineStr">
        <is>
          <t>Inlet-chilling e-house / transformer</t>
        </is>
      </c>
      <c r="G5731" s="12" t="inlineStr"/>
      <c r="H5731" s="12" t="inlineStr">
        <is>
          <t>Chillers x6 (water-cooled)</t>
        </is>
      </c>
      <c r="I5731" s="12" t="inlineStr">
        <is>
          <t>MV 5 kV</t>
        </is>
      </c>
      <c r="J5731" s="12" t="inlineStr">
        <is>
          <t>MV-105 5 kV 3/C Cu, EPR 133%, tape shield, gnd, PVC jacket</t>
        </is>
      </c>
      <c r="K5731" s="12" t="inlineStr">
        <is>
          <t>MV5|3/C|250</t>
        </is>
      </c>
      <c r="L5731" s="12" t="inlineStr">
        <is>
          <t>3/C</t>
        </is>
      </c>
      <c r="M5731" s="12" t="inlineStr">
        <is>
          <t>250 kcmil</t>
        </is>
      </c>
      <c r="N5731" s="12" t="n">
        <v>1</v>
      </c>
      <c r="O5731" s="12" t="n">
        <v>1</v>
      </c>
      <c r="P5731" s="12" t="n">
        <v>4160</v>
      </c>
      <c r="Q5731" s="12" t="n">
        <v>1500</v>
      </c>
      <c r="R5731" s="12" t="n">
        <v>231</v>
      </c>
      <c r="S5731" s="12" t="inlineStr">
        <is>
          <t>Duct bank</t>
        </is>
      </c>
      <c r="T5731" s="15" t="n">
        <v>10</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J-MV-0008</t>
        </is>
      </c>
      <c r="B5732" s="12" t="inlineStr">
        <is>
          <t>J</t>
        </is>
      </c>
      <c r="C5732" s="12" t="inlineStr">
        <is>
          <t>GT inlet chilling</t>
        </is>
      </c>
      <c r="D5732" s="12" t="inlineStr">
        <is>
          <t>Water-cooled chiller CH-3</t>
        </is>
      </c>
      <c r="E5732" s="12" t="inlineStr"/>
      <c r="F5732" s="12" t="inlineStr">
        <is>
          <t>Inlet-chilling e-house / transformer</t>
        </is>
      </c>
      <c r="G5732" s="12" t="inlineStr"/>
      <c r="H5732" s="12" t="inlineStr">
        <is>
          <t>Chillers x6 (water-cooled)</t>
        </is>
      </c>
      <c r="I5732" s="12" t="inlineStr">
        <is>
          <t>MV 5 kV</t>
        </is>
      </c>
      <c r="J5732" s="12" t="inlineStr">
        <is>
          <t>MV-105 5 kV 3/C Cu, EPR 133%, tape shield, gnd, PVC jacket</t>
        </is>
      </c>
      <c r="K5732" s="12" t="inlineStr">
        <is>
          <t>MV5|3/C|250</t>
        </is>
      </c>
      <c r="L5732" s="12" t="inlineStr">
        <is>
          <t>3/C</t>
        </is>
      </c>
      <c r="M5732" s="12" t="inlineStr">
        <is>
          <t>250 kcmil</t>
        </is>
      </c>
      <c r="N5732" s="12" t="n">
        <v>1</v>
      </c>
      <c r="O5732" s="12" t="n">
        <v>1</v>
      </c>
      <c r="P5732" s="12" t="n">
        <v>4160</v>
      </c>
      <c r="Q5732" s="12" t="n">
        <v>1500</v>
      </c>
      <c r="R5732" s="12" t="n">
        <v>231</v>
      </c>
      <c r="S5732" s="12" t="inlineStr">
        <is>
          <t>Duct bank</t>
        </is>
      </c>
      <c r="T5732" s="15" t="n">
        <v>10</v>
      </c>
      <c r="U5732" s="15" t="n">
        <v>32</v>
      </c>
      <c r="V5732" s="15">
        <f>ROUNDUP((T5732+U5732+2*'Read Me'!$B$13)*(1+'Read Me'!$B$12),-1)</f>
        <v/>
      </c>
      <c r="W5732" s="15">
        <f>V5732*N5732*O5732</f>
        <v/>
      </c>
      <c r="X5732" s="12">
        <f>IF(LEFT(I5732,2)="MV",2*N5732*IF(L5732="1/C",O5732,1),0)</f>
        <v/>
      </c>
      <c r="Y5732" s="12">
        <f>IF(OR(LEFT(K5732,4)="LVAX",LEFT(K5732,6)="MV15AX",LEFT(K5732,4)="CTAX",LEFT(K5732,2)="W|"),2*N5732*O5732,0)</f>
        <v/>
      </c>
      <c r="Z5732" s="12" t="inlineStr"/>
      <c r="AA5732" s="12">
        <f>N5732*O5732</f>
        <v/>
      </c>
    </row>
    <row r="5733">
      <c r="A5733" s="12" t="inlineStr">
        <is>
          <t>J-MV-0009</t>
        </is>
      </c>
      <c r="B5733" s="12" t="inlineStr">
        <is>
          <t>J</t>
        </is>
      </c>
      <c r="C5733" s="12" t="inlineStr">
        <is>
          <t>GT inlet chilling</t>
        </is>
      </c>
      <c r="D5733" s="12" t="inlineStr">
        <is>
          <t>Water-cooled chiller CH-4</t>
        </is>
      </c>
      <c r="E5733" s="12" t="inlineStr"/>
      <c r="F5733" s="12" t="inlineStr">
        <is>
          <t>Inlet-chilling e-house / transformer</t>
        </is>
      </c>
      <c r="G5733" s="12" t="inlineStr"/>
      <c r="H5733" s="12" t="inlineStr">
        <is>
          <t>Chillers x6 (water-cooled)</t>
        </is>
      </c>
      <c r="I5733" s="12" t="inlineStr">
        <is>
          <t>MV 5 kV</t>
        </is>
      </c>
      <c r="J5733" s="12" t="inlineStr">
        <is>
          <t>MV-105 5 kV 3/C Cu, EPR 133%, tape shield, gnd, PVC jacket</t>
        </is>
      </c>
      <c r="K5733" s="12" t="inlineStr">
        <is>
          <t>MV5|3/C|250</t>
        </is>
      </c>
      <c r="L5733" s="12" t="inlineStr">
        <is>
          <t>3/C</t>
        </is>
      </c>
      <c r="M5733" s="12" t="inlineStr">
        <is>
          <t>250 kcmil</t>
        </is>
      </c>
      <c r="N5733" s="12" t="n">
        <v>1</v>
      </c>
      <c r="O5733" s="12" t="n">
        <v>1</v>
      </c>
      <c r="P5733" s="12" t="n">
        <v>4160</v>
      </c>
      <c r="Q5733" s="12" t="n">
        <v>1500</v>
      </c>
      <c r="R5733" s="12" t="n">
        <v>231</v>
      </c>
      <c r="S5733" s="12" t="inlineStr">
        <is>
          <t>Duct bank</t>
        </is>
      </c>
      <c r="T5733" s="15" t="n">
        <v>10</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J-MV-0010</t>
        </is>
      </c>
      <c r="B5734" s="12" t="inlineStr">
        <is>
          <t>J</t>
        </is>
      </c>
      <c r="C5734" s="12" t="inlineStr">
        <is>
          <t>GT inlet chilling</t>
        </is>
      </c>
      <c r="D5734" s="12" t="inlineStr">
        <is>
          <t>Water-cooled chiller CH-5</t>
        </is>
      </c>
      <c r="E5734" s="12" t="inlineStr"/>
      <c r="F5734" s="12" t="inlineStr">
        <is>
          <t>Inlet-chilling e-house / transformer</t>
        </is>
      </c>
      <c r="G5734" s="12" t="inlineStr"/>
      <c r="H5734" s="12" t="inlineStr">
        <is>
          <t>Chillers x6 (water-cooled)</t>
        </is>
      </c>
      <c r="I5734" s="12" t="inlineStr">
        <is>
          <t>MV 5 kV</t>
        </is>
      </c>
      <c r="J5734" s="12" t="inlineStr">
        <is>
          <t>MV-105 5 kV 3/C Cu, EPR 133%, tape shield, gnd, PVC jacket</t>
        </is>
      </c>
      <c r="K5734" s="12" t="inlineStr">
        <is>
          <t>MV5|3/C|250</t>
        </is>
      </c>
      <c r="L5734" s="12" t="inlineStr">
        <is>
          <t>3/C</t>
        </is>
      </c>
      <c r="M5734" s="12" t="inlineStr">
        <is>
          <t>250 kcmil</t>
        </is>
      </c>
      <c r="N5734" s="12" t="n">
        <v>1</v>
      </c>
      <c r="O5734" s="12" t="n">
        <v>1</v>
      </c>
      <c r="P5734" s="12" t="n">
        <v>4160</v>
      </c>
      <c r="Q5734" s="12" t="n">
        <v>1500</v>
      </c>
      <c r="R5734" s="12" t="n">
        <v>231</v>
      </c>
      <c r="S5734" s="12" t="inlineStr">
        <is>
          <t>Duct bank</t>
        </is>
      </c>
      <c r="T5734" s="15" t="n">
        <v>10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J-MV-0011</t>
        </is>
      </c>
      <c r="B5735" s="12" t="inlineStr">
        <is>
          <t>J</t>
        </is>
      </c>
      <c r="C5735" s="12" t="inlineStr">
        <is>
          <t>GT inlet chilling</t>
        </is>
      </c>
      <c r="D5735" s="12" t="inlineStr">
        <is>
          <t>Water-cooled chiller CH-6</t>
        </is>
      </c>
      <c r="E5735" s="12" t="inlineStr"/>
      <c r="F5735" s="12" t="inlineStr">
        <is>
          <t>Inlet-chilling e-house / transformer</t>
        </is>
      </c>
      <c r="G5735" s="12" t="inlineStr"/>
      <c r="H5735" s="12" t="inlineStr">
        <is>
          <t>Chillers x6 (water-cooled)</t>
        </is>
      </c>
      <c r="I5735" s="12" t="inlineStr">
        <is>
          <t>MV 5 kV</t>
        </is>
      </c>
      <c r="J5735" s="12" t="inlineStr">
        <is>
          <t>MV-105 5 kV 3/C Cu, EPR 133%, tape shield, gnd, PVC jacket</t>
        </is>
      </c>
      <c r="K5735" s="12" t="inlineStr">
        <is>
          <t>MV5|3/C|250</t>
        </is>
      </c>
      <c r="L5735" s="12" t="inlineStr">
        <is>
          <t>3/C</t>
        </is>
      </c>
      <c r="M5735" s="12" t="inlineStr">
        <is>
          <t>250 kcmil</t>
        </is>
      </c>
      <c r="N5735" s="12" t="n">
        <v>1</v>
      </c>
      <c r="O5735" s="12" t="n">
        <v>1</v>
      </c>
      <c r="P5735" s="12" t="n">
        <v>4160</v>
      </c>
      <c r="Q5735" s="12" t="n">
        <v>1500</v>
      </c>
      <c r="R5735" s="12" t="n">
        <v>231</v>
      </c>
      <c r="S5735" s="12" t="inlineStr">
        <is>
          <t>Duct bank</t>
        </is>
      </c>
      <c r="T5735" s="15" t="n">
        <v>10</v>
      </c>
      <c r="U5735" s="15" t="n">
        <v>32</v>
      </c>
      <c r="V5735" s="15">
        <f>ROUNDUP((T5735+U5735+2*'Read Me'!$B$13)*(1+'Read Me'!$B$12),-1)</f>
        <v/>
      </c>
      <c r="W5735" s="15">
        <f>V5735*N5735*O5735</f>
        <v/>
      </c>
      <c r="X5735" s="12">
        <f>IF(LEFT(I5735,2)="MV",2*N5735*IF(L5735="1/C",O5735,1),0)</f>
        <v/>
      </c>
      <c r="Y5735" s="12">
        <f>IF(OR(LEFT(K5735,4)="LVAX",LEFT(K5735,6)="MV15AX",LEFT(K5735,4)="CTAX",LEFT(K5735,2)="W|"),2*N5735*O5735,0)</f>
        <v/>
      </c>
      <c r="Z5735" s="12" t="inlineStr"/>
      <c r="AA5735" s="12">
        <f>N5735*O5735</f>
        <v/>
      </c>
    </row>
    <row r="5736">
      <c r="A5736" s="12" t="inlineStr">
        <is>
          <t>K-L-0001</t>
        </is>
      </c>
      <c r="B5736" s="12" t="inlineStr">
        <is>
          <t>K</t>
        </is>
      </c>
      <c r="C5736" s="12" t="inlineStr">
        <is>
          <t>Fuel supply (adjacent market)</t>
        </is>
      </c>
      <c r="D5736" s="12" t="inlineStr">
        <is>
          <t>Lighting, receptacles and small power branch circuits (allowance)</t>
        </is>
      </c>
      <c r="E5736" s="12" t="inlineStr"/>
      <c r="F5736" s="12" t="inlineStr">
        <is>
          <t>H2 20: 13.8 kV e-house</t>
        </is>
      </c>
      <c r="G5736" s="12" t="inlineStr"/>
      <c r="H5736" s="12" t="inlineStr">
        <is>
          <t>H2 20: 13.8 kV e-house</t>
        </is>
      </c>
      <c r="I5736" s="12" t="inlineStr">
        <is>
          <t>Building wire</t>
        </is>
      </c>
      <c r="J5736" s="12" t="inlineStr">
        <is>
          <t>SIMpull THHN/THWN-2 600 V 1/C Cu (lighting, receptacles, small power)</t>
        </is>
      </c>
      <c r="K5736" s="12" t="inlineStr">
        <is>
          <t>THHN|1/C|12</t>
        </is>
      </c>
      <c r="L5736" s="12" t="inlineStr">
        <is>
          <t>1/C</t>
        </is>
      </c>
      <c r="M5736" s="12" t="inlineStr">
        <is>
          <t>12</t>
        </is>
      </c>
      <c r="N5736" s="12" t="n">
        <v>1</v>
      </c>
      <c r="O5736" s="12" t="n">
        <v>1</v>
      </c>
      <c r="P5736" s="12" t="n">
        <v>277</v>
      </c>
      <c r="Q5736" s="12" t="n"/>
      <c r="R5736" s="12" t="n"/>
      <c r="S5736" s="12" t="inlineStr">
        <is>
          <t>Conduit</t>
        </is>
      </c>
      <c r="T5736" s="15" t="n">
        <v>1536</v>
      </c>
      <c r="U5736" s="15" t="n">
        <v>0</v>
      </c>
      <c r="V5736" s="15">
        <f>ROUNDUP((T5736+U5736+2*'Read Me'!$B$13)*(1+'Read Me'!$B$12),-1)</f>
        <v/>
      </c>
      <c r="W5736" s="15">
        <f>V5736*N5736*O5736</f>
        <v/>
      </c>
      <c r="X5736" s="12">
        <f>IF(LEFT(I5736,2)="MV",2*N5736*IF(L5736="1/C",O5736,1),0)</f>
        <v/>
      </c>
      <c r="Y5736" s="12">
        <f>IF(OR(LEFT(K5736,4)="LVAX",LEFT(K5736,6)="MV15AX",LEFT(K5736,4)="CTAX",LEFT(K5736,2)="W|"),2*N5736*O5736,0)</f>
        <v/>
      </c>
      <c r="Z5736" s="12" t="inlineStr">
        <is>
          <t>allowance: 1.6 ft of conductor per ft2 of floor</t>
        </is>
      </c>
      <c r="AA5736" s="12">
        <f>N5736*O5736</f>
        <v/>
      </c>
    </row>
    <row r="5737">
      <c r="A5737" s="12" t="inlineStr">
        <is>
          <t>K-L-0002</t>
        </is>
      </c>
      <c r="B5737" s="12" t="inlineStr">
        <is>
          <t>K</t>
        </is>
      </c>
      <c r="C5737" s="12" t="inlineStr">
        <is>
          <t>Fuel supply (adjacent market)</t>
        </is>
      </c>
      <c r="D5737" s="12" t="inlineStr">
        <is>
          <t>Lighting, receptacles and small power branch circuits (allowance)</t>
        </is>
      </c>
      <c r="E5737" s="12" t="inlineStr"/>
      <c r="F5737" s="12" t="inlineStr">
        <is>
          <t>LNG 17: LNG e-house (13.8 kV / 480 V)</t>
        </is>
      </c>
      <c r="G5737" s="12" t="inlineStr"/>
      <c r="H5737" s="12" t="inlineStr">
        <is>
          <t>LNG 17: LNG e-house (13.8 kV / 480 V)</t>
        </is>
      </c>
      <c r="I5737" s="12" t="inlineStr">
        <is>
          <t>Building wire</t>
        </is>
      </c>
      <c r="J5737" s="12" t="inlineStr">
        <is>
          <t>SIMpull THHN/THWN-2 600 V 1/C Cu (lighting, receptacles, small power)</t>
        </is>
      </c>
      <c r="K5737" s="12" t="inlineStr">
        <is>
          <t>THHN|1/C|12</t>
        </is>
      </c>
      <c r="L5737" s="12" t="inlineStr">
        <is>
          <t>1/C</t>
        </is>
      </c>
      <c r="M5737" s="12" t="inlineStr">
        <is>
          <t>12</t>
        </is>
      </c>
      <c r="N5737" s="12" t="n">
        <v>1</v>
      </c>
      <c r="O5737" s="12" t="n">
        <v>1</v>
      </c>
      <c r="P5737" s="12" t="n">
        <v>277</v>
      </c>
      <c r="Q5737" s="12" t="n"/>
      <c r="R5737" s="12" t="n"/>
      <c r="S5737" s="12" t="inlineStr">
        <is>
          <t>Conduit</t>
        </is>
      </c>
      <c r="T5737" s="15" t="n">
        <v>896</v>
      </c>
      <c r="U5737" s="15" t="n">
        <v>0</v>
      </c>
      <c r="V5737" s="15">
        <f>ROUNDUP((T5737+U5737+2*'Read Me'!$B$13)*(1+'Read Me'!$B$12),-1)</f>
        <v/>
      </c>
      <c r="W5737" s="15">
        <f>V5737*N5737*O5737</f>
        <v/>
      </c>
      <c r="X5737" s="12">
        <f>IF(LEFT(I5737,2)="MV",2*N5737*IF(L5737="1/C",O5737,1),0)</f>
        <v/>
      </c>
      <c r="Y5737" s="12">
        <f>IF(OR(LEFT(K5737,4)="LVAX",LEFT(K5737,6)="MV15AX",LEFT(K5737,4)="CTAX",LEFT(K5737,2)="W|"),2*N5737*O5737,0)</f>
        <v/>
      </c>
      <c r="Z5737" s="12" t="inlineStr">
        <is>
          <t>allowance: 1.6 ft of conductor per ft2 of floor</t>
        </is>
      </c>
      <c r="AA5737" s="12">
        <f>N5737*O5737</f>
        <v/>
      </c>
    </row>
    <row r="5738">
      <c r="A5738" s="12" t="inlineStr">
        <is>
          <t>K-L-0003</t>
        </is>
      </c>
      <c r="B5738" s="12" t="inlineStr">
        <is>
          <t>K</t>
        </is>
      </c>
      <c r="C5738" s="12" t="inlineStr">
        <is>
          <t>Fuel supply (adjacent market)</t>
        </is>
      </c>
      <c r="D5738" s="12" t="inlineStr">
        <is>
          <t>Lighting, receptacles and small power branch circuits (allowance)</t>
        </is>
      </c>
      <c r="E5738" s="12" t="inlineStr"/>
      <c r="F5738" s="12" t="inlineStr">
        <is>
          <t>M&amp;R 6: regulation / flow control building</t>
        </is>
      </c>
      <c r="G5738" s="12" t="inlineStr"/>
      <c r="H5738" s="12" t="inlineStr">
        <is>
          <t>M&amp;R 6: regulation / flow control building</t>
        </is>
      </c>
      <c r="I5738" s="12" t="inlineStr">
        <is>
          <t>Building wire</t>
        </is>
      </c>
      <c r="J5738" s="12" t="inlineStr">
        <is>
          <t>SIMpull THHN/THWN-2 600 V 1/C Cu (lighting, receptacles, small power)</t>
        </is>
      </c>
      <c r="K5738" s="12" t="inlineStr">
        <is>
          <t>THHN|1/C|12</t>
        </is>
      </c>
      <c r="L5738" s="12" t="inlineStr">
        <is>
          <t>1/C</t>
        </is>
      </c>
      <c r="M5738" s="12" t="inlineStr">
        <is>
          <t>12</t>
        </is>
      </c>
      <c r="N5738" s="12" t="n">
        <v>1</v>
      </c>
      <c r="O5738" s="12" t="n">
        <v>1</v>
      </c>
      <c r="P5738" s="12" t="n">
        <v>277</v>
      </c>
      <c r="Q5738" s="12" t="n"/>
      <c r="R5738" s="12" t="n"/>
      <c r="S5738" s="12" t="inlineStr">
        <is>
          <t>Conduit</t>
        </is>
      </c>
      <c r="T5738" s="15" t="n">
        <v>1440</v>
      </c>
      <c r="U5738" s="15" t="n">
        <v>0</v>
      </c>
      <c r="V5738" s="15">
        <f>ROUNDUP((T5738+U5738+2*'Read Me'!$B$13)*(1+'Read Me'!$B$12),-1)</f>
        <v/>
      </c>
      <c r="W5738" s="15">
        <f>V5738*N5738*O5738</f>
        <v/>
      </c>
      <c r="X5738" s="12">
        <f>IF(LEFT(I5738,2)="MV",2*N5738*IF(L5738="1/C",O5738,1),0)</f>
        <v/>
      </c>
      <c r="Y5738" s="12">
        <f>IF(OR(LEFT(K5738,4)="LVAX",LEFT(K5738,6)="MV15AX",LEFT(K5738,4)="CTAX",LEFT(K5738,2)="W|"),2*N5738*O5738,0)</f>
        <v/>
      </c>
      <c r="Z5738" s="12" t="inlineStr">
        <is>
          <t>allowance: 1.6 ft of conductor per ft2 of floor</t>
        </is>
      </c>
      <c r="AA5738" s="12">
        <f>N5738*O5738</f>
        <v/>
      </c>
    </row>
    <row r="5739">
      <c r="A5739" s="12" t="inlineStr">
        <is>
          <t>K-L-0004</t>
        </is>
      </c>
      <c r="B5739" s="12" t="inlineStr">
        <is>
          <t>K</t>
        </is>
      </c>
      <c r="C5739" s="12" t="inlineStr">
        <is>
          <t>Fuel supply (adjacent market)</t>
        </is>
      </c>
      <c r="D5739" s="12" t="inlineStr">
        <is>
          <t>Lighting, receptacles and small power branch circuits (allowance)</t>
        </is>
      </c>
      <c r="E5739" s="12" t="inlineStr"/>
      <c r="F5739" s="12" t="inlineStr">
        <is>
          <t>M&amp;R 7: gas quality + measurement building</t>
        </is>
      </c>
      <c r="G5739" s="12" t="inlineStr"/>
      <c r="H5739" s="12" t="inlineStr">
        <is>
          <t>M&amp;R 7: gas quality + measurement building</t>
        </is>
      </c>
      <c r="I5739" s="12" t="inlineStr">
        <is>
          <t>Building wire</t>
        </is>
      </c>
      <c r="J5739" s="12" t="inlineStr">
        <is>
          <t>SIMpull THHN/THWN-2 600 V 1/C Cu (lighting, receptacles, small power)</t>
        </is>
      </c>
      <c r="K5739" s="12" t="inlineStr">
        <is>
          <t>THHN|1/C|12</t>
        </is>
      </c>
      <c r="L5739" s="12" t="inlineStr">
        <is>
          <t>1/C</t>
        </is>
      </c>
      <c r="M5739" s="12" t="inlineStr">
        <is>
          <t>12</t>
        </is>
      </c>
      <c r="N5739" s="12" t="n">
        <v>1</v>
      </c>
      <c r="O5739" s="12" t="n">
        <v>1</v>
      </c>
      <c r="P5739" s="12" t="n">
        <v>277</v>
      </c>
      <c r="Q5739" s="12" t="n"/>
      <c r="R5739" s="12" t="n"/>
      <c r="S5739" s="12" t="inlineStr">
        <is>
          <t>Conduit</t>
        </is>
      </c>
      <c r="T5739" s="15" t="n">
        <v>205</v>
      </c>
      <c r="U5739" s="15" t="n">
        <v>0</v>
      </c>
      <c r="V5739" s="15">
        <f>ROUNDUP((T5739+U5739+2*'Read Me'!$B$13)*(1+'Read Me'!$B$12),-1)</f>
        <v/>
      </c>
      <c r="W5739" s="15">
        <f>V5739*N5739*O5739</f>
        <v/>
      </c>
      <c r="X5739" s="12">
        <f>IF(LEFT(I5739,2)="MV",2*N5739*IF(L5739="1/C",O5739,1),0)</f>
        <v/>
      </c>
      <c r="Y5739" s="12">
        <f>IF(OR(LEFT(K5739,4)="LVAX",LEFT(K5739,6)="MV15AX",LEFT(K5739,4)="CTAX",LEFT(K5739,2)="W|"),2*N5739*O5739,0)</f>
        <v/>
      </c>
      <c r="Z5739" s="12" t="inlineStr">
        <is>
          <t>allowance: 1.6 ft of conductor per ft2 of floor</t>
        </is>
      </c>
      <c r="AA5739" s="12">
        <f>N5739*O5739</f>
        <v/>
      </c>
    </row>
    <row r="5740">
      <c r="A5740" s="12" t="inlineStr">
        <is>
          <t>K-C-0001</t>
        </is>
      </c>
      <c r="B5740" s="12" t="inlineStr">
        <is>
          <t>K</t>
        </is>
      </c>
      <c r="C5740" s="12" t="inlineStr">
        <is>
          <t>Fuel supply (adjacent market)</t>
        </is>
      </c>
      <c r="D5740" s="12" t="inlineStr">
        <is>
          <t>Motor 1 of 1: control / local station</t>
        </is>
      </c>
      <c r="E5740" s="12" t="inlineStr"/>
      <c r="F5740" s="12" t="inlineStr">
        <is>
          <t>H2 20: 13.8 kV e-house</t>
        </is>
      </c>
      <c r="G5740" s="12" t="inlineStr">
        <is>
          <t>T-H2</t>
        </is>
      </c>
      <c r="H5740" s="12" t="inlineStr">
        <is>
          <t>H2 19: T-H2 230/13.8 kV (about 40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v>
      </c>
      <c r="U5740" s="15" t="n">
        <v>32</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K-C-0002</t>
        </is>
      </c>
      <c r="B5741" s="12" t="inlineStr">
        <is>
          <t>K</t>
        </is>
      </c>
      <c r="C5741" s="12" t="inlineStr">
        <is>
          <t>Fuel supply (adjacent market)</t>
        </is>
      </c>
      <c r="D5741" s="12" t="inlineStr">
        <is>
          <t>Solenoid to JB JB-T-H2-SOL01: 2 x 2/C (field cables)</t>
        </is>
      </c>
      <c r="E5741" s="12" t="inlineStr">
        <is>
          <t>T-H2</t>
        </is>
      </c>
      <c r="F5741" s="12" t="inlineStr">
        <is>
          <t>H2 19: T-H2 230/13.8 kV (about 40 MVA)</t>
        </is>
      </c>
      <c r="G5741" s="12" t="inlineStr">
        <is>
          <t>JB-T-H2-SOL01</t>
        </is>
      </c>
      <c r="H5741" s="12" t="inlineStr">
        <is>
          <t>H2 19: T-H2 230/13.8 kV (about 40 MVA)</t>
        </is>
      </c>
      <c r="I5741" s="12" t="inlineStr">
        <is>
          <t>Control</t>
        </is>
      </c>
      <c r="J5741" s="12" t="inlineStr">
        <is>
          <t>ARMOR-X MC-HL 600 V control, Cu #14 AWG (Class I Div 2)</t>
        </is>
      </c>
      <c r="K5741" s="12" t="inlineStr">
        <is>
          <t>CTAX|2/C|14</t>
        </is>
      </c>
      <c r="L5741" s="12" t="inlineStr">
        <is>
          <t>2/C</t>
        </is>
      </c>
      <c r="M5741" s="12" t="inlineStr">
        <is>
          <t>14</t>
        </is>
      </c>
      <c r="N5741" s="12" t="n">
        <v>2</v>
      </c>
      <c r="O5741" s="12" t="n">
        <v>1</v>
      </c>
      <c r="P5741" s="12" t="n"/>
      <c r="Q5741" s="12" t="n"/>
      <c r="R5741" s="12" t="n"/>
      <c r="S5741" s="12" t="inlineStr">
        <is>
          <t>Tray / conduit</t>
        </is>
      </c>
      <c r="T5741" s="15" t="n">
        <v>80</v>
      </c>
      <c r="U5741" s="15" t="n">
        <v>10</v>
      </c>
      <c r="V5741" s="15">
        <f>ROUNDUP((T5741+U5741+2*'Read Me'!$B$13)*(1+'Read Me'!$B$12),-1)</f>
        <v/>
      </c>
      <c r="W5741" s="15">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K-C-0003</t>
        </is>
      </c>
      <c r="B5742" s="12" t="inlineStr">
        <is>
          <t>K</t>
        </is>
      </c>
      <c r="C5742" s="12" t="inlineStr">
        <is>
          <t>Fuel supply (adjacent market)</t>
        </is>
      </c>
      <c r="D5742" s="12" t="inlineStr">
        <is>
          <t>Home run JB-T-H2-SOL01 to the control / marshalling room</t>
        </is>
      </c>
      <c r="E5742" s="12" t="inlineStr"/>
      <c r="F5742" s="12" t="inlineStr">
        <is>
          <t>H2 20: 13.8 kV e-house</t>
        </is>
      </c>
      <c r="G5742" s="12" t="inlineStr">
        <is>
          <t>JB-T-H2-SOL01</t>
        </is>
      </c>
      <c r="H5742" s="12" t="inlineStr">
        <is>
          <t>H2 19: T-H2 230/13.8 kV (about 40 MVA)</t>
        </is>
      </c>
      <c r="I5742" s="12" t="inlineStr">
        <is>
          <t>Control</t>
        </is>
      </c>
      <c r="J5742" s="12" t="inlineStr">
        <is>
          <t>ARMOR-X MC-HL 600 V control, Cu #14 AWG (Class I Div 2)</t>
        </is>
      </c>
      <c r="K5742" s="12" t="inlineStr">
        <is>
          <t>CTAX|25/C|14</t>
        </is>
      </c>
      <c r="L5742" s="12" t="inlineStr">
        <is>
          <t>25/C</t>
        </is>
      </c>
      <c r="M5742" s="12" t="inlineStr">
        <is>
          <t>14</t>
        </is>
      </c>
      <c r="N5742" s="12" t="n">
        <v>1</v>
      </c>
      <c r="O5742" s="12" t="n">
        <v>1</v>
      </c>
      <c r="P5742" s="12" t="n"/>
      <c r="Q5742" s="12" t="n"/>
      <c r="R5742" s="12" t="n"/>
      <c r="S5742" s="12" t="inlineStr">
        <is>
          <t>Duct bank</t>
        </is>
      </c>
      <c r="T5742" s="15" t="n">
        <v>35</v>
      </c>
      <c r="U5742" s="15" t="n">
        <v>32</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K-C-0004</t>
        </is>
      </c>
      <c r="B5743" s="12" t="inlineStr">
        <is>
          <t>K</t>
        </is>
      </c>
      <c r="C5743" s="12" t="inlineStr">
        <is>
          <t>Fuel supply (adjacent market)</t>
        </is>
      </c>
      <c r="D5743" s="12" t="inlineStr">
        <is>
          <t>Motor 1 of 1: control / local station</t>
        </is>
      </c>
      <c r="E5743" s="12" t="inlineStr"/>
      <c r="F5743" s="12" t="inlineStr">
        <is>
          <t>H2 20: 13.8 kV e-house</t>
        </is>
      </c>
      <c r="G5743" s="12" t="inlineStr"/>
      <c r="H5743" s="12" t="inlineStr">
        <is>
          <t>H2 20: 13.8 kV e-house</t>
        </is>
      </c>
      <c r="I5743" s="12" t="inlineStr">
        <is>
          <t>Control</t>
        </is>
      </c>
      <c r="J5743" s="12" t="inlineStr">
        <is>
          <t>ARMOR-X MC-HL 600 V control, Cu #14 AWG (Class I Div 2)</t>
        </is>
      </c>
      <c r="K5743" s="12" t="inlineStr">
        <is>
          <t>CTAX|7/C|14</t>
        </is>
      </c>
      <c r="L5743" s="12" t="inlineStr">
        <is>
          <t>7/C</t>
        </is>
      </c>
      <c r="M5743" s="12" t="inlineStr">
        <is>
          <t>14</t>
        </is>
      </c>
      <c r="N5743" s="12" t="n">
        <v>1</v>
      </c>
      <c r="O5743" s="12" t="n">
        <v>1</v>
      </c>
      <c r="P5743" s="12" t="n"/>
      <c r="Q5743" s="12" t="n"/>
      <c r="R5743" s="12" t="n"/>
      <c r="S5743" s="12" t="inlineStr">
        <is>
          <t>Tray</t>
        </is>
      </c>
      <c r="T5743" s="15" t="n">
        <v>0</v>
      </c>
      <c r="U5743" s="15" t="n">
        <v>32</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K-C-0005</t>
        </is>
      </c>
      <c r="B5744" s="12" t="inlineStr">
        <is>
          <t>K</t>
        </is>
      </c>
      <c r="C5744" s="12" t="inlineStr">
        <is>
          <t>Fuel supply (adjacent market)</t>
        </is>
      </c>
      <c r="D5744" s="12" t="inlineStr">
        <is>
          <t>Solenoid to JB JB-H2 20: 13.8 kV e-h-SOL01: 2 x 2/C (field cables)</t>
        </is>
      </c>
      <c r="E5744" s="12" t="inlineStr"/>
      <c r="F5744" s="12" t="inlineStr">
        <is>
          <t>H2 20: 13.8 kV e-house</t>
        </is>
      </c>
      <c r="G5744" s="12" t="inlineStr">
        <is>
          <t>JB-H2 20: 13.8 kV e-h-SOL01</t>
        </is>
      </c>
      <c r="H5744" s="12" t="inlineStr">
        <is>
          <t>H2 20: 13.8 kV e-house</t>
        </is>
      </c>
      <c r="I5744" s="12" t="inlineStr">
        <is>
          <t>Control</t>
        </is>
      </c>
      <c r="J5744" s="12" t="inlineStr">
        <is>
          <t>ARMOR-X MC-HL 600 V control, Cu #14 AWG (Class I Div 2)</t>
        </is>
      </c>
      <c r="K5744" s="12" t="inlineStr">
        <is>
          <t>CTAX|2/C|14</t>
        </is>
      </c>
      <c r="L5744" s="12" t="inlineStr">
        <is>
          <t>2/C</t>
        </is>
      </c>
      <c r="M5744" s="12" t="inlineStr">
        <is>
          <t>14</t>
        </is>
      </c>
      <c r="N5744" s="12" t="n">
        <v>2</v>
      </c>
      <c r="O5744" s="12" t="n">
        <v>1</v>
      </c>
      <c r="P5744" s="12" t="n"/>
      <c r="Q5744" s="12" t="n"/>
      <c r="R5744" s="12" t="n"/>
      <c r="S5744" s="12" t="inlineStr">
        <is>
          <t>Tray / conduit</t>
        </is>
      </c>
      <c r="T5744" s="15" t="n">
        <v>69</v>
      </c>
      <c r="U5744" s="15" t="n">
        <v>10</v>
      </c>
      <c r="V5744" s="15">
        <f>ROUNDUP((T5744+U5744+2*'Read Me'!$B$13)*(1+'Read Me'!$B$12),-1)</f>
        <v/>
      </c>
      <c r="W5744" s="15">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K-C-0006</t>
        </is>
      </c>
      <c r="B5745" s="12" t="inlineStr">
        <is>
          <t>K</t>
        </is>
      </c>
      <c r="C5745" s="12" t="inlineStr">
        <is>
          <t>Fuel supply (adjacent market)</t>
        </is>
      </c>
      <c r="D5745" s="12" t="inlineStr">
        <is>
          <t>Home run JB-H2 20: 13.8 kV e-h-SOL01 to the control / marshalling room</t>
        </is>
      </c>
      <c r="E5745" s="12" t="inlineStr"/>
      <c r="F5745" s="12" t="inlineStr">
        <is>
          <t>H2 20: 13.8 kV e-house</t>
        </is>
      </c>
      <c r="G5745" s="12" t="inlineStr">
        <is>
          <t>JB-H2 20: 13.8 kV e-h-SOL01</t>
        </is>
      </c>
      <c r="H5745" s="12" t="inlineStr">
        <is>
          <t>H2 20: 13.8 kV e-house</t>
        </is>
      </c>
      <c r="I5745" s="12" t="inlineStr">
        <is>
          <t>Control</t>
        </is>
      </c>
      <c r="J5745" s="12" t="inlineStr">
        <is>
          <t>ARMOR-X MC-HL 600 V control, Cu #14 AWG (Class I Div 2)</t>
        </is>
      </c>
      <c r="K5745" s="12" t="inlineStr">
        <is>
          <t>CTAX|25/C|14</t>
        </is>
      </c>
      <c r="L5745" s="12" t="inlineStr">
        <is>
          <t>25/C</t>
        </is>
      </c>
      <c r="M5745" s="12" t="inlineStr">
        <is>
          <t>14</t>
        </is>
      </c>
      <c r="N5745" s="12" t="n">
        <v>1</v>
      </c>
      <c r="O5745" s="12" t="n">
        <v>1</v>
      </c>
      <c r="P5745" s="12" t="n"/>
      <c r="Q5745" s="12" t="n"/>
      <c r="R5745" s="12" t="n"/>
      <c r="S5745" s="12" t="inlineStr">
        <is>
          <t>Tray</t>
        </is>
      </c>
      <c r="T5745" s="15" t="n">
        <v>0</v>
      </c>
      <c r="U5745" s="15" t="n">
        <v>32</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K-C-0007</t>
        </is>
      </c>
      <c r="B5746" s="12" t="inlineStr">
        <is>
          <t>K</t>
        </is>
      </c>
      <c r="C5746" s="12" t="inlineStr">
        <is>
          <t>Fuel supply (adjacent market)</t>
        </is>
      </c>
      <c r="D5746" s="12" t="inlineStr">
        <is>
          <t>Motor 1 of 1: control / local station</t>
        </is>
      </c>
      <c r="E5746" s="12" t="inlineStr"/>
      <c r="F5746" s="12" t="inlineStr">
        <is>
          <t>H2 20: 13.8 kV e-house</t>
        </is>
      </c>
      <c r="G5746" s="12" t="inlineStr"/>
      <c r="H5746" s="12" t="inlineStr">
        <is>
          <t>H2 21: rectifier transformer 1 (7 MVA)</t>
        </is>
      </c>
      <c r="I5746" s="12" t="inlineStr">
        <is>
          <t>Control</t>
        </is>
      </c>
      <c r="J5746" s="12" t="inlineStr">
        <is>
          <t>ARMOR-X MC-HL 600 V control, Cu #14 AWG (Class I Div 2)</t>
        </is>
      </c>
      <c r="K5746" s="12" t="inlineStr">
        <is>
          <t>CTAX|7/C|14</t>
        </is>
      </c>
      <c r="L5746" s="12" t="inlineStr">
        <is>
          <t>7/C</t>
        </is>
      </c>
      <c r="M5746" s="12" t="inlineStr">
        <is>
          <t>14</t>
        </is>
      </c>
      <c r="N5746" s="12" t="n">
        <v>1</v>
      </c>
      <c r="O5746" s="12" t="n">
        <v>1</v>
      </c>
      <c r="P5746" s="12" t="n"/>
      <c r="Q5746" s="12" t="n"/>
      <c r="R5746" s="12" t="n"/>
      <c r="S5746" s="12" t="inlineStr">
        <is>
          <t>Duct bank</t>
        </is>
      </c>
      <c r="T5746" s="15" t="n">
        <v>356</v>
      </c>
      <c r="U5746" s="15" t="n">
        <v>48</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K-C-0008</t>
        </is>
      </c>
      <c r="B5747" s="12" t="inlineStr">
        <is>
          <t>K</t>
        </is>
      </c>
      <c r="C5747" s="12" t="inlineStr">
        <is>
          <t>Fuel supply (adjacent market)</t>
        </is>
      </c>
      <c r="D5747" s="12" t="inlineStr">
        <is>
          <t>Solenoid to JB JB-H2 21: rectifier t-SOL01: 2 x 2/C (field cables)</t>
        </is>
      </c>
      <c r="E5747" s="12" t="inlineStr"/>
      <c r="F5747" s="12" t="inlineStr">
        <is>
          <t>H2 21: rectifier transformer 1 (7 MVA)</t>
        </is>
      </c>
      <c r="G5747" s="12" t="inlineStr">
        <is>
          <t>JB-H2 21: rectifier t-SOL01</t>
        </is>
      </c>
      <c r="H5747" s="12" t="inlineStr">
        <is>
          <t>H2 21: rectifier transformer 1 (7 MVA)</t>
        </is>
      </c>
      <c r="I5747" s="12" t="inlineStr">
        <is>
          <t>Control</t>
        </is>
      </c>
      <c r="J5747" s="12" t="inlineStr">
        <is>
          <t>ARMOR-X MC-HL 600 V control, Cu #14 AWG (Class I Div 2)</t>
        </is>
      </c>
      <c r="K5747" s="12" t="inlineStr">
        <is>
          <t>CTAX|2/C|14</t>
        </is>
      </c>
      <c r="L5747" s="12" t="inlineStr">
        <is>
          <t>2/C</t>
        </is>
      </c>
      <c r="M5747" s="12" t="inlineStr">
        <is>
          <t>14</t>
        </is>
      </c>
      <c r="N5747" s="12" t="n">
        <v>2</v>
      </c>
      <c r="O5747" s="12" t="n">
        <v>1</v>
      </c>
      <c r="P5747" s="12" t="n"/>
      <c r="Q5747" s="12" t="n"/>
      <c r="R5747" s="12" t="n"/>
      <c r="S5747" s="12" t="inlineStr">
        <is>
          <t>Tray / conduit</t>
        </is>
      </c>
      <c r="T5747" s="15" t="n">
        <v>41</v>
      </c>
      <c r="U5747" s="15" t="n">
        <v>10</v>
      </c>
      <c r="V5747" s="15">
        <f>ROUNDUP((T5747+U5747+2*'Read Me'!$B$13)*(1+'Read Me'!$B$12),-1)</f>
        <v/>
      </c>
      <c r="W5747" s="15">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K-C-0009</t>
        </is>
      </c>
      <c r="B5748" s="12" t="inlineStr">
        <is>
          <t>K</t>
        </is>
      </c>
      <c r="C5748" s="12" t="inlineStr">
        <is>
          <t>Fuel supply (adjacent market)</t>
        </is>
      </c>
      <c r="D5748" s="12" t="inlineStr">
        <is>
          <t>Home run JB-H2 21: rectifier t-SOL01 to the control / marshalling room</t>
        </is>
      </c>
      <c r="E5748" s="12" t="inlineStr"/>
      <c r="F5748" s="12" t="inlineStr">
        <is>
          <t>H2 20: 13.8 kV e-house</t>
        </is>
      </c>
      <c r="G5748" s="12" t="inlineStr">
        <is>
          <t>JB-H2 21: rectifier t-SOL01</t>
        </is>
      </c>
      <c r="H5748" s="12" t="inlineStr">
        <is>
          <t>H2 21: rectifier transformer 1 (7 MVA)</t>
        </is>
      </c>
      <c r="I5748" s="12" t="inlineStr">
        <is>
          <t>Control</t>
        </is>
      </c>
      <c r="J5748" s="12" t="inlineStr">
        <is>
          <t>ARMOR-X MC-HL 600 V control, Cu #14 AWG (Class I Div 2)</t>
        </is>
      </c>
      <c r="K5748" s="12" t="inlineStr">
        <is>
          <t>CTAX|25/C|14</t>
        </is>
      </c>
      <c r="L5748" s="12" t="inlineStr">
        <is>
          <t>25/C</t>
        </is>
      </c>
      <c r="M5748" s="12" t="inlineStr">
        <is>
          <t>14</t>
        </is>
      </c>
      <c r="N5748" s="12" t="n">
        <v>1</v>
      </c>
      <c r="O5748" s="12" t="n">
        <v>1</v>
      </c>
      <c r="P5748" s="12" t="n"/>
      <c r="Q5748" s="12" t="n"/>
      <c r="R5748" s="12" t="n"/>
      <c r="S5748" s="12" t="inlineStr">
        <is>
          <t>Duct bank</t>
        </is>
      </c>
      <c r="T5748" s="15" t="n">
        <v>356</v>
      </c>
      <c r="U5748" s="15" t="n">
        <v>48</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K-C-0010</t>
        </is>
      </c>
      <c r="B5749" s="12" t="inlineStr">
        <is>
          <t>K</t>
        </is>
      </c>
      <c r="C5749" s="12" t="inlineStr">
        <is>
          <t>Fuel supply (adjacent market)</t>
        </is>
      </c>
      <c r="D5749" s="12" t="inlineStr">
        <is>
          <t>Control</t>
        </is>
      </c>
      <c r="E5749" s="12" t="inlineStr"/>
      <c r="F5749" s="12" t="inlineStr">
        <is>
          <t>H2 20: 13.8 kV e-house</t>
        </is>
      </c>
      <c r="G5749" s="12" t="inlineStr"/>
      <c r="H5749" s="12" t="inlineStr">
        <is>
          <t>H2 21: rectifier transformer 1 (7 MVA)</t>
        </is>
      </c>
      <c r="I5749" s="12" t="inlineStr">
        <is>
          <t>Control</t>
        </is>
      </c>
      <c r="J5749" s="12" t="inlineStr">
        <is>
          <t>ARMOR-X MC-HL 600 V control, Cu #14 AWG (Class I Div 2)</t>
        </is>
      </c>
      <c r="K5749" s="12" t="inlineStr">
        <is>
          <t>CTAX|7/C|14</t>
        </is>
      </c>
      <c r="L5749" s="12" t="inlineStr">
        <is>
          <t>7/C</t>
        </is>
      </c>
      <c r="M5749" s="12" t="inlineStr">
        <is>
          <t>14</t>
        </is>
      </c>
      <c r="N5749" s="12" t="n">
        <v>1</v>
      </c>
      <c r="O5749" s="12" t="n">
        <v>1</v>
      </c>
      <c r="P5749" s="12" t="n"/>
      <c r="Q5749" s="12" t="n"/>
      <c r="R5749" s="12" t="n"/>
      <c r="S5749" s="12" t="inlineStr">
        <is>
          <t>Duct bank</t>
        </is>
      </c>
      <c r="T5749" s="15" t="n">
        <v>356</v>
      </c>
      <c r="U5749" s="15" t="n">
        <v>48</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K-C-0011</t>
        </is>
      </c>
      <c r="B5750" s="12" t="inlineStr">
        <is>
          <t>K</t>
        </is>
      </c>
      <c r="C5750" s="12" t="inlineStr">
        <is>
          <t>Fuel supply (adjacent market)</t>
        </is>
      </c>
      <c r="D5750" s="12" t="inlineStr">
        <is>
          <t>Control</t>
        </is>
      </c>
      <c r="E5750" s="12" t="inlineStr"/>
      <c r="F5750" s="12" t="inlineStr">
        <is>
          <t>H2 20: 13.8 kV e-house</t>
        </is>
      </c>
      <c r="G5750" s="12" t="inlineStr"/>
      <c r="H5750" s="12" t="inlineStr">
        <is>
          <t>H2 21: rectifier transformer 1 (7 MVA)</t>
        </is>
      </c>
      <c r="I5750" s="12" t="inlineStr">
        <is>
          <t>Control</t>
        </is>
      </c>
      <c r="J5750" s="12" t="inlineStr">
        <is>
          <t>ARMOR-X MC-HL 600 V control, Cu #14 AWG (Class I Div 2)</t>
        </is>
      </c>
      <c r="K5750" s="12" t="inlineStr">
        <is>
          <t>CTAX|12/C|14</t>
        </is>
      </c>
      <c r="L5750" s="12" t="inlineStr">
        <is>
          <t>12/C</t>
        </is>
      </c>
      <c r="M5750" s="12" t="inlineStr">
        <is>
          <t>14</t>
        </is>
      </c>
      <c r="N5750" s="12" t="n">
        <v>1</v>
      </c>
      <c r="O5750" s="12" t="n">
        <v>1</v>
      </c>
      <c r="P5750" s="12" t="n"/>
      <c r="Q5750" s="12" t="n"/>
      <c r="R5750" s="12" t="n"/>
      <c r="S5750" s="12" t="inlineStr">
        <is>
          <t>Duct bank</t>
        </is>
      </c>
      <c r="T5750" s="15" t="n">
        <v>356</v>
      </c>
      <c r="U5750" s="15" t="n">
        <v>48</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K-C-0012</t>
        </is>
      </c>
      <c r="B5751" s="12" t="inlineStr">
        <is>
          <t>K</t>
        </is>
      </c>
      <c r="C5751" s="12" t="inlineStr">
        <is>
          <t>Fuel supply (adjacent market)</t>
        </is>
      </c>
      <c r="D5751" s="12" t="inlineStr">
        <is>
          <t>CT / VT</t>
        </is>
      </c>
      <c r="E5751" s="12" t="inlineStr"/>
      <c r="F5751" s="12" t="inlineStr">
        <is>
          <t>H2 20: 13.8 kV e-house</t>
        </is>
      </c>
      <c r="G5751" s="12" t="inlineStr"/>
      <c r="H5751" s="12" t="inlineStr">
        <is>
          <t>H2 21: rectifier transformer 1 (7 MVA)</t>
        </is>
      </c>
      <c r="I5751" s="12" t="inlineStr">
        <is>
          <t>Control</t>
        </is>
      </c>
      <c r="J5751" s="12" t="inlineStr">
        <is>
          <t>Control cable 600 V Type TC-ER, Cu #10 AWG (CT / VT circuits)</t>
        </is>
      </c>
      <c r="K5751" s="12" t="inlineStr">
        <is>
          <t>CTCT|4/C|10</t>
        </is>
      </c>
      <c r="L5751" s="12" t="inlineStr">
        <is>
          <t>4/C</t>
        </is>
      </c>
      <c r="M5751" s="12" t="inlineStr">
        <is>
          <t>10</t>
        </is>
      </c>
      <c r="N5751" s="12" t="n">
        <v>1</v>
      </c>
      <c r="O5751" s="12" t="n">
        <v>1</v>
      </c>
      <c r="P5751" s="12" t="n"/>
      <c r="Q5751" s="12" t="n"/>
      <c r="R5751" s="12" t="n"/>
      <c r="S5751" s="12" t="inlineStr">
        <is>
          <t>Duct bank</t>
        </is>
      </c>
      <c r="T5751" s="15" t="n">
        <v>356</v>
      </c>
      <c r="U5751" s="15" t="n">
        <v>48</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K-C-0013</t>
        </is>
      </c>
      <c r="B5752" s="12" t="inlineStr">
        <is>
          <t>K</t>
        </is>
      </c>
      <c r="C5752" s="12" t="inlineStr">
        <is>
          <t>Fuel supply (adjacent market)</t>
        </is>
      </c>
      <c r="D5752" s="12" t="inlineStr">
        <is>
          <t>CT / VT</t>
        </is>
      </c>
      <c r="E5752" s="12" t="inlineStr"/>
      <c r="F5752" s="12" t="inlineStr">
        <is>
          <t>H2 20: 13.8 kV e-house</t>
        </is>
      </c>
      <c r="G5752" s="12" t="inlineStr"/>
      <c r="H5752" s="12" t="inlineStr">
        <is>
          <t>H2 21: rectifier transformer 1 (7 MVA)</t>
        </is>
      </c>
      <c r="I5752" s="12" t="inlineStr">
        <is>
          <t>Control</t>
        </is>
      </c>
      <c r="J5752" s="12" t="inlineStr">
        <is>
          <t>Control cable 600 V Type TC-ER, Cu #10 AWG (CT / VT circuits)</t>
        </is>
      </c>
      <c r="K5752" s="12" t="inlineStr">
        <is>
          <t>CTCT|4/C|10</t>
        </is>
      </c>
      <c r="L5752" s="12" t="inlineStr">
        <is>
          <t>4/C</t>
        </is>
      </c>
      <c r="M5752" s="12" t="inlineStr">
        <is>
          <t>10</t>
        </is>
      </c>
      <c r="N5752" s="12" t="n">
        <v>1</v>
      </c>
      <c r="O5752" s="12" t="n">
        <v>1</v>
      </c>
      <c r="P5752" s="12" t="n"/>
      <c r="Q5752" s="12" t="n"/>
      <c r="R5752" s="12" t="n"/>
      <c r="S5752" s="12" t="inlineStr">
        <is>
          <t>Duct bank</t>
        </is>
      </c>
      <c r="T5752" s="15" t="n">
        <v>356</v>
      </c>
      <c r="U5752" s="15" t="n">
        <v>48</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K-C-0014</t>
        </is>
      </c>
      <c r="B5753" s="12" t="inlineStr">
        <is>
          <t>K</t>
        </is>
      </c>
      <c r="C5753" s="12" t="inlineStr">
        <is>
          <t>Fuel supply (adjacent market)</t>
        </is>
      </c>
      <c r="D5753" s="12" t="inlineStr">
        <is>
          <t>Motor 1 of 1: control / local station</t>
        </is>
      </c>
      <c r="E5753" s="12" t="inlineStr"/>
      <c r="F5753" s="12" t="inlineStr">
        <is>
          <t>H2 20: 13.8 kV e-house</t>
        </is>
      </c>
      <c r="G5753" s="12" t="inlineStr"/>
      <c r="H5753" s="12" t="inlineStr">
        <is>
          <t>H2 21: rectifier transformer 2 (7 MVA)</t>
        </is>
      </c>
      <c r="I5753" s="12" t="inlineStr">
        <is>
          <t>Control</t>
        </is>
      </c>
      <c r="J5753" s="12" t="inlineStr">
        <is>
          <t>ARMOR-X MC-HL 600 V control, Cu #14 AWG (Class I Div 2)</t>
        </is>
      </c>
      <c r="K5753" s="12" t="inlineStr">
        <is>
          <t>CTAX|7/C|14</t>
        </is>
      </c>
      <c r="L5753" s="12" t="inlineStr">
        <is>
          <t>7/C</t>
        </is>
      </c>
      <c r="M5753" s="12" t="inlineStr">
        <is>
          <t>14</t>
        </is>
      </c>
      <c r="N5753" s="12" t="n">
        <v>1</v>
      </c>
      <c r="O5753" s="12" t="n">
        <v>1</v>
      </c>
      <c r="P5753" s="12" t="n"/>
      <c r="Q5753" s="12" t="n"/>
      <c r="R5753" s="12" t="n"/>
      <c r="S5753" s="12" t="inlineStr">
        <is>
          <t>Duct bank</t>
        </is>
      </c>
      <c r="T5753" s="15" t="n">
        <v>356</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K-C-0015</t>
        </is>
      </c>
      <c r="B5754" s="12" t="inlineStr">
        <is>
          <t>K</t>
        </is>
      </c>
      <c r="C5754" s="12" t="inlineStr">
        <is>
          <t>Fuel supply (adjacent market)</t>
        </is>
      </c>
      <c r="D5754" s="12" t="inlineStr">
        <is>
          <t>Solenoid to JB JB-H2 21: rectifier t-SOL01: 2 x 2/C (field cables)</t>
        </is>
      </c>
      <c r="E5754" s="12" t="inlineStr"/>
      <c r="F5754" s="12" t="inlineStr">
        <is>
          <t>H2 21: rectifier transformer 2 (7 MVA)</t>
        </is>
      </c>
      <c r="G5754" s="12" t="inlineStr">
        <is>
          <t>JB-H2 21: rectifier t-SOL01</t>
        </is>
      </c>
      <c r="H5754" s="12" t="inlineStr">
        <is>
          <t>H2 21: rectifier transformer 2 (7 MVA)</t>
        </is>
      </c>
      <c r="I5754" s="12" t="inlineStr">
        <is>
          <t>Control</t>
        </is>
      </c>
      <c r="J5754" s="12" t="inlineStr">
        <is>
          <t>ARMOR-X MC-HL 600 V control, Cu #14 AWG (Class I Div 2)</t>
        </is>
      </c>
      <c r="K5754" s="12" t="inlineStr">
        <is>
          <t>CTAX|2/C|14</t>
        </is>
      </c>
      <c r="L5754" s="12" t="inlineStr">
        <is>
          <t>2/C</t>
        </is>
      </c>
      <c r="M5754" s="12" t="inlineStr">
        <is>
          <t>14</t>
        </is>
      </c>
      <c r="N5754" s="12" t="n">
        <v>2</v>
      </c>
      <c r="O5754" s="12" t="n">
        <v>1</v>
      </c>
      <c r="P5754" s="12" t="n"/>
      <c r="Q5754" s="12" t="n"/>
      <c r="R5754" s="12" t="n"/>
      <c r="S5754" s="12" t="inlineStr">
        <is>
          <t>Tray / conduit</t>
        </is>
      </c>
      <c r="T5754" s="15" t="n">
        <v>41</v>
      </c>
      <c r="U5754" s="15" t="n">
        <v>10</v>
      </c>
      <c r="V5754" s="15">
        <f>ROUNDUP((T5754+U5754+2*'Read Me'!$B$13)*(1+'Read Me'!$B$12),-1)</f>
        <v/>
      </c>
      <c r="W5754" s="15">
        <f>V5754*N5754*O5754</f>
        <v/>
      </c>
      <c r="X5754" s="12">
        <f>IF(LEFT(I5754,2)="MV",2*N5754*IF(L5754="1/C",O5754,1),0)</f>
        <v/>
      </c>
      <c r="Y5754" s="12">
        <f>IF(OR(LEFT(K5754,4)="LVAX",LEFT(K5754,6)="MV15AX",LEFT(K5754,4)="CTAX",LEFT(K5754,2)="W|"),2*N5754*O5754,0)</f>
        <v/>
      </c>
      <c r="Z5754" s="12" t="inlineStr">
        <is>
          <t>device-to-JB field wiring, one cable per device</t>
        </is>
      </c>
      <c r="AA5754" s="12">
        <f>N5754*O5754</f>
        <v/>
      </c>
    </row>
    <row r="5755">
      <c r="A5755" s="12" t="inlineStr">
        <is>
          <t>K-C-0016</t>
        </is>
      </c>
      <c r="B5755" s="12" t="inlineStr">
        <is>
          <t>K</t>
        </is>
      </c>
      <c r="C5755" s="12" t="inlineStr">
        <is>
          <t>Fuel supply (adjacent market)</t>
        </is>
      </c>
      <c r="D5755" s="12" t="inlineStr">
        <is>
          <t>Home run JB-H2 21: rectifier t-SOL01 to the control / marshalling room</t>
        </is>
      </c>
      <c r="E5755" s="12" t="inlineStr"/>
      <c r="F5755" s="12" t="inlineStr">
        <is>
          <t>H2 20: 13.8 kV e-house</t>
        </is>
      </c>
      <c r="G5755" s="12" t="inlineStr">
        <is>
          <t>JB-H2 21: rectifier t-SOL01</t>
        </is>
      </c>
      <c r="H5755" s="12" t="inlineStr">
        <is>
          <t>H2 21: rectifier transformer 2 (7 MVA)</t>
        </is>
      </c>
      <c r="I5755" s="12" t="inlineStr">
        <is>
          <t>Control</t>
        </is>
      </c>
      <c r="J5755" s="12" t="inlineStr">
        <is>
          <t>ARMOR-X MC-HL 600 V control, Cu #14 AWG (Class I Div 2)</t>
        </is>
      </c>
      <c r="K5755" s="12" t="inlineStr">
        <is>
          <t>CTAX|25/C|14</t>
        </is>
      </c>
      <c r="L5755" s="12" t="inlineStr">
        <is>
          <t>25/C</t>
        </is>
      </c>
      <c r="M5755" s="12" t="inlineStr">
        <is>
          <t>14</t>
        </is>
      </c>
      <c r="N5755" s="12" t="n">
        <v>1</v>
      </c>
      <c r="O5755" s="12" t="n">
        <v>1</v>
      </c>
      <c r="P5755" s="12" t="n"/>
      <c r="Q5755" s="12" t="n"/>
      <c r="R5755" s="12" t="n"/>
      <c r="S5755" s="12" t="inlineStr">
        <is>
          <t>Duct bank</t>
        </is>
      </c>
      <c r="T5755" s="15" t="n">
        <v>356</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K-C-0017</t>
        </is>
      </c>
      <c r="B5756" s="12" t="inlineStr">
        <is>
          <t>K</t>
        </is>
      </c>
      <c r="C5756" s="12" t="inlineStr">
        <is>
          <t>Fuel supply (adjacent market)</t>
        </is>
      </c>
      <c r="D5756" s="12" t="inlineStr">
        <is>
          <t>Control</t>
        </is>
      </c>
      <c r="E5756" s="12" t="inlineStr"/>
      <c r="F5756" s="12" t="inlineStr">
        <is>
          <t>H2 20: 13.8 kV e-house</t>
        </is>
      </c>
      <c r="G5756" s="12" t="inlineStr"/>
      <c r="H5756" s="12" t="inlineStr">
        <is>
          <t>H2 21: rectifier transformer 2 (7 MVA)</t>
        </is>
      </c>
      <c r="I5756" s="12" t="inlineStr">
        <is>
          <t>Control</t>
        </is>
      </c>
      <c r="J5756" s="12" t="inlineStr">
        <is>
          <t>ARMOR-X MC-HL 600 V control, Cu #14 AWG (Class I Div 2)</t>
        </is>
      </c>
      <c r="K5756" s="12" t="inlineStr">
        <is>
          <t>CTAX|7/C|14</t>
        </is>
      </c>
      <c r="L5756" s="12" t="inlineStr">
        <is>
          <t>7/C</t>
        </is>
      </c>
      <c r="M5756" s="12" t="inlineStr">
        <is>
          <t>14</t>
        </is>
      </c>
      <c r="N5756" s="12" t="n">
        <v>1</v>
      </c>
      <c r="O5756" s="12" t="n">
        <v>1</v>
      </c>
      <c r="P5756" s="12" t="n"/>
      <c r="Q5756" s="12" t="n"/>
      <c r="R5756" s="12" t="n"/>
      <c r="S5756" s="12" t="inlineStr">
        <is>
          <t>Duct bank</t>
        </is>
      </c>
      <c r="T5756" s="15" t="n">
        <v>356</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K-C-0018</t>
        </is>
      </c>
      <c r="B5757" s="12" t="inlineStr">
        <is>
          <t>K</t>
        </is>
      </c>
      <c r="C5757" s="12" t="inlineStr">
        <is>
          <t>Fuel supply (adjacent market)</t>
        </is>
      </c>
      <c r="D5757" s="12" t="inlineStr">
        <is>
          <t>Control</t>
        </is>
      </c>
      <c r="E5757" s="12" t="inlineStr"/>
      <c r="F5757" s="12" t="inlineStr">
        <is>
          <t>H2 20: 13.8 kV e-house</t>
        </is>
      </c>
      <c r="G5757" s="12" t="inlineStr"/>
      <c r="H5757" s="12" t="inlineStr">
        <is>
          <t>H2 21: rectifier transformer 2 (7 MVA)</t>
        </is>
      </c>
      <c r="I5757" s="12" t="inlineStr">
        <is>
          <t>Control</t>
        </is>
      </c>
      <c r="J5757" s="12" t="inlineStr">
        <is>
          <t>ARMOR-X MC-HL 600 V control, Cu #14 AWG (Class I Div 2)</t>
        </is>
      </c>
      <c r="K5757" s="12" t="inlineStr">
        <is>
          <t>CTAX|12/C|14</t>
        </is>
      </c>
      <c r="L5757" s="12" t="inlineStr">
        <is>
          <t>12/C</t>
        </is>
      </c>
      <c r="M5757" s="12" t="inlineStr">
        <is>
          <t>14</t>
        </is>
      </c>
      <c r="N5757" s="12" t="n">
        <v>1</v>
      </c>
      <c r="O5757" s="12" t="n">
        <v>1</v>
      </c>
      <c r="P5757" s="12" t="n"/>
      <c r="Q5757" s="12" t="n"/>
      <c r="R5757" s="12" t="n"/>
      <c r="S5757" s="12" t="inlineStr">
        <is>
          <t>Duct bank</t>
        </is>
      </c>
      <c r="T5757" s="15" t="n">
        <v>356</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K-C-0019</t>
        </is>
      </c>
      <c r="B5758" s="12" t="inlineStr">
        <is>
          <t>K</t>
        </is>
      </c>
      <c r="C5758" s="12" t="inlineStr">
        <is>
          <t>Fuel supply (adjacent market)</t>
        </is>
      </c>
      <c r="D5758" s="12" t="inlineStr">
        <is>
          <t>CT / VT</t>
        </is>
      </c>
      <c r="E5758" s="12" t="inlineStr"/>
      <c r="F5758" s="12" t="inlineStr">
        <is>
          <t>H2 20: 13.8 kV e-house</t>
        </is>
      </c>
      <c r="G5758" s="12" t="inlineStr"/>
      <c r="H5758" s="12" t="inlineStr">
        <is>
          <t>H2 21: rectifier transformer 2 (7 MVA)</t>
        </is>
      </c>
      <c r="I5758" s="12" t="inlineStr">
        <is>
          <t>Control</t>
        </is>
      </c>
      <c r="J5758" s="12" t="inlineStr">
        <is>
          <t>Control cable 600 V Type TC-ER, Cu #10 AWG (CT / VT circuits)</t>
        </is>
      </c>
      <c r="K5758" s="12" t="inlineStr">
        <is>
          <t>CTCT|4/C|10</t>
        </is>
      </c>
      <c r="L5758" s="12" t="inlineStr">
        <is>
          <t>4/C</t>
        </is>
      </c>
      <c r="M5758" s="12" t="inlineStr">
        <is>
          <t>10</t>
        </is>
      </c>
      <c r="N5758" s="12" t="n">
        <v>1</v>
      </c>
      <c r="O5758" s="12" t="n">
        <v>1</v>
      </c>
      <c r="P5758" s="12" t="n"/>
      <c r="Q5758" s="12" t="n"/>
      <c r="R5758" s="12" t="n"/>
      <c r="S5758" s="12" t="inlineStr">
        <is>
          <t>Duct bank</t>
        </is>
      </c>
      <c r="T5758" s="15" t="n">
        <v>356</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K-C-0020</t>
        </is>
      </c>
      <c r="B5759" s="12" t="inlineStr">
        <is>
          <t>K</t>
        </is>
      </c>
      <c r="C5759" s="12" t="inlineStr">
        <is>
          <t>Fuel supply (adjacent market)</t>
        </is>
      </c>
      <c r="D5759" s="12" t="inlineStr">
        <is>
          <t>CT / VT</t>
        </is>
      </c>
      <c r="E5759" s="12" t="inlineStr"/>
      <c r="F5759" s="12" t="inlineStr">
        <is>
          <t>H2 20: 13.8 kV e-house</t>
        </is>
      </c>
      <c r="G5759" s="12" t="inlineStr"/>
      <c r="H5759" s="12" t="inlineStr">
        <is>
          <t>H2 21: rectifier transformer 2 (7 MVA)</t>
        </is>
      </c>
      <c r="I5759" s="12" t="inlineStr">
        <is>
          <t>Control</t>
        </is>
      </c>
      <c r="J5759" s="12" t="inlineStr">
        <is>
          <t>Control cable 600 V Type TC-ER, Cu #10 AWG (CT / VT circuits)</t>
        </is>
      </c>
      <c r="K5759" s="12" t="inlineStr">
        <is>
          <t>CTCT|4/C|10</t>
        </is>
      </c>
      <c r="L5759" s="12" t="inlineStr">
        <is>
          <t>4/C</t>
        </is>
      </c>
      <c r="M5759" s="12" t="inlineStr">
        <is>
          <t>10</t>
        </is>
      </c>
      <c r="N5759" s="12" t="n">
        <v>1</v>
      </c>
      <c r="O5759" s="12" t="n">
        <v>1</v>
      </c>
      <c r="P5759" s="12" t="n"/>
      <c r="Q5759" s="12" t="n"/>
      <c r="R5759" s="12" t="n"/>
      <c r="S5759" s="12" t="inlineStr">
        <is>
          <t>Duct bank</t>
        </is>
      </c>
      <c r="T5759" s="15" t="n">
        <v>356</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K-C-0021</t>
        </is>
      </c>
      <c r="B5760" s="12" t="inlineStr">
        <is>
          <t>K</t>
        </is>
      </c>
      <c r="C5760" s="12" t="inlineStr">
        <is>
          <t>Fuel supply (adjacent market)</t>
        </is>
      </c>
      <c r="D5760" s="12" t="inlineStr">
        <is>
          <t>Motor 1 of 1: control / local station</t>
        </is>
      </c>
      <c r="E5760" s="12" t="inlineStr"/>
      <c r="F5760" s="12" t="inlineStr">
        <is>
          <t>H2 20: 13.8 kV e-house</t>
        </is>
      </c>
      <c r="G5760" s="12" t="inlineStr"/>
      <c r="H5760" s="12" t="inlineStr">
        <is>
          <t>H2 21: rectifier transformer 3 (7 MVA)</t>
        </is>
      </c>
      <c r="I5760" s="12" t="inlineStr">
        <is>
          <t>Control</t>
        </is>
      </c>
      <c r="J5760" s="12" t="inlineStr">
        <is>
          <t>ARMOR-X MC-HL 600 V control, Cu #14 AWG (Class I Div 2)</t>
        </is>
      </c>
      <c r="K5760" s="12" t="inlineStr">
        <is>
          <t>CTAX|7/C|14</t>
        </is>
      </c>
      <c r="L5760" s="12" t="inlineStr">
        <is>
          <t>7/C</t>
        </is>
      </c>
      <c r="M5760" s="12" t="inlineStr">
        <is>
          <t>14</t>
        </is>
      </c>
      <c r="N5760" s="12" t="n">
        <v>1</v>
      </c>
      <c r="O5760" s="12" t="n">
        <v>1</v>
      </c>
      <c r="P5760" s="12" t="n"/>
      <c r="Q5760" s="12" t="n"/>
      <c r="R5760" s="12" t="n"/>
      <c r="S5760" s="12" t="inlineStr">
        <is>
          <t>Duct bank</t>
        </is>
      </c>
      <c r="T5760" s="15" t="n">
        <v>334</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K-C-0022</t>
        </is>
      </c>
      <c r="B5761" s="12" t="inlineStr">
        <is>
          <t>K</t>
        </is>
      </c>
      <c r="C5761" s="12" t="inlineStr">
        <is>
          <t>Fuel supply (adjacent market)</t>
        </is>
      </c>
      <c r="D5761" s="12" t="inlineStr">
        <is>
          <t>Solenoid to JB JB-H2 21: rectifier t-SOL01: 2 x 2/C (field cables)</t>
        </is>
      </c>
      <c r="E5761" s="12" t="inlineStr"/>
      <c r="F5761" s="12" t="inlineStr">
        <is>
          <t>H2 21: rectifier transformer 3 (7 MVA)</t>
        </is>
      </c>
      <c r="G5761" s="12" t="inlineStr">
        <is>
          <t>JB-H2 21: rectifier t-SOL01</t>
        </is>
      </c>
      <c r="H5761" s="12" t="inlineStr">
        <is>
          <t>H2 21: rectifier transformer 3 (7 MVA)</t>
        </is>
      </c>
      <c r="I5761" s="12" t="inlineStr">
        <is>
          <t>Control</t>
        </is>
      </c>
      <c r="J5761" s="12" t="inlineStr">
        <is>
          <t>ARMOR-X MC-HL 600 V control, Cu #14 AWG (Class I Div 2)</t>
        </is>
      </c>
      <c r="K5761" s="12" t="inlineStr">
        <is>
          <t>CTAX|2/C|14</t>
        </is>
      </c>
      <c r="L5761" s="12" t="inlineStr">
        <is>
          <t>2/C</t>
        </is>
      </c>
      <c r="M5761" s="12" t="inlineStr">
        <is>
          <t>14</t>
        </is>
      </c>
      <c r="N5761" s="12" t="n">
        <v>2</v>
      </c>
      <c r="O5761" s="12" t="n">
        <v>1</v>
      </c>
      <c r="P5761" s="12" t="n"/>
      <c r="Q5761" s="12" t="n"/>
      <c r="R5761" s="12" t="n"/>
      <c r="S5761" s="12" t="inlineStr">
        <is>
          <t>Tray / conduit</t>
        </is>
      </c>
      <c r="T5761" s="15" t="n">
        <v>41</v>
      </c>
      <c r="U5761" s="15" t="n">
        <v>10</v>
      </c>
      <c r="V5761" s="15">
        <f>ROUNDUP((T5761+U5761+2*'Read Me'!$B$13)*(1+'Read Me'!$B$12),-1)</f>
        <v/>
      </c>
      <c r="W5761" s="15">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K-C-0023</t>
        </is>
      </c>
      <c r="B5762" s="12" t="inlineStr">
        <is>
          <t>K</t>
        </is>
      </c>
      <c r="C5762" s="12" t="inlineStr">
        <is>
          <t>Fuel supply (adjacent market)</t>
        </is>
      </c>
      <c r="D5762" s="12" t="inlineStr">
        <is>
          <t>Home run JB-H2 21: rectifier t-SOL01 to the control / marshalling room</t>
        </is>
      </c>
      <c r="E5762" s="12" t="inlineStr"/>
      <c r="F5762" s="12" t="inlineStr">
        <is>
          <t>H2 20: 13.8 kV e-house</t>
        </is>
      </c>
      <c r="G5762" s="12" t="inlineStr">
        <is>
          <t>JB-H2 21: rectifier t-SOL01</t>
        </is>
      </c>
      <c r="H5762" s="12" t="inlineStr">
        <is>
          <t>H2 21: rectifier transformer 3 (7 MVA)</t>
        </is>
      </c>
      <c r="I5762" s="12" t="inlineStr">
        <is>
          <t>Control</t>
        </is>
      </c>
      <c r="J5762" s="12" t="inlineStr">
        <is>
          <t>ARMOR-X MC-HL 600 V control, Cu #14 AWG (Class I Div 2)</t>
        </is>
      </c>
      <c r="K5762" s="12" t="inlineStr">
        <is>
          <t>CTAX|25/C|14</t>
        </is>
      </c>
      <c r="L5762" s="12" t="inlineStr">
        <is>
          <t>25/C</t>
        </is>
      </c>
      <c r="M5762" s="12" t="inlineStr">
        <is>
          <t>14</t>
        </is>
      </c>
      <c r="N5762" s="12" t="n">
        <v>1</v>
      </c>
      <c r="O5762" s="12" t="n">
        <v>1</v>
      </c>
      <c r="P5762" s="12" t="n"/>
      <c r="Q5762" s="12" t="n"/>
      <c r="R5762" s="12" t="n"/>
      <c r="S5762" s="12" t="inlineStr">
        <is>
          <t>Duct bank</t>
        </is>
      </c>
      <c r="T5762" s="15" t="n">
        <v>334</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K-C-0024</t>
        </is>
      </c>
      <c r="B5763" s="12" t="inlineStr">
        <is>
          <t>K</t>
        </is>
      </c>
      <c r="C5763" s="12" t="inlineStr">
        <is>
          <t>Fuel supply (adjacent market)</t>
        </is>
      </c>
      <c r="D5763" s="12" t="inlineStr">
        <is>
          <t>Control</t>
        </is>
      </c>
      <c r="E5763" s="12" t="inlineStr"/>
      <c r="F5763" s="12" t="inlineStr">
        <is>
          <t>H2 20: 13.8 kV e-house</t>
        </is>
      </c>
      <c r="G5763" s="12" t="inlineStr"/>
      <c r="H5763" s="12" t="inlineStr">
        <is>
          <t>H2 21: rectifier transformer 3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334</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K-C-0025</t>
        </is>
      </c>
      <c r="B5764" s="12" t="inlineStr">
        <is>
          <t>K</t>
        </is>
      </c>
      <c r="C5764" s="12" t="inlineStr">
        <is>
          <t>Fuel supply (adjacent market)</t>
        </is>
      </c>
      <c r="D5764" s="12" t="inlineStr">
        <is>
          <t>Control</t>
        </is>
      </c>
      <c r="E5764" s="12" t="inlineStr"/>
      <c r="F5764" s="12" t="inlineStr">
        <is>
          <t>H2 20: 13.8 kV e-house</t>
        </is>
      </c>
      <c r="G5764" s="12" t="inlineStr"/>
      <c r="H5764" s="12" t="inlineStr">
        <is>
          <t>H2 21: rectifier transformer 3 (7 MVA)</t>
        </is>
      </c>
      <c r="I5764" s="12" t="inlineStr">
        <is>
          <t>Control</t>
        </is>
      </c>
      <c r="J5764" s="12" t="inlineStr">
        <is>
          <t>ARMOR-X MC-HL 600 V control, Cu #14 AWG (Class I Div 2)</t>
        </is>
      </c>
      <c r="K5764" s="12" t="inlineStr">
        <is>
          <t>CTAX|12/C|14</t>
        </is>
      </c>
      <c r="L5764" s="12" t="inlineStr">
        <is>
          <t>12/C</t>
        </is>
      </c>
      <c r="M5764" s="12" t="inlineStr">
        <is>
          <t>14</t>
        </is>
      </c>
      <c r="N5764" s="12" t="n">
        <v>1</v>
      </c>
      <c r="O5764" s="12" t="n">
        <v>1</v>
      </c>
      <c r="P5764" s="12" t="n"/>
      <c r="Q5764" s="12" t="n"/>
      <c r="R5764" s="12" t="n"/>
      <c r="S5764" s="12" t="inlineStr">
        <is>
          <t>Duct bank</t>
        </is>
      </c>
      <c r="T5764" s="15" t="n">
        <v>334</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K-C-0026</t>
        </is>
      </c>
      <c r="B5765" s="12" t="inlineStr">
        <is>
          <t>K</t>
        </is>
      </c>
      <c r="C5765" s="12" t="inlineStr">
        <is>
          <t>Fuel supply (adjacent market)</t>
        </is>
      </c>
      <c r="D5765" s="12" t="inlineStr">
        <is>
          <t>CT / VT</t>
        </is>
      </c>
      <c r="E5765" s="12" t="inlineStr"/>
      <c r="F5765" s="12" t="inlineStr">
        <is>
          <t>H2 20: 13.8 kV e-house</t>
        </is>
      </c>
      <c r="G5765" s="12" t="inlineStr"/>
      <c r="H5765" s="12" t="inlineStr">
        <is>
          <t>H2 21: rectifier transformer 3 (7 MVA)</t>
        </is>
      </c>
      <c r="I5765" s="12" t="inlineStr">
        <is>
          <t>Control</t>
        </is>
      </c>
      <c r="J5765" s="12" t="inlineStr">
        <is>
          <t>Control cable 600 V Type TC-ER, Cu #10 AWG (CT / VT circuits)</t>
        </is>
      </c>
      <c r="K5765" s="12" t="inlineStr">
        <is>
          <t>CTCT|4/C|10</t>
        </is>
      </c>
      <c r="L5765" s="12" t="inlineStr">
        <is>
          <t>4/C</t>
        </is>
      </c>
      <c r="M5765" s="12" t="inlineStr">
        <is>
          <t>10</t>
        </is>
      </c>
      <c r="N5765" s="12" t="n">
        <v>1</v>
      </c>
      <c r="O5765" s="12" t="n">
        <v>1</v>
      </c>
      <c r="P5765" s="12" t="n"/>
      <c r="Q5765" s="12" t="n"/>
      <c r="R5765" s="12" t="n"/>
      <c r="S5765" s="12" t="inlineStr">
        <is>
          <t>Duct bank</t>
        </is>
      </c>
      <c r="T5765" s="15" t="n">
        <v>334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K-C-0027</t>
        </is>
      </c>
      <c r="B5766" s="12" t="inlineStr">
        <is>
          <t>K</t>
        </is>
      </c>
      <c r="C5766" s="12" t="inlineStr">
        <is>
          <t>Fuel supply (adjacent market)</t>
        </is>
      </c>
      <c r="D5766" s="12" t="inlineStr">
        <is>
          <t>CT / VT</t>
        </is>
      </c>
      <c r="E5766" s="12" t="inlineStr"/>
      <c r="F5766" s="12" t="inlineStr">
        <is>
          <t>H2 20: 13.8 kV e-house</t>
        </is>
      </c>
      <c r="G5766" s="12" t="inlineStr"/>
      <c r="H5766" s="12" t="inlineStr">
        <is>
          <t>H2 21: rectifier transformer 3 (7 MVA)</t>
        </is>
      </c>
      <c r="I5766" s="12" t="inlineStr">
        <is>
          <t>Control</t>
        </is>
      </c>
      <c r="J5766" s="12" t="inlineStr">
        <is>
          <t>Control cable 600 V Type TC-ER, Cu #10 AWG (CT / VT circuits)</t>
        </is>
      </c>
      <c r="K5766" s="12" t="inlineStr">
        <is>
          <t>CTCT|4/C|10</t>
        </is>
      </c>
      <c r="L5766" s="12" t="inlineStr">
        <is>
          <t>4/C</t>
        </is>
      </c>
      <c r="M5766" s="12" t="inlineStr">
        <is>
          <t>10</t>
        </is>
      </c>
      <c r="N5766" s="12" t="n">
        <v>1</v>
      </c>
      <c r="O5766" s="12" t="n">
        <v>1</v>
      </c>
      <c r="P5766" s="12" t="n"/>
      <c r="Q5766" s="12" t="n"/>
      <c r="R5766" s="12" t="n"/>
      <c r="S5766" s="12" t="inlineStr">
        <is>
          <t>Duct bank</t>
        </is>
      </c>
      <c r="T5766" s="15" t="n">
        <v>334</v>
      </c>
      <c r="U5766" s="15" t="n">
        <v>32</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K-C-0028</t>
        </is>
      </c>
      <c r="B5767" s="12" t="inlineStr">
        <is>
          <t>K</t>
        </is>
      </c>
      <c r="C5767" s="12" t="inlineStr">
        <is>
          <t>Fuel supply (adjacent market)</t>
        </is>
      </c>
      <c r="D5767" s="12" t="inlineStr">
        <is>
          <t>Motor 1 of 1: control / local station</t>
        </is>
      </c>
      <c r="E5767" s="12" t="inlineStr"/>
      <c r="F5767" s="12" t="inlineStr">
        <is>
          <t>H2 20: 13.8 kV e-house</t>
        </is>
      </c>
      <c r="G5767" s="12" t="inlineStr"/>
      <c r="H5767" s="12" t="inlineStr">
        <is>
          <t>H2 21: rectifier transformer 4 (7 MVA)</t>
        </is>
      </c>
      <c r="I5767" s="12" t="inlineStr">
        <is>
          <t>Control</t>
        </is>
      </c>
      <c r="J5767" s="12" t="inlineStr">
        <is>
          <t>ARMOR-X MC-HL 600 V control, Cu #14 AWG (Class I Div 2)</t>
        </is>
      </c>
      <c r="K5767" s="12" t="inlineStr">
        <is>
          <t>CTAX|7/C|14</t>
        </is>
      </c>
      <c r="L5767" s="12" t="inlineStr">
        <is>
          <t>7/C</t>
        </is>
      </c>
      <c r="M5767" s="12" t="inlineStr">
        <is>
          <t>14</t>
        </is>
      </c>
      <c r="N5767" s="12" t="n">
        <v>1</v>
      </c>
      <c r="O5767" s="12" t="n">
        <v>1</v>
      </c>
      <c r="P5767" s="12" t="n"/>
      <c r="Q5767" s="12" t="n"/>
      <c r="R5767" s="12" t="n"/>
      <c r="S5767" s="12" t="inlineStr">
        <is>
          <t>Duct bank</t>
        </is>
      </c>
      <c r="T5767" s="15" t="n">
        <v>312</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K-C-0029</t>
        </is>
      </c>
      <c r="B5768" s="12" t="inlineStr">
        <is>
          <t>K</t>
        </is>
      </c>
      <c r="C5768" s="12" t="inlineStr">
        <is>
          <t>Fuel supply (adjacent market)</t>
        </is>
      </c>
      <c r="D5768" s="12" t="inlineStr">
        <is>
          <t>Solenoid to JB JB-H2 21: rectifier t-SOL01: 2 x 2/C (field cables)</t>
        </is>
      </c>
      <c r="E5768" s="12" t="inlineStr"/>
      <c r="F5768" s="12" t="inlineStr">
        <is>
          <t>H2 21: rectifier transformer 4 (7 MVA)</t>
        </is>
      </c>
      <c r="G5768" s="12" t="inlineStr">
        <is>
          <t>JB-H2 21: rectifier t-SOL01</t>
        </is>
      </c>
      <c r="H5768" s="12" t="inlineStr">
        <is>
          <t>H2 21: rectifier transformer 4 (7 MVA)</t>
        </is>
      </c>
      <c r="I5768" s="12" t="inlineStr">
        <is>
          <t>Control</t>
        </is>
      </c>
      <c r="J5768" s="12" t="inlineStr">
        <is>
          <t>ARMOR-X MC-HL 600 V control, Cu #14 AWG (Class I Div 2)</t>
        </is>
      </c>
      <c r="K5768" s="12" t="inlineStr">
        <is>
          <t>CTAX|2/C|14</t>
        </is>
      </c>
      <c r="L5768" s="12" t="inlineStr">
        <is>
          <t>2/C</t>
        </is>
      </c>
      <c r="M5768" s="12" t="inlineStr">
        <is>
          <t>14</t>
        </is>
      </c>
      <c r="N5768" s="12" t="n">
        <v>2</v>
      </c>
      <c r="O5768" s="12" t="n">
        <v>1</v>
      </c>
      <c r="P5768" s="12" t="n"/>
      <c r="Q5768" s="12" t="n"/>
      <c r="R5768" s="12" t="n"/>
      <c r="S5768" s="12" t="inlineStr">
        <is>
          <t>Tray / conduit</t>
        </is>
      </c>
      <c r="T5768" s="15" t="n">
        <v>41</v>
      </c>
      <c r="U5768" s="15" t="n">
        <v>10</v>
      </c>
      <c r="V5768" s="15">
        <f>ROUNDUP((T5768+U5768+2*'Read Me'!$B$13)*(1+'Read Me'!$B$12),-1)</f>
        <v/>
      </c>
      <c r="W5768" s="15">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K-C-0030</t>
        </is>
      </c>
      <c r="B5769" s="12" t="inlineStr">
        <is>
          <t>K</t>
        </is>
      </c>
      <c r="C5769" s="12" t="inlineStr">
        <is>
          <t>Fuel supply (adjacent market)</t>
        </is>
      </c>
      <c r="D5769" s="12" t="inlineStr">
        <is>
          <t>Home run JB-H2 21: rectifier t-SOL01 to the control / marshalling room</t>
        </is>
      </c>
      <c r="E5769" s="12" t="inlineStr"/>
      <c r="F5769" s="12" t="inlineStr">
        <is>
          <t>H2 20: 13.8 kV e-house</t>
        </is>
      </c>
      <c r="G5769" s="12" t="inlineStr">
        <is>
          <t>JB-H2 21: rectifier t-SOL01</t>
        </is>
      </c>
      <c r="H5769" s="12" t="inlineStr">
        <is>
          <t>H2 21: rectifier transformer 4 (7 MVA)</t>
        </is>
      </c>
      <c r="I5769" s="12" t="inlineStr">
        <is>
          <t>Control</t>
        </is>
      </c>
      <c r="J5769" s="12" t="inlineStr">
        <is>
          <t>ARMOR-X MC-HL 600 V control, Cu #14 AWG (Class I Div 2)</t>
        </is>
      </c>
      <c r="K5769" s="12" t="inlineStr">
        <is>
          <t>CTAX|25/C|14</t>
        </is>
      </c>
      <c r="L5769" s="12" t="inlineStr">
        <is>
          <t>25/C</t>
        </is>
      </c>
      <c r="M5769" s="12" t="inlineStr">
        <is>
          <t>14</t>
        </is>
      </c>
      <c r="N5769" s="12" t="n">
        <v>1</v>
      </c>
      <c r="O5769" s="12" t="n">
        <v>1</v>
      </c>
      <c r="P5769" s="12" t="n"/>
      <c r="Q5769" s="12" t="n"/>
      <c r="R5769" s="12" t="n"/>
      <c r="S5769" s="12" t="inlineStr">
        <is>
          <t>Duct bank</t>
        </is>
      </c>
      <c r="T5769" s="15" t="n">
        <v>312</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K-C-0031</t>
        </is>
      </c>
      <c r="B5770" s="12" t="inlineStr">
        <is>
          <t>K</t>
        </is>
      </c>
      <c r="C5770" s="12" t="inlineStr">
        <is>
          <t>Fuel supply (adjacent market)</t>
        </is>
      </c>
      <c r="D5770" s="12" t="inlineStr">
        <is>
          <t>Control</t>
        </is>
      </c>
      <c r="E5770" s="12" t="inlineStr"/>
      <c r="F5770" s="12" t="inlineStr">
        <is>
          <t>H2 20: 13.8 kV e-house</t>
        </is>
      </c>
      <c r="G5770" s="12" t="inlineStr"/>
      <c r="H5770" s="12" t="inlineStr">
        <is>
          <t>H2 21: rectifier transformer 4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312</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K-C-0032</t>
        </is>
      </c>
      <c r="B5771" s="12" t="inlineStr">
        <is>
          <t>K</t>
        </is>
      </c>
      <c r="C5771" s="12" t="inlineStr">
        <is>
          <t>Fuel supply (adjacent market)</t>
        </is>
      </c>
      <c r="D5771" s="12" t="inlineStr">
        <is>
          <t>Control</t>
        </is>
      </c>
      <c r="E5771" s="12" t="inlineStr"/>
      <c r="F5771" s="12" t="inlineStr">
        <is>
          <t>H2 20: 13.8 kV e-house</t>
        </is>
      </c>
      <c r="G5771" s="12" t="inlineStr"/>
      <c r="H5771" s="12" t="inlineStr">
        <is>
          <t>H2 21: rectifier transformer 4 (7 MVA)</t>
        </is>
      </c>
      <c r="I5771" s="12" t="inlineStr">
        <is>
          <t>Control</t>
        </is>
      </c>
      <c r="J5771" s="12" t="inlineStr">
        <is>
          <t>ARMOR-X MC-HL 600 V control, Cu #14 AWG (Class I Div 2)</t>
        </is>
      </c>
      <c r="K5771" s="12" t="inlineStr">
        <is>
          <t>CTAX|12/C|14</t>
        </is>
      </c>
      <c r="L5771" s="12" t="inlineStr">
        <is>
          <t>12/C</t>
        </is>
      </c>
      <c r="M5771" s="12" t="inlineStr">
        <is>
          <t>14</t>
        </is>
      </c>
      <c r="N5771" s="12" t="n">
        <v>1</v>
      </c>
      <c r="O5771" s="12" t="n">
        <v>1</v>
      </c>
      <c r="P5771" s="12" t="n"/>
      <c r="Q5771" s="12" t="n"/>
      <c r="R5771" s="12" t="n"/>
      <c r="S5771" s="12" t="inlineStr">
        <is>
          <t>Duct bank</t>
        </is>
      </c>
      <c r="T5771" s="15" t="n">
        <v>312</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K-C-0033</t>
        </is>
      </c>
      <c r="B5772" s="12" t="inlineStr">
        <is>
          <t>K</t>
        </is>
      </c>
      <c r="C5772" s="12" t="inlineStr">
        <is>
          <t>Fuel supply (adjacent market)</t>
        </is>
      </c>
      <c r="D5772" s="12" t="inlineStr">
        <is>
          <t>CT / VT</t>
        </is>
      </c>
      <c r="E5772" s="12" t="inlineStr"/>
      <c r="F5772" s="12" t="inlineStr">
        <is>
          <t>H2 20: 13.8 kV e-house</t>
        </is>
      </c>
      <c r="G5772" s="12" t="inlineStr"/>
      <c r="H5772" s="12" t="inlineStr">
        <is>
          <t>H2 21: rectifier transformer 4 (7 MVA)</t>
        </is>
      </c>
      <c r="I5772" s="12" t="inlineStr">
        <is>
          <t>Control</t>
        </is>
      </c>
      <c r="J5772" s="12" t="inlineStr">
        <is>
          <t>Control cable 600 V Type TC-ER, Cu #10 AWG (CT / VT circuits)</t>
        </is>
      </c>
      <c r="K5772" s="12" t="inlineStr">
        <is>
          <t>CTCT|4/C|10</t>
        </is>
      </c>
      <c r="L5772" s="12" t="inlineStr">
        <is>
          <t>4/C</t>
        </is>
      </c>
      <c r="M5772" s="12" t="inlineStr">
        <is>
          <t>10</t>
        </is>
      </c>
      <c r="N5772" s="12" t="n">
        <v>1</v>
      </c>
      <c r="O5772" s="12" t="n">
        <v>1</v>
      </c>
      <c r="P5772" s="12" t="n"/>
      <c r="Q5772" s="12" t="n"/>
      <c r="R5772" s="12" t="n"/>
      <c r="S5772" s="12" t="inlineStr">
        <is>
          <t>Duct bank</t>
        </is>
      </c>
      <c r="T5772" s="15" t="n">
        <v>312</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K-C-0034</t>
        </is>
      </c>
      <c r="B5773" s="12" t="inlineStr">
        <is>
          <t>K</t>
        </is>
      </c>
      <c r="C5773" s="12" t="inlineStr">
        <is>
          <t>Fuel supply (adjacent market)</t>
        </is>
      </c>
      <c r="D5773" s="12" t="inlineStr">
        <is>
          <t>CT / VT</t>
        </is>
      </c>
      <c r="E5773" s="12" t="inlineStr"/>
      <c r="F5773" s="12" t="inlineStr">
        <is>
          <t>H2 20: 13.8 kV e-house</t>
        </is>
      </c>
      <c r="G5773" s="12" t="inlineStr"/>
      <c r="H5773" s="12" t="inlineStr">
        <is>
          <t>H2 21: rectifier transformer 4 (7 MVA)</t>
        </is>
      </c>
      <c r="I5773" s="12" t="inlineStr">
        <is>
          <t>Control</t>
        </is>
      </c>
      <c r="J5773" s="12" t="inlineStr">
        <is>
          <t>Control cable 600 V Type TC-ER, Cu #10 AWG (CT / VT circuits)</t>
        </is>
      </c>
      <c r="K5773" s="12" t="inlineStr">
        <is>
          <t>CTCT|4/C|10</t>
        </is>
      </c>
      <c r="L5773" s="12" t="inlineStr">
        <is>
          <t>4/C</t>
        </is>
      </c>
      <c r="M5773" s="12" t="inlineStr">
        <is>
          <t>10</t>
        </is>
      </c>
      <c r="N5773" s="12" t="n">
        <v>1</v>
      </c>
      <c r="O5773" s="12" t="n">
        <v>1</v>
      </c>
      <c r="P5773" s="12" t="n"/>
      <c r="Q5773" s="12" t="n"/>
      <c r="R5773" s="12" t="n"/>
      <c r="S5773" s="12" t="inlineStr">
        <is>
          <t>Duct bank</t>
        </is>
      </c>
      <c r="T5773" s="15" t="n">
        <v>312</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K-C-0035</t>
        </is>
      </c>
      <c r="B5774" s="12" t="inlineStr">
        <is>
          <t>K</t>
        </is>
      </c>
      <c r="C5774" s="12" t="inlineStr">
        <is>
          <t>Fuel supply (adjacent market)</t>
        </is>
      </c>
      <c r="D5774" s="12" t="inlineStr">
        <is>
          <t>Motor 1 of 1: control / local station</t>
        </is>
      </c>
      <c r="E5774" s="12" t="inlineStr"/>
      <c r="F5774" s="12" t="inlineStr">
        <is>
          <t>H2 20: 13.8 kV e-house</t>
        </is>
      </c>
      <c r="G5774" s="12" t="inlineStr"/>
      <c r="H5774" s="12" t="inlineStr">
        <is>
          <t>H2 21: rectifier transformer 5 (7 MVA)</t>
        </is>
      </c>
      <c r="I5774" s="12" t="inlineStr">
        <is>
          <t>Control</t>
        </is>
      </c>
      <c r="J5774" s="12" t="inlineStr">
        <is>
          <t>ARMOR-X MC-HL 600 V control, Cu #14 AWG (Class I Div 2)</t>
        </is>
      </c>
      <c r="K5774" s="12" t="inlineStr">
        <is>
          <t>CTAX|7/C|14</t>
        </is>
      </c>
      <c r="L5774" s="12" t="inlineStr">
        <is>
          <t>7/C</t>
        </is>
      </c>
      <c r="M5774" s="12" t="inlineStr">
        <is>
          <t>14</t>
        </is>
      </c>
      <c r="N5774" s="12" t="n">
        <v>1</v>
      </c>
      <c r="O5774" s="12" t="n">
        <v>1</v>
      </c>
      <c r="P5774" s="12" t="n"/>
      <c r="Q5774" s="12" t="n"/>
      <c r="R5774" s="12" t="n"/>
      <c r="S5774" s="12" t="inlineStr">
        <is>
          <t>Duct bank</t>
        </is>
      </c>
      <c r="T5774" s="15" t="n">
        <v>254</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K-C-0036</t>
        </is>
      </c>
      <c r="B5775" s="12" t="inlineStr">
        <is>
          <t>K</t>
        </is>
      </c>
      <c r="C5775" s="12" t="inlineStr">
        <is>
          <t>Fuel supply (adjacent market)</t>
        </is>
      </c>
      <c r="D5775" s="12" t="inlineStr">
        <is>
          <t>Solenoid to JB JB-H2 21: rectifier t-SOL01: 2 x 2/C (field cables)</t>
        </is>
      </c>
      <c r="E5775" s="12" t="inlineStr"/>
      <c r="F5775" s="12" t="inlineStr">
        <is>
          <t>H2 21: rectifier transformer 5 (7 MVA)</t>
        </is>
      </c>
      <c r="G5775" s="12" t="inlineStr">
        <is>
          <t>JB-H2 21: rectifier t-SOL01</t>
        </is>
      </c>
      <c r="H5775" s="12" t="inlineStr">
        <is>
          <t>H2 21: rectifier transformer 5 (7 MVA)</t>
        </is>
      </c>
      <c r="I5775" s="12" t="inlineStr">
        <is>
          <t>Control</t>
        </is>
      </c>
      <c r="J5775" s="12" t="inlineStr">
        <is>
          <t>ARMOR-X MC-HL 600 V control, Cu #14 AWG (Class I Div 2)</t>
        </is>
      </c>
      <c r="K5775" s="12" t="inlineStr">
        <is>
          <t>CTAX|2/C|14</t>
        </is>
      </c>
      <c r="L5775" s="12" t="inlineStr">
        <is>
          <t>2/C</t>
        </is>
      </c>
      <c r="M5775" s="12" t="inlineStr">
        <is>
          <t>14</t>
        </is>
      </c>
      <c r="N5775" s="12" t="n">
        <v>2</v>
      </c>
      <c r="O5775" s="12" t="n">
        <v>1</v>
      </c>
      <c r="P5775" s="12" t="n"/>
      <c r="Q5775" s="12" t="n"/>
      <c r="R5775" s="12" t="n"/>
      <c r="S5775" s="12" t="inlineStr">
        <is>
          <t>Tray / conduit</t>
        </is>
      </c>
      <c r="T5775" s="15" t="n">
        <v>41</v>
      </c>
      <c r="U5775" s="15" t="n">
        <v>10</v>
      </c>
      <c r="V5775" s="15">
        <f>ROUNDUP((T5775+U5775+2*'Read Me'!$B$13)*(1+'Read Me'!$B$12),-1)</f>
        <v/>
      </c>
      <c r="W5775" s="15">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K-C-0037</t>
        </is>
      </c>
      <c r="B5776" s="12" t="inlineStr">
        <is>
          <t>K</t>
        </is>
      </c>
      <c r="C5776" s="12" t="inlineStr">
        <is>
          <t>Fuel supply (adjacent market)</t>
        </is>
      </c>
      <c r="D5776" s="12" t="inlineStr">
        <is>
          <t>Home run JB-H2 21: rectifier t-SOL01 to the control / marshalling room</t>
        </is>
      </c>
      <c r="E5776" s="12" t="inlineStr"/>
      <c r="F5776" s="12" t="inlineStr">
        <is>
          <t>H2 20: 13.8 kV e-house</t>
        </is>
      </c>
      <c r="G5776" s="12" t="inlineStr">
        <is>
          <t>JB-H2 21: rectifier t-SOL01</t>
        </is>
      </c>
      <c r="H5776" s="12" t="inlineStr">
        <is>
          <t>H2 21: rectifier transformer 5 (7 MVA)</t>
        </is>
      </c>
      <c r="I5776" s="12" t="inlineStr">
        <is>
          <t>Control</t>
        </is>
      </c>
      <c r="J5776" s="12" t="inlineStr">
        <is>
          <t>ARMOR-X MC-HL 600 V control, Cu #14 AWG (Class I Div 2)</t>
        </is>
      </c>
      <c r="K5776" s="12" t="inlineStr">
        <is>
          <t>CTAX|25/C|14</t>
        </is>
      </c>
      <c r="L5776" s="12" t="inlineStr">
        <is>
          <t>25/C</t>
        </is>
      </c>
      <c r="M5776" s="12" t="inlineStr">
        <is>
          <t>14</t>
        </is>
      </c>
      <c r="N5776" s="12" t="n">
        <v>1</v>
      </c>
      <c r="O5776" s="12" t="n">
        <v>1</v>
      </c>
      <c r="P5776" s="12" t="n"/>
      <c r="Q5776" s="12" t="n"/>
      <c r="R5776" s="12" t="n"/>
      <c r="S5776" s="12" t="inlineStr">
        <is>
          <t>Duct bank</t>
        </is>
      </c>
      <c r="T5776" s="15" t="n">
        <v>254</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K-C-0038</t>
        </is>
      </c>
      <c r="B5777" s="12" t="inlineStr">
        <is>
          <t>K</t>
        </is>
      </c>
      <c r="C5777" s="12" t="inlineStr">
        <is>
          <t>Fuel supply (adjacent market)</t>
        </is>
      </c>
      <c r="D5777" s="12" t="inlineStr">
        <is>
          <t>Control</t>
        </is>
      </c>
      <c r="E5777" s="12" t="inlineStr"/>
      <c r="F5777" s="12" t="inlineStr">
        <is>
          <t>H2 20: 13.8 kV e-house</t>
        </is>
      </c>
      <c r="G5777" s="12" t="inlineStr"/>
      <c r="H5777" s="12" t="inlineStr">
        <is>
          <t>H2 21: rectifier transformer 5 (7 MVA)</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254</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K-C-0039</t>
        </is>
      </c>
      <c r="B5778" s="12" t="inlineStr">
        <is>
          <t>K</t>
        </is>
      </c>
      <c r="C5778" s="12" t="inlineStr">
        <is>
          <t>Fuel supply (adjacent market)</t>
        </is>
      </c>
      <c r="D5778" s="12" t="inlineStr">
        <is>
          <t>Control</t>
        </is>
      </c>
      <c r="E5778" s="12" t="inlineStr"/>
      <c r="F5778" s="12" t="inlineStr">
        <is>
          <t>H2 20: 13.8 kV e-house</t>
        </is>
      </c>
      <c r="G5778" s="12" t="inlineStr"/>
      <c r="H5778" s="12" t="inlineStr">
        <is>
          <t>H2 21: rectifier transformer 5 (7 MVA)</t>
        </is>
      </c>
      <c r="I5778" s="12" t="inlineStr">
        <is>
          <t>Control</t>
        </is>
      </c>
      <c r="J5778" s="12" t="inlineStr">
        <is>
          <t>ARMOR-X MC-HL 600 V control, Cu #14 AWG (Class I Div 2)</t>
        </is>
      </c>
      <c r="K5778" s="12" t="inlineStr">
        <is>
          <t>CTAX|12/C|14</t>
        </is>
      </c>
      <c r="L5778" s="12" t="inlineStr">
        <is>
          <t>12/C</t>
        </is>
      </c>
      <c r="M5778" s="12" t="inlineStr">
        <is>
          <t>14</t>
        </is>
      </c>
      <c r="N5778" s="12" t="n">
        <v>1</v>
      </c>
      <c r="O5778" s="12" t="n">
        <v>1</v>
      </c>
      <c r="P5778" s="12" t="n"/>
      <c r="Q5778" s="12" t="n"/>
      <c r="R5778" s="12" t="n"/>
      <c r="S5778" s="12" t="inlineStr">
        <is>
          <t>Duct bank</t>
        </is>
      </c>
      <c r="T5778" s="15" t="n">
        <v>254</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K-C-0040</t>
        </is>
      </c>
      <c r="B5779" s="12" t="inlineStr">
        <is>
          <t>K</t>
        </is>
      </c>
      <c r="C5779" s="12" t="inlineStr">
        <is>
          <t>Fuel supply (adjacent market)</t>
        </is>
      </c>
      <c r="D5779" s="12" t="inlineStr">
        <is>
          <t>CT / VT</t>
        </is>
      </c>
      <c r="E5779" s="12" t="inlineStr"/>
      <c r="F5779" s="12" t="inlineStr">
        <is>
          <t>H2 20: 13.8 kV e-house</t>
        </is>
      </c>
      <c r="G5779" s="12" t="inlineStr"/>
      <c r="H5779" s="12" t="inlineStr">
        <is>
          <t>H2 21: rectifier transformer 5 (7 MVA)</t>
        </is>
      </c>
      <c r="I5779" s="12" t="inlineStr">
        <is>
          <t>Control</t>
        </is>
      </c>
      <c r="J5779" s="12" t="inlineStr">
        <is>
          <t>Control cable 600 V Type TC-ER, Cu #10 AWG (CT / VT circuits)</t>
        </is>
      </c>
      <c r="K5779" s="12" t="inlineStr">
        <is>
          <t>CTCT|4/C|10</t>
        </is>
      </c>
      <c r="L5779" s="12" t="inlineStr">
        <is>
          <t>4/C</t>
        </is>
      </c>
      <c r="M5779" s="12" t="inlineStr">
        <is>
          <t>10</t>
        </is>
      </c>
      <c r="N5779" s="12" t="n">
        <v>1</v>
      </c>
      <c r="O5779" s="12" t="n">
        <v>1</v>
      </c>
      <c r="P5779" s="12" t="n"/>
      <c r="Q5779" s="12" t="n"/>
      <c r="R5779" s="12" t="n"/>
      <c r="S5779" s="12" t="inlineStr">
        <is>
          <t>Duct bank</t>
        </is>
      </c>
      <c r="T5779" s="15" t="n">
        <v>254</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K-C-0041</t>
        </is>
      </c>
      <c r="B5780" s="12" t="inlineStr">
        <is>
          <t>K</t>
        </is>
      </c>
      <c r="C5780" s="12" t="inlineStr">
        <is>
          <t>Fuel supply (adjacent market)</t>
        </is>
      </c>
      <c r="D5780" s="12" t="inlineStr">
        <is>
          <t>CT / VT</t>
        </is>
      </c>
      <c r="E5780" s="12" t="inlineStr"/>
      <c r="F5780" s="12" t="inlineStr">
        <is>
          <t>H2 20: 13.8 kV e-house</t>
        </is>
      </c>
      <c r="G5780" s="12" t="inlineStr"/>
      <c r="H5780" s="12" t="inlineStr">
        <is>
          <t>H2 21: rectifier transformer 5 (7 MVA)</t>
        </is>
      </c>
      <c r="I5780" s="12" t="inlineStr">
        <is>
          <t>Control</t>
        </is>
      </c>
      <c r="J5780" s="12" t="inlineStr">
        <is>
          <t>Control cable 600 V Type TC-ER, Cu #10 AWG (CT / VT circuits)</t>
        </is>
      </c>
      <c r="K5780" s="12" t="inlineStr">
        <is>
          <t>CTCT|4/C|10</t>
        </is>
      </c>
      <c r="L5780" s="12" t="inlineStr">
        <is>
          <t>4/C</t>
        </is>
      </c>
      <c r="M5780" s="12" t="inlineStr">
        <is>
          <t>10</t>
        </is>
      </c>
      <c r="N5780" s="12" t="n">
        <v>1</v>
      </c>
      <c r="O5780" s="12" t="n">
        <v>1</v>
      </c>
      <c r="P5780" s="12" t="n"/>
      <c r="Q5780" s="12" t="n"/>
      <c r="R5780" s="12" t="n"/>
      <c r="S5780" s="12" t="inlineStr">
        <is>
          <t>Duct bank</t>
        </is>
      </c>
      <c r="T5780" s="15" t="n">
        <v>254</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K-C-0042</t>
        </is>
      </c>
      <c r="B5781" s="12" t="inlineStr">
        <is>
          <t>K</t>
        </is>
      </c>
      <c r="C5781" s="12" t="inlineStr">
        <is>
          <t>Fuel supply (adjacent market)</t>
        </is>
      </c>
      <c r="D5781" s="12" t="inlineStr">
        <is>
          <t>Motor 1 of 1: control / local station</t>
        </is>
      </c>
      <c r="E5781" s="12" t="inlineStr"/>
      <c r="F5781" s="12" t="inlineStr">
        <is>
          <t>H2 20: 13.8 kV e-house</t>
        </is>
      </c>
      <c r="G5781" s="12" t="inlineStr">
        <is>
          <t>H2-EL</t>
        </is>
      </c>
      <c r="H5781" s="12" t="inlineStr">
        <is>
          <t>H2 22: electrolyzer building (5 x HyLYZER-1000 + 5 rectifiers)</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346</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K-C-0043</t>
        </is>
      </c>
      <c r="B5782" s="12" t="inlineStr">
        <is>
          <t>K</t>
        </is>
      </c>
      <c r="C5782" s="12" t="inlineStr">
        <is>
          <t>Fuel supply (adjacent market)</t>
        </is>
      </c>
      <c r="D5782" s="12" t="inlineStr">
        <is>
          <t>Solenoid to JB JB-H2-EL-SOL01: 2 x 2/C (field cables)</t>
        </is>
      </c>
      <c r="E5782" s="12" t="inlineStr">
        <is>
          <t>H2-EL</t>
        </is>
      </c>
      <c r="F5782" s="12" t="inlineStr">
        <is>
          <t>H2 22: electrolyzer building (5 x HyLYZER-1000 + 5 rectifiers)</t>
        </is>
      </c>
      <c r="G5782" s="12" t="inlineStr">
        <is>
          <t>JB-H2-EL-SOL01</t>
        </is>
      </c>
      <c r="H5782" s="12" t="inlineStr">
        <is>
          <t>H2 22: electrolyzer building (5 x HyLYZER-1000 + 5 rectifiers)</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157</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K-C-0044</t>
        </is>
      </c>
      <c r="B5783" s="12" t="inlineStr">
        <is>
          <t>K</t>
        </is>
      </c>
      <c r="C5783" s="12" t="inlineStr">
        <is>
          <t>Fuel supply (adjacent market)</t>
        </is>
      </c>
      <c r="D5783" s="12" t="inlineStr">
        <is>
          <t>Home run JB-H2-EL-SOL01 to the control / marshalling room</t>
        </is>
      </c>
      <c r="E5783" s="12" t="inlineStr"/>
      <c r="F5783" s="12" t="inlineStr">
        <is>
          <t>H2 20: 13.8 kV e-house</t>
        </is>
      </c>
      <c r="G5783" s="12" t="inlineStr">
        <is>
          <t>JB-H2-EL-SOL01</t>
        </is>
      </c>
      <c r="H5783" s="12" t="inlineStr">
        <is>
          <t>H2 22: electrolyzer building (5 x HyLYZER-1000 + 5 rectifiers)</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346</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K-C-0045</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23: dry coolers</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100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K-C-0046</t>
        </is>
      </c>
      <c r="B5785" s="12" t="inlineStr">
        <is>
          <t>K</t>
        </is>
      </c>
      <c r="C5785" s="12" t="inlineStr">
        <is>
          <t>Fuel supply (adjacent market)</t>
        </is>
      </c>
      <c r="D5785" s="12" t="inlineStr">
        <is>
          <t>Solenoid to JB JB-H2 23: dry coolers-SOL01: 2 x 2/C (field cables)</t>
        </is>
      </c>
      <c r="E5785" s="12" t="inlineStr"/>
      <c r="F5785" s="12" t="inlineStr">
        <is>
          <t>H2 23: dry coolers</t>
        </is>
      </c>
      <c r="G5785" s="12" t="inlineStr">
        <is>
          <t>JB-H2 23: dry coolers-SOL01</t>
        </is>
      </c>
      <c r="H5785" s="12" t="inlineStr">
        <is>
          <t>H2 23: dry coolers</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111</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K-C-0047</t>
        </is>
      </c>
      <c r="B5786" s="12" t="inlineStr">
        <is>
          <t>K</t>
        </is>
      </c>
      <c r="C5786" s="12" t="inlineStr">
        <is>
          <t>Fuel supply (adjacent market)</t>
        </is>
      </c>
      <c r="D5786" s="12" t="inlineStr">
        <is>
          <t>Home run JB-H2 23: dry coolers-SOL01 to the control / marshalling room</t>
        </is>
      </c>
      <c r="E5786" s="12" t="inlineStr"/>
      <c r="F5786" s="12" t="inlineStr">
        <is>
          <t>H2 20: 13.8 kV e-house</t>
        </is>
      </c>
      <c r="G5786" s="12" t="inlineStr">
        <is>
          <t>JB-H2 23: dry coolers-SOL01</t>
        </is>
      </c>
      <c r="H5786" s="12" t="inlineStr">
        <is>
          <t>H2 23: dry coolers</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100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K-C-0048</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24: water purification (RO / EDI)</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146</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K-C-0049</t>
        </is>
      </c>
      <c r="B5788" s="12" t="inlineStr">
        <is>
          <t>K</t>
        </is>
      </c>
      <c r="C5788" s="12" t="inlineStr">
        <is>
          <t>Fuel supply (adjacent market)</t>
        </is>
      </c>
      <c r="D5788" s="12" t="inlineStr">
        <is>
          <t>Solenoid to JB JB-H2 24: water purif-SOL01: 2 x 2/C (field cables)</t>
        </is>
      </c>
      <c r="E5788" s="12" t="inlineStr"/>
      <c r="F5788" s="12" t="inlineStr">
        <is>
          <t>H2 24: water purification (RO / EDI)</t>
        </is>
      </c>
      <c r="G5788" s="12" t="inlineStr">
        <is>
          <t>JB-H2 24: water purif-SOL01</t>
        </is>
      </c>
      <c r="H5788" s="12" t="inlineStr">
        <is>
          <t>H2 24: water purification (RO / EDI)</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60</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K-C-0050</t>
        </is>
      </c>
      <c r="B5789" s="12" t="inlineStr">
        <is>
          <t>K</t>
        </is>
      </c>
      <c r="C5789" s="12" t="inlineStr">
        <is>
          <t>Fuel supply (adjacent market)</t>
        </is>
      </c>
      <c r="D5789" s="12" t="inlineStr">
        <is>
          <t>Home run JB-H2 24: water purif-SOL01 to the control / marshalling room</t>
        </is>
      </c>
      <c r="E5789" s="12" t="inlineStr"/>
      <c r="F5789" s="12" t="inlineStr">
        <is>
          <t>H2 20: 13.8 kV e-house</t>
        </is>
      </c>
      <c r="G5789" s="12" t="inlineStr">
        <is>
          <t>JB-H2 24: water purif-SOL01</t>
        </is>
      </c>
      <c r="H5789" s="12" t="inlineStr">
        <is>
          <t>H2 24: water purification (RO / EDI)</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146</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K-C-0051</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25: H2 dryer / purification</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0</v>
      </c>
      <c r="U5790" s="15" t="n">
        <v>49</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K-C-0052</t>
        </is>
      </c>
      <c r="B5791" s="12" t="inlineStr">
        <is>
          <t>K</t>
        </is>
      </c>
      <c r="C5791" s="12" t="inlineStr">
        <is>
          <t>Fuel supply (adjacent market)</t>
        </is>
      </c>
      <c r="D5791" s="12" t="inlineStr">
        <is>
          <t>Solenoid to JB JB-H2 25: H2 dryer / -SOL01: 2 x 2/C (field cables)</t>
        </is>
      </c>
      <c r="E5791" s="12" t="inlineStr"/>
      <c r="F5791" s="12" t="inlineStr">
        <is>
          <t>H2 25: H2 dryer / purification</t>
        </is>
      </c>
      <c r="G5791" s="12" t="inlineStr">
        <is>
          <t>JB-H2 25: H2 dryer / -SOL01</t>
        </is>
      </c>
      <c r="H5791" s="12" t="inlineStr">
        <is>
          <t>H2 25: H2 dryer / purification</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60</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K-C-0053</t>
        </is>
      </c>
      <c r="B5792" s="12" t="inlineStr">
        <is>
          <t>K</t>
        </is>
      </c>
      <c r="C5792" s="12" t="inlineStr">
        <is>
          <t>Fuel supply (adjacent market)</t>
        </is>
      </c>
      <c r="D5792" s="12" t="inlineStr">
        <is>
          <t>Home run JB-H2 25: H2 dryer / -SOL01 to the control / marshalling room</t>
        </is>
      </c>
      <c r="E5792" s="12" t="inlineStr"/>
      <c r="F5792" s="12" t="inlineStr">
        <is>
          <t>H2 20: 13.8 kV e-house</t>
        </is>
      </c>
      <c r="G5792" s="12" t="inlineStr">
        <is>
          <t>JB-H2 25: H2 dryer / -SOL01</t>
        </is>
      </c>
      <c r="H5792" s="12" t="inlineStr">
        <is>
          <t>H2 25: H2 dryer / purification</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0</v>
      </c>
      <c r="U5792" s="15" t="n">
        <v>49</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K-C-0054</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26: H2 compressor 1 (40 ft ISO)</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K-C-0055</t>
        </is>
      </c>
      <c r="B5794" s="12" t="inlineStr">
        <is>
          <t>K</t>
        </is>
      </c>
      <c r="C5794" s="12" t="inlineStr">
        <is>
          <t>Fuel supply (adjacent market)</t>
        </is>
      </c>
      <c r="D5794" s="12" t="inlineStr">
        <is>
          <t>Solenoid to JB JB-H2 26: H2 compress-SOL01: 2 x 2/C (field cables)</t>
        </is>
      </c>
      <c r="E5794" s="12" t="inlineStr"/>
      <c r="F5794" s="12" t="inlineStr">
        <is>
          <t>H2 26: H2 compressor 1 (40 ft ISO)</t>
        </is>
      </c>
      <c r="G5794" s="12" t="inlineStr">
        <is>
          <t>JB-H2 26: H2 compress-SOL01</t>
        </is>
      </c>
      <c r="H5794" s="12" t="inlineStr">
        <is>
          <t>H2 26: H2 compressor 1 (40 ft ISO)</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53</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K-C-0056</t>
        </is>
      </c>
      <c r="B5795" s="12" t="inlineStr">
        <is>
          <t>K</t>
        </is>
      </c>
      <c r="C5795" s="12" t="inlineStr">
        <is>
          <t>Fuel supply (adjacent market)</t>
        </is>
      </c>
      <c r="D5795" s="12" t="inlineStr">
        <is>
          <t>Home run JB-H2 26: H2 compress-SOL01 to the control / marshalling room</t>
        </is>
      </c>
      <c r="E5795" s="12" t="inlineStr"/>
      <c r="F5795" s="12" t="inlineStr">
        <is>
          <t>H2 20: 13.8 kV e-house</t>
        </is>
      </c>
      <c r="G5795" s="12" t="inlineStr">
        <is>
          <t>JB-H2 26: H2 compress-SOL01</t>
        </is>
      </c>
      <c r="H5795" s="12" t="inlineStr">
        <is>
          <t>H2 26: H2 compressor 1 (40 ft ISO)</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32</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K-C-0057</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26: H2 compressor 2 (40 ft ISO)</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47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K-C-0058</t>
        </is>
      </c>
      <c r="B5797" s="12" t="inlineStr">
        <is>
          <t>K</t>
        </is>
      </c>
      <c r="C5797" s="12" t="inlineStr">
        <is>
          <t>Fuel supply (adjacent market)</t>
        </is>
      </c>
      <c r="D5797" s="12" t="inlineStr">
        <is>
          <t>Solenoid to JB JB-H2 26: H2 compress-SOL01: 2 x 2/C (field cables)</t>
        </is>
      </c>
      <c r="E5797" s="12" t="inlineStr"/>
      <c r="F5797" s="12" t="inlineStr">
        <is>
          <t>H2 26: H2 compressor 2 (40 ft ISO)</t>
        </is>
      </c>
      <c r="G5797" s="12" t="inlineStr">
        <is>
          <t>JB-H2 26: H2 compress-SOL01</t>
        </is>
      </c>
      <c r="H5797" s="12" t="inlineStr">
        <is>
          <t>H2 26: H2 compressor 2 (40 ft ISO)</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53</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K-C-0059</t>
        </is>
      </c>
      <c r="B5798" s="12" t="inlineStr">
        <is>
          <t>K</t>
        </is>
      </c>
      <c r="C5798" s="12" t="inlineStr">
        <is>
          <t>Fuel supply (adjacent market)</t>
        </is>
      </c>
      <c r="D5798" s="12" t="inlineStr">
        <is>
          <t>Home run JB-H2 26: H2 compress-SOL01 to the control / marshalling room</t>
        </is>
      </c>
      <c r="E5798" s="12" t="inlineStr"/>
      <c r="F5798" s="12" t="inlineStr">
        <is>
          <t>H2 20: 13.8 kV e-house</t>
        </is>
      </c>
      <c r="G5798" s="12" t="inlineStr">
        <is>
          <t>JB-H2 26: H2 compress-SOL01</t>
        </is>
      </c>
      <c r="H5798" s="12" t="inlineStr">
        <is>
          <t>H2 26: H2 compressor 2 (40 ft ISO)</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47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K-C-0060</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97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K-C-0061</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K-C-0062</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97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K-C-0063</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27: storage tube bank (~40 ft tubes)</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50</v>
      </c>
      <c r="U5802" s="15" t="n">
        <v>117</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K-C-0064</t>
        </is>
      </c>
      <c r="B5803" s="12" t="inlineStr">
        <is>
          <t>K</t>
        </is>
      </c>
      <c r="C5803" s="12" t="inlineStr">
        <is>
          <t>Fuel supply (adjacent market)</t>
        </is>
      </c>
      <c r="D5803" s="12" t="inlineStr">
        <is>
          <t>Solenoid to JB JB-H2 27: storage tub-SOL01: 2 x 2/C (field cables)</t>
        </is>
      </c>
      <c r="E5803" s="12" t="inlineStr"/>
      <c r="F5803" s="12" t="inlineStr">
        <is>
          <t>H2 27: storage tube bank (~40 ft tubes)</t>
        </is>
      </c>
      <c r="G5803" s="12" t="inlineStr">
        <is>
          <t>JB-H2 27: storage tub-SOL01</t>
        </is>
      </c>
      <c r="H5803" s="12" t="inlineStr">
        <is>
          <t>H2 27: storage tube bank (~40 ft tubes)</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54</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K-C-0065</t>
        </is>
      </c>
      <c r="B5804" s="12" t="inlineStr">
        <is>
          <t>K</t>
        </is>
      </c>
      <c r="C5804" s="12" t="inlineStr">
        <is>
          <t>Fuel supply (adjacent market)</t>
        </is>
      </c>
      <c r="D5804" s="12" t="inlineStr">
        <is>
          <t>Home run JB-H2 27: storage tub-SOL01 to the control / marshalling room</t>
        </is>
      </c>
      <c r="E5804" s="12" t="inlineStr"/>
      <c r="F5804" s="12" t="inlineStr">
        <is>
          <t>H2 20: 13.8 kV e-house</t>
        </is>
      </c>
      <c r="G5804" s="12" t="inlineStr">
        <is>
          <t>JB-H2 27: storage tub-SOL01</t>
        </is>
      </c>
      <c r="H5804" s="12" t="inlineStr">
        <is>
          <t>H2 27: storage tube bank (~40 ft tubes)</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50</v>
      </c>
      <c r="U5804" s="15" t="n">
        <v>117</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K-C-0066</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27: storage tube bank (~40 ft tubes)</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50</v>
      </c>
      <c r="U5805" s="15" t="n">
        <v>97</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K-C-0067</t>
        </is>
      </c>
      <c r="B5806" s="12" t="inlineStr">
        <is>
          <t>K</t>
        </is>
      </c>
      <c r="C5806" s="12" t="inlineStr">
        <is>
          <t>Fuel supply (adjacent market)</t>
        </is>
      </c>
      <c r="D5806" s="12" t="inlineStr">
        <is>
          <t>Solenoid to JB JB-H2 27: storage tub-SOL01: 2 x 2/C (field cables)</t>
        </is>
      </c>
      <c r="E5806" s="12" t="inlineStr"/>
      <c r="F5806" s="12" t="inlineStr">
        <is>
          <t>H2 27: storage tube bank (~40 ft tubes)</t>
        </is>
      </c>
      <c r="G5806" s="12" t="inlineStr">
        <is>
          <t>JB-H2 27: storage tub-SOL01</t>
        </is>
      </c>
      <c r="H5806" s="12" t="inlineStr">
        <is>
          <t>H2 27: storage tube bank (~40 ft tubes)</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54</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K-C-0068</t>
        </is>
      </c>
      <c r="B5807" s="12" t="inlineStr">
        <is>
          <t>K</t>
        </is>
      </c>
      <c r="C5807" s="12" t="inlineStr">
        <is>
          <t>Fuel supply (adjacent market)</t>
        </is>
      </c>
      <c r="D5807" s="12" t="inlineStr">
        <is>
          <t>Home run JB-H2 27: storage tub-SOL01 to the control / marshalling room</t>
        </is>
      </c>
      <c r="E5807" s="12" t="inlineStr"/>
      <c r="F5807" s="12" t="inlineStr">
        <is>
          <t>H2 20: 13.8 kV e-house</t>
        </is>
      </c>
      <c r="G5807" s="12" t="inlineStr">
        <is>
          <t>JB-H2 27: storage tub-SOL01</t>
        </is>
      </c>
      <c r="H5807" s="12" t="inlineStr">
        <is>
          <t>H2 27: storage tube bank (~40 ft tubes)</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50</v>
      </c>
      <c r="U5807" s="15" t="n">
        <v>97</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K-C-0069</t>
        </is>
      </c>
      <c r="B5808" s="12" t="inlineStr">
        <is>
          <t>K</t>
        </is>
      </c>
      <c r="C5808" s="12" t="inlineStr">
        <is>
          <t>Fuel supply (adjacent market)</t>
        </is>
      </c>
      <c r="D5808" s="12" t="inlineStr">
        <is>
          <t>Motor 1 of 1: control / local station</t>
        </is>
      </c>
      <c r="E5808" s="12" t="inlineStr"/>
      <c r="F5808" s="12" t="inlineStr">
        <is>
          <t>H2 20: 13.8 kV e-house</t>
        </is>
      </c>
      <c r="G5808" s="12" t="inlineStr"/>
      <c r="H5808" s="12" t="inlineStr">
        <is>
          <t>H2 27: storage tube bank (~40 ft tubes)</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50</v>
      </c>
      <c r="U5808" s="15" t="n">
        <v>117</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K-C-0070</t>
        </is>
      </c>
      <c r="B5809" s="12" t="inlineStr">
        <is>
          <t>K</t>
        </is>
      </c>
      <c r="C5809" s="12" t="inlineStr">
        <is>
          <t>Fuel supply (adjacent market)</t>
        </is>
      </c>
      <c r="D5809" s="12" t="inlineStr">
        <is>
          <t>Solenoid to JB JB-H2 27: storage tub-SOL01: 2 x 2/C (field cables)</t>
        </is>
      </c>
      <c r="E5809" s="12" t="inlineStr"/>
      <c r="F5809" s="12" t="inlineStr">
        <is>
          <t>H2 27: storage tube bank (~40 ft tubes)</t>
        </is>
      </c>
      <c r="G5809" s="12" t="inlineStr">
        <is>
          <t>JB-H2 27: storage tub-SOL01</t>
        </is>
      </c>
      <c r="H5809" s="12" t="inlineStr">
        <is>
          <t>H2 27: storage tube bank (~40 ft tubes)</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54</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K-C-0071</t>
        </is>
      </c>
      <c r="B5810" s="12" t="inlineStr">
        <is>
          <t>K</t>
        </is>
      </c>
      <c r="C5810" s="12" t="inlineStr">
        <is>
          <t>Fuel supply (adjacent market)</t>
        </is>
      </c>
      <c r="D5810" s="12" t="inlineStr">
        <is>
          <t>Home run JB-H2 27: storage tub-SOL01 to the control / marshalling room</t>
        </is>
      </c>
      <c r="E5810" s="12" t="inlineStr"/>
      <c r="F5810" s="12" t="inlineStr">
        <is>
          <t>H2 20: 13.8 kV e-house</t>
        </is>
      </c>
      <c r="G5810" s="12" t="inlineStr">
        <is>
          <t>JB-H2 27: storage tub-SOL01</t>
        </is>
      </c>
      <c r="H5810" s="12" t="inlineStr">
        <is>
          <t>H2 27: storage tube bank (~40 ft tubes)</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50</v>
      </c>
      <c r="U5810" s="15" t="n">
        <v>117</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K-C-0072</t>
        </is>
      </c>
      <c r="B5811" s="12" t="inlineStr">
        <is>
          <t>K</t>
        </is>
      </c>
      <c r="C5811" s="12" t="inlineStr">
        <is>
          <t>Fuel supply (adjacent market)</t>
        </is>
      </c>
      <c r="D5811" s="12" t="inlineStr">
        <is>
          <t>Motor 1 of 1: control / local station</t>
        </is>
      </c>
      <c r="E5811" s="12" t="inlineStr"/>
      <c r="F5811" s="12" t="inlineStr">
        <is>
          <t>H2 20: 13.8 kV e-house</t>
        </is>
      </c>
      <c r="G5811" s="12" t="inlineStr"/>
      <c r="H5811" s="12" t="inlineStr">
        <is>
          <t>H2 28: N2 purge supply</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36</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K-C-0073</t>
        </is>
      </c>
      <c r="B5812" s="12" t="inlineStr">
        <is>
          <t>K</t>
        </is>
      </c>
      <c r="C5812" s="12" t="inlineStr">
        <is>
          <t>Fuel supply (adjacent market)</t>
        </is>
      </c>
      <c r="D5812" s="12" t="inlineStr">
        <is>
          <t>Solenoid to JB JB-H2 28: N2 purge su-SOL01: 2 x 2/C (field cables)</t>
        </is>
      </c>
      <c r="E5812" s="12" t="inlineStr"/>
      <c r="F5812" s="12" t="inlineStr">
        <is>
          <t>H2 28: N2 purge supply</t>
        </is>
      </c>
      <c r="G5812" s="12" t="inlineStr">
        <is>
          <t>JB-H2 28: N2 purge su-SOL01</t>
        </is>
      </c>
      <c r="H5812" s="12" t="inlineStr">
        <is>
          <t>H2 28: N2 purge supply</t>
        </is>
      </c>
      <c r="I5812" s="12" t="inlineStr">
        <is>
          <t>Control</t>
        </is>
      </c>
      <c r="J5812" s="12" t="inlineStr">
        <is>
          <t>ARMOR-X MC-HL 600 V control, Cu #14 AWG (Class I Div 2)</t>
        </is>
      </c>
      <c r="K5812" s="12" t="inlineStr">
        <is>
          <t>CTAX|2/C|14</t>
        </is>
      </c>
      <c r="L5812" s="12" t="inlineStr">
        <is>
          <t>2/C</t>
        </is>
      </c>
      <c r="M5812" s="12" t="inlineStr">
        <is>
          <t>14</t>
        </is>
      </c>
      <c r="N5812" s="12" t="n">
        <v>2</v>
      </c>
      <c r="O5812" s="12" t="n">
        <v>1</v>
      </c>
      <c r="P5812" s="12" t="n"/>
      <c r="Q5812" s="12" t="n"/>
      <c r="R5812" s="12" t="n"/>
      <c r="S5812" s="12" t="inlineStr">
        <is>
          <t>Tray / conduit</t>
        </is>
      </c>
      <c r="T5812" s="15" t="n">
        <v>56</v>
      </c>
      <c r="U5812" s="15" t="n">
        <v>10</v>
      </c>
      <c r="V5812" s="15">
        <f>ROUNDUP((T5812+U5812+2*'Read Me'!$B$13)*(1+'Read Me'!$B$12),-1)</f>
        <v/>
      </c>
      <c r="W5812" s="15">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K-C-0074</t>
        </is>
      </c>
      <c r="B5813" s="12" t="inlineStr">
        <is>
          <t>K</t>
        </is>
      </c>
      <c r="C5813" s="12" t="inlineStr">
        <is>
          <t>Fuel supply (adjacent market)</t>
        </is>
      </c>
      <c r="D5813" s="12" t="inlineStr">
        <is>
          <t>Home run JB-H2 28: N2 purge su-SOL01 to the control / marshalling room</t>
        </is>
      </c>
      <c r="E5813" s="12" t="inlineStr"/>
      <c r="F5813" s="12" t="inlineStr">
        <is>
          <t>H2 20: 13.8 kV e-house</t>
        </is>
      </c>
      <c r="G5813" s="12" t="inlineStr">
        <is>
          <t>JB-H2 28: N2 purge su-SOL01</t>
        </is>
      </c>
      <c r="H5813" s="12" t="inlineStr">
        <is>
          <t>H2 28: N2 purge supply</t>
        </is>
      </c>
      <c r="I5813" s="12" t="inlineStr">
        <is>
          <t>Control</t>
        </is>
      </c>
      <c r="J5813" s="12" t="inlineStr">
        <is>
          <t>ARMOR-X MC-HL 600 V control, Cu #14 AWG (Class I Div 2)</t>
        </is>
      </c>
      <c r="K5813" s="12" t="inlineStr">
        <is>
          <t>CTAX|25/C|14</t>
        </is>
      </c>
      <c r="L5813" s="12" t="inlineStr">
        <is>
          <t>25/C</t>
        </is>
      </c>
      <c r="M5813" s="12" t="inlineStr">
        <is>
          <t>14</t>
        </is>
      </c>
      <c r="N5813" s="12" t="n">
        <v>1</v>
      </c>
      <c r="O5813" s="12" t="n">
        <v>1</v>
      </c>
      <c r="P5813" s="12" t="n"/>
      <c r="Q5813" s="12" t="n"/>
      <c r="R5813" s="12" t="n"/>
      <c r="S5813" s="12" t="inlineStr">
        <is>
          <t>Duct bank</t>
        </is>
      </c>
      <c r="T5813" s="15" t="n">
        <v>53</v>
      </c>
      <c r="U5813" s="15" t="n">
        <v>36</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K-C-0075</t>
        </is>
      </c>
      <c r="B5814" s="12" t="inlineStr">
        <is>
          <t>K</t>
        </is>
      </c>
      <c r="C5814" s="12" t="inlineStr">
        <is>
          <t>Fuel supply (adjacent market)</t>
        </is>
      </c>
      <c r="D5814" s="12" t="inlineStr">
        <is>
          <t>Motor 1 of 1: control / local station</t>
        </is>
      </c>
      <c r="E5814" s="12" t="inlineStr"/>
      <c r="F5814" s="12" t="inlineStr">
        <is>
          <t>H2 20: 13.8 kV e-house</t>
        </is>
      </c>
      <c r="G5814" s="12" t="inlineStr"/>
      <c r="H5814" s="12" t="inlineStr">
        <is>
          <t>H2 29: vent stack</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55</v>
      </c>
      <c r="U5814" s="15" t="n">
        <v>205</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K-C-0076</t>
        </is>
      </c>
      <c r="B5815" s="12" t="inlineStr">
        <is>
          <t>K</t>
        </is>
      </c>
      <c r="C5815" s="12" t="inlineStr">
        <is>
          <t>Fuel supply (adjacent market)</t>
        </is>
      </c>
      <c r="D5815" s="12" t="inlineStr">
        <is>
          <t>Solenoid to JB JB-H2 29: vent stack-SOL01: 2 x 2/C (field cables)</t>
        </is>
      </c>
      <c r="E5815" s="12" t="inlineStr"/>
      <c r="F5815" s="12" t="inlineStr">
        <is>
          <t>H2 29: vent stack</t>
        </is>
      </c>
      <c r="G5815" s="12" t="inlineStr">
        <is>
          <t>JB-H2 29: vent stack-SOL01</t>
        </is>
      </c>
      <c r="H5815" s="12" t="inlineStr">
        <is>
          <t>H2 29: vent stack</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45</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K-C-0077</t>
        </is>
      </c>
      <c r="B5816" s="12" t="inlineStr">
        <is>
          <t>K</t>
        </is>
      </c>
      <c r="C5816" s="12" t="inlineStr">
        <is>
          <t>Fuel supply (adjacent market)</t>
        </is>
      </c>
      <c r="D5816" s="12" t="inlineStr">
        <is>
          <t>Home run JB-H2 29: vent stack-SOL01 to the control / marshalling room</t>
        </is>
      </c>
      <c r="E5816" s="12" t="inlineStr"/>
      <c r="F5816" s="12" t="inlineStr">
        <is>
          <t>H2 20: 13.8 kV e-house</t>
        </is>
      </c>
      <c r="G5816" s="12" t="inlineStr">
        <is>
          <t>JB-H2 29: vent stack-SOL01</t>
        </is>
      </c>
      <c r="H5816" s="12" t="inlineStr">
        <is>
          <t>H2 29: vent stack</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55</v>
      </c>
      <c r="U5816" s="15" t="n">
        <v>205</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K-C-0078</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H2 30: H2 / gas blending station (plant gas yard)</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994</v>
      </c>
      <c r="U5817" s="15" t="n">
        <v>114</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K-C-0079</t>
        </is>
      </c>
      <c r="B5818" s="12" t="inlineStr">
        <is>
          <t>K</t>
        </is>
      </c>
      <c r="C5818" s="12" t="inlineStr">
        <is>
          <t>Fuel supply (adjacent market)</t>
        </is>
      </c>
      <c r="D5818" s="12" t="inlineStr">
        <is>
          <t>Solenoid to JB JB-H2 30: H2 / gas bl-SOL01: 2 x 2/C (field cables)</t>
        </is>
      </c>
      <c r="E5818" s="12" t="inlineStr"/>
      <c r="F5818" s="12" t="inlineStr">
        <is>
          <t>H2 30: H2 / gas blending station (plant gas yard)</t>
        </is>
      </c>
      <c r="G5818" s="12" t="inlineStr">
        <is>
          <t>JB-H2 30: H2 / gas bl-SOL01</t>
        </is>
      </c>
      <c r="H5818" s="12" t="inlineStr">
        <is>
          <t>H2 30: H2 / gas blending station (plant gas yard)</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129</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K-C-0080</t>
        </is>
      </c>
      <c r="B5819" s="12" t="inlineStr">
        <is>
          <t>K</t>
        </is>
      </c>
      <c r="C5819" s="12" t="inlineStr">
        <is>
          <t>Fuel supply (adjacent market)</t>
        </is>
      </c>
      <c r="D5819" s="12" t="inlineStr">
        <is>
          <t>Home run JB-H2 30: H2 / gas bl-SOL01 to the control / marshalling room</t>
        </is>
      </c>
      <c r="E5819" s="12" t="inlineStr"/>
      <c r="F5819" s="12" t="inlineStr">
        <is>
          <t>LNG 17: LNG e-house (13.8 kV / 480 V)</t>
        </is>
      </c>
      <c r="G5819" s="12" t="inlineStr">
        <is>
          <t>JB-H2 30: H2 / gas bl-SOL01</t>
        </is>
      </c>
      <c r="H5819" s="12" t="inlineStr">
        <is>
          <t>H2 30: H2 / gas blending station (plant gas yard)</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994</v>
      </c>
      <c r="U5819" s="15" t="n">
        <v>114</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K-C-0081</t>
        </is>
      </c>
      <c r="B5820" s="12" t="inlineStr">
        <is>
          <t>K</t>
        </is>
      </c>
      <c r="C5820" s="12" t="inlineStr">
        <is>
          <t>Fuel supply (adjacent market)</t>
        </is>
      </c>
      <c r="D5820" s="12" t="inlineStr">
        <is>
          <t>Motor 1 of 2: control / local station</t>
        </is>
      </c>
      <c r="E5820" s="12" t="inlineStr"/>
      <c r="F5820" s="12" t="inlineStr">
        <is>
          <t>H2 20: 13.8 kV e-house</t>
        </is>
      </c>
      <c r="G5820" s="12" t="inlineStr"/>
      <c r="H5820" s="12" t="inlineStr">
        <is>
          <t>H2 pipe track and cable trench, hall -&gt; dryer / compressors (N2, instr</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53</v>
      </c>
      <c r="U5820" s="15" t="n">
        <v>62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K-C-0082</t>
        </is>
      </c>
      <c r="B5821" s="12" t="inlineStr">
        <is>
          <t>K</t>
        </is>
      </c>
      <c r="C5821" s="12" t="inlineStr">
        <is>
          <t>Fuel supply (adjacent market)</t>
        </is>
      </c>
      <c r="D5821" s="12" t="inlineStr">
        <is>
          <t>Motor 2 of 2: control / local station</t>
        </is>
      </c>
      <c r="E5821" s="12" t="inlineStr"/>
      <c r="F5821" s="12" t="inlineStr">
        <is>
          <t>H2 20: 13.8 kV e-house</t>
        </is>
      </c>
      <c r="G5821" s="12" t="inlineStr"/>
      <c r="H5821" s="12" t="inlineStr">
        <is>
          <t>H2 pipe track and cable trench, hall -&gt; dryer / compressors (N2, instr</t>
        </is>
      </c>
      <c r="I5821" s="12" t="inlineStr">
        <is>
          <t>Control</t>
        </is>
      </c>
      <c r="J5821" s="12" t="inlineStr">
        <is>
          <t>ARMOR-X MC-HL 600 V control, Cu #14 AWG (Class I Div 2)</t>
        </is>
      </c>
      <c r="K5821" s="12" t="inlineStr">
        <is>
          <t>CTAX|7/C|14</t>
        </is>
      </c>
      <c r="L5821" s="12" t="inlineStr">
        <is>
          <t>7/C</t>
        </is>
      </c>
      <c r="M5821" s="12" t="inlineStr">
        <is>
          <t>14</t>
        </is>
      </c>
      <c r="N5821" s="12" t="n">
        <v>1</v>
      </c>
      <c r="O5821" s="12" t="n">
        <v>1</v>
      </c>
      <c r="P5821" s="12" t="n"/>
      <c r="Q5821" s="12" t="n"/>
      <c r="R5821" s="12" t="n"/>
      <c r="S5821" s="12" t="inlineStr">
        <is>
          <t>Duct bank</t>
        </is>
      </c>
      <c r="T5821" s="15" t="n">
        <v>53</v>
      </c>
      <c r="U5821" s="15" t="n">
        <v>62</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K-C-0083</t>
        </is>
      </c>
      <c r="B5822" s="12" t="inlineStr">
        <is>
          <t>K</t>
        </is>
      </c>
      <c r="C5822" s="12" t="inlineStr">
        <is>
          <t>Fuel supply (adjacent market)</t>
        </is>
      </c>
      <c r="D5822" s="12" t="inlineStr">
        <is>
          <t>Control</t>
        </is>
      </c>
      <c r="E5822" s="12" t="inlineStr"/>
      <c r="F5822" s="12" t="inlineStr">
        <is>
          <t>H2 20: 13.8 kV e-house</t>
        </is>
      </c>
      <c r="G5822" s="12" t="inlineStr">
        <is>
          <t>H2-ST</t>
        </is>
      </c>
      <c r="H5822" s="12" t="inlineStr">
        <is>
          <t>H2 storage tube banks x4</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50</v>
      </c>
      <c r="U5822" s="15" t="n">
        <v>92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K-C-0084</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10: truck unloading bay 1</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237</v>
      </c>
      <c r="U5823" s="15" t="n">
        <v>61</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K-C-0085</t>
        </is>
      </c>
      <c r="B5824" s="12" t="inlineStr">
        <is>
          <t>K</t>
        </is>
      </c>
      <c r="C5824" s="12" t="inlineStr">
        <is>
          <t>Fuel supply (adjacent market)</t>
        </is>
      </c>
      <c r="D5824" s="12" t="inlineStr">
        <is>
          <t>Solenoid to JB JB-LNG 10: truck unlo-SOL01: 2 x 2/C (field cables)</t>
        </is>
      </c>
      <c r="E5824" s="12" t="inlineStr"/>
      <c r="F5824" s="12" t="inlineStr">
        <is>
          <t>LNG 10: truck unloading bay 1</t>
        </is>
      </c>
      <c r="G5824" s="12" t="inlineStr">
        <is>
          <t>JB-LNG 10: truck unlo-SOL01</t>
        </is>
      </c>
      <c r="H5824" s="12" t="inlineStr">
        <is>
          <t>LNG 10: truck unloading bay 1</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72</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K-C-0086</t>
        </is>
      </c>
      <c r="B5825" s="12" t="inlineStr">
        <is>
          <t>K</t>
        </is>
      </c>
      <c r="C5825" s="12" t="inlineStr">
        <is>
          <t>Fuel supply (adjacent market)</t>
        </is>
      </c>
      <c r="D5825" s="12" t="inlineStr">
        <is>
          <t>Home run JB-LNG 10: truck unlo-SOL01 to the control / marshalling room</t>
        </is>
      </c>
      <c r="E5825" s="12" t="inlineStr"/>
      <c r="F5825" s="12" t="inlineStr">
        <is>
          <t>LNG 17: LNG e-house (13.8 kV / 480 V)</t>
        </is>
      </c>
      <c r="G5825" s="12" t="inlineStr">
        <is>
          <t>JB-LNG 10: truck unlo-SOL01</t>
        </is>
      </c>
      <c r="H5825" s="12" t="inlineStr">
        <is>
          <t>LNG 10: truck unloading bay 1</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237</v>
      </c>
      <c r="U5825" s="15" t="n">
        <v>61</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K-C-0087</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10: truck unloading bay 2</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147</v>
      </c>
      <c r="U5826" s="15" t="n">
        <v>66</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K-C-0088</t>
        </is>
      </c>
      <c r="B5827" s="12" t="inlineStr">
        <is>
          <t>K</t>
        </is>
      </c>
      <c r="C5827" s="12" t="inlineStr">
        <is>
          <t>Fuel supply (adjacent market)</t>
        </is>
      </c>
      <c r="D5827" s="12" t="inlineStr">
        <is>
          <t>Solenoid to JB JB-LNG 10: truck unlo-SOL01: 2 x 2/C (field cables)</t>
        </is>
      </c>
      <c r="E5827" s="12" t="inlineStr"/>
      <c r="F5827" s="12" t="inlineStr">
        <is>
          <t>LNG 10: truck unloading bay 2</t>
        </is>
      </c>
      <c r="G5827" s="12" t="inlineStr">
        <is>
          <t>JB-LNG 10: truck unlo-SOL01</t>
        </is>
      </c>
      <c r="H5827" s="12" t="inlineStr">
        <is>
          <t>LNG 10: truck unloading bay 2</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72</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K-C-0089</t>
        </is>
      </c>
      <c r="B5828" s="12" t="inlineStr">
        <is>
          <t>K</t>
        </is>
      </c>
      <c r="C5828" s="12" t="inlineStr">
        <is>
          <t>Fuel supply (adjacent market)</t>
        </is>
      </c>
      <c r="D5828" s="12" t="inlineStr">
        <is>
          <t>Home run JB-LNG 10: truck unlo-SOL01 to the control / marshalling room</t>
        </is>
      </c>
      <c r="E5828" s="12" t="inlineStr"/>
      <c r="F5828" s="12" t="inlineStr">
        <is>
          <t>LNG 17: LNG e-house (13.8 kV / 480 V)</t>
        </is>
      </c>
      <c r="G5828" s="12" t="inlineStr">
        <is>
          <t>JB-LNG 10: truck unlo-SOL01</t>
        </is>
      </c>
      <c r="H5828" s="12" t="inlineStr">
        <is>
          <t>LNG 10: truck unloading bay 2</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147</v>
      </c>
      <c r="U5828" s="15" t="n">
        <v>66</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K-C-0090</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10: unloading skid</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237</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K-C-0091</t>
        </is>
      </c>
      <c r="B5830" s="12" t="inlineStr">
        <is>
          <t>K</t>
        </is>
      </c>
      <c r="C5830" s="12" t="inlineStr">
        <is>
          <t>Fuel supply (adjacent market)</t>
        </is>
      </c>
      <c r="D5830" s="12" t="inlineStr">
        <is>
          <t>Solenoid to JB JB-LNG 10: unloading -SOL01: 2 x 2/C (field cables)</t>
        </is>
      </c>
      <c r="E5830" s="12" t="inlineStr"/>
      <c r="F5830" s="12" t="inlineStr">
        <is>
          <t>LNG 10: unloading skid</t>
        </is>
      </c>
      <c r="G5830" s="12" t="inlineStr">
        <is>
          <t>JB-LNG 10: unloading -SOL01</t>
        </is>
      </c>
      <c r="H5830" s="12" t="inlineStr">
        <is>
          <t>LNG 10: unloading skid</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54</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K-C-0092</t>
        </is>
      </c>
      <c r="B5831" s="12" t="inlineStr">
        <is>
          <t>K</t>
        </is>
      </c>
      <c r="C5831" s="12" t="inlineStr">
        <is>
          <t>Fuel supply (adjacent market)</t>
        </is>
      </c>
      <c r="D5831" s="12" t="inlineStr">
        <is>
          <t>Home run JB-LNG 10: unloading -SOL01 to the control / marshalling room</t>
        </is>
      </c>
      <c r="E5831" s="12" t="inlineStr"/>
      <c r="F5831" s="12" t="inlineStr">
        <is>
          <t>LNG 17: LNG e-house (13.8 kV / 480 V)</t>
        </is>
      </c>
      <c r="G5831" s="12" t="inlineStr">
        <is>
          <t>JB-LNG 10: unloading -SOL01</t>
        </is>
      </c>
      <c r="H5831" s="12" t="inlineStr">
        <is>
          <t>LNG 10: unloading skid</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237</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K-C-0093</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12: spill impoundment (NFPA 59A, to verify)</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230</v>
      </c>
      <c r="U5832" s="15" t="n">
        <v>32</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K-C-0094</t>
        </is>
      </c>
      <c r="B5833" s="12" t="inlineStr">
        <is>
          <t>K</t>
        </is>
      </c>
      <c r="C5833" s="12" t="inlineStr">
        <is>
          <t>Fuel supply (adjacent market)</t>
        </is>
      </c>
      <c r="D5833" s="12" t="inlineStr">
        <is>
          <t>Solenoid to JB JB-LNG 12: spill impo-SOL01: 2 x 2/C (field cables)</t>
        </is>
      </c>
      <c r="E5833" s="12" t="inlineStr"/>
      <c r="F5833" s="12" t="inlineStr">
        <is>
          <t>LNG 12: spill impoundment (NFPA 59A, to verify)</t>
        </is>
      </c>
      <c r="G5833" s="12" t="inlineStr">
        <is>
          <t>JB-LNG 12: spill impo-SOL01</t>
        </is>
      </c>
      <c r="H5833" s="12" t="inlineStr">
        <is>
          <t>LNG 12: spill impoundment (NFPA 59A, to verify)</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170</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K-C-0095</t>
        </is>
      </c>
      <c r="B5834" s="12" t="inlineStr">
        <is>
          <t>K</t>
        </is>
      </c>
      <c r="C5834" s="12" t="inlineStr">
        <is>
          <t>Fuel supply (adjacent market)</t>
        </is>
      </c>
      <c r="D5834" s="12" t="inlineStr">
        <is>
          <t>Home run JB-LNG 12: spill impo-SOL01 to the control / marshalling room</t>
        </is>
      </c>
      <c r="E5834" s="12" t="inlineStr"/>
      <c r="F5834" s="12" t="inlineStr">
        <is>
          <t>LNG 17: LNG e-house (13.8 kV / 480 V)</t>
        </is>
      </c>
      <c r="G5834" s="12" t="inlineStr">
        <is>
          <t>JB-LNG 12: spill impo-SOL01</t>
        </is>
      </c>
      <c r="H5834" s="12" t="inlineStr">
        <is>
          <t>LNG 12: spill impoundment (NFPA 59A, to verify)</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230</v>
      </c>
      <c r="U5834" s="15" t="n">
        <v>32</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K-C-0096</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13: send-out pumps 2 x 100%</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110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K-C-0097</t>
        </is>
      </c>
      <c r="B5836" s="12" t="inlineStr">
        <is>
          <t>K</t>
        </is>
      </c>
      <c r="C5836" s="12" t="inlineStr">
        <is>
          <t>Fuel supply (adjacent market)</t>
        </is>
      </c>
      <c r="D5836" s="12" t="inlineStr">
        <is>
          <t>Solenoid to JB JB-LNG 13: send-out p-SOL01: 2 x 2/C (field cables)</t>
        </is>
      </c>
      <c r="E5836" s="12" t="inlineStr"/>
      <c r="F5836" s="12" t="inlineStr">
        <is>
          <t>LNG 13: send-out pumps 2 x 100%</t>
        </is>
      </c>
      <c r="G5836" s="12" t="inlineStr">
        <is>
          <t>JB-LNG 13: send-out p-SOL01</t>
        </is>
      </c>
      <c r="H5836" s="12" t="inlineStr">
        <is>
          <t>LNG 13: send-out pumps 2 x 100%</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63</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K-C-0098</t>
        </is>
      </c>
      <c r="B5837" s="12" t="inlineStr">
        <is>
          <t>K</t>
        </is>
      </c>
      <c r="C5837" s="12" t="inlineStr">
        <is>
          <t>Fuel supply (adjacent market)</t>
        </is>
      </c>
      <c r="D5837" s="12" t="inlineStr">
        <is>
          <t>Home run JB-LNG 13: send-out p-SOL01 to the control / marshalling room</t>
        </is>
      </c>
      <c r="E5837" s="12" t="inlineStr"/>
      <c r="F5837" s="12" t="inlineStr">
        <is>
          <t>LNG 17: LNG e-house (13.8 kV / 480 V)</t>
        </is>
      </c>
      <c r="G5837" s="12" t="inlineStr">
        <is>
          <t>JB-LNG 13: send-out p-SOL01</t>
        </is>
      </c>
      <c r="H5837" s="12" t="inlineStr">
        <is>
          <t>LNG 13: send-out pumps 2 x 100%</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110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K-C-0099</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14: vaporizers + glycol heater</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5" t="n">
        <v>259</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K-C-0100</t>
        </is>
      </c>
      <c r="B5839" s="12" t="inlineStr">
        <is>
          <t>K</t>
        </is>
      </c>
      <c r="C5839" s="12" t="inlineStr">
        <is>
          <t>Fuel supply (adjacent market)</t>
        </is>
      </c>
      <c r="D5839" s="12" t="inlineStr">
        <is>
          <t>Solenoid to JB JB-LNG 14: vaporizers-SOL01: 2 x 2/C (field cables)</t>
        </is>
      </c>
      <c r="E5839" s="12" t="inlineStr"/>
      <c r="F5839" s="12" t="inlineStr">
        <is>
          <t>LNG 14: vaporizers + glycol heater</t>
        </is>
      </c>
      <c r="G5839" s="12" t="inlineStr">
        <is>
          <t>JB-LNG 14: vaporizers-SOL01</t>
        </is>
      </c>
      <c r="H5839" s="12" t="inlineStr">
        <is>
          <t>LNG 14: vaporizers + glycol heater</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122</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K-C-0101</t>
        </is>
      </c>
      <c r="B5840" s="12" t="inlineStr">
        <is>
          <t>K</t>
        </is>
      </c>
      <c r="C5840" s="12" t="inlineStr">
        <is>
          <t>Fuel supply (adjacent market)</t>
        </is>
      </c>
      <c r="D5840" s="12" t="inlineStr">
        <is>
          <t>Home run JB-LNG 14: vaporizers-SOL01 to the control / marshalling room</t>
        </is>
      </c>
      <c r="E5840" s="12" t="inlineStr"/>
      <c r="F5840" s="12" t="inlineStr">
        <is>
          <t>LNG 17: LNG e-house (13.8 kV / 480 V)</t>
        </is>
      </c>
      <c r="G5840" s="12" t="inlineStr">
        <is>
          <t>JB-LNG 14: vaporizers-SOL01</t>
        </is>
      </c>
      <c r="H5840" s="12" t="inlineStr">
        <is>
          <t>LNG 14: vaporizers + glycol heater</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Duct bank</t>
        </is>
      </c>
      <c r="T5840" s="15" t="n">
        <v>259</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K-C-0102</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15: boil-off gas compressor</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54</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K-C-0103</t>
        </is>
      </c>
      <c r="B5842" s="12" t="inlineStr">
        <is>
          <t>K</t>
        </is>
      </c>
      <c r="C5842" s="12" t="inlineStr">
        <is>
          <t>Fuel supply (adjacent market)</t>
        </is>
      </c>
      <c r="D5842" s="12" t="inlineStr">
        <is>
          <t>Solenoid to JB JB-LNG 15: boil-off g-SOL01: 2 x 2/C (field cables)</t>
        </is>
      </c>
      <c r="E5842" s="12" t="inlineStr"/>
      <c r="F5842" s="12" t="inlineStr">
        <is>
          <t>LNG 15: boil-off gas compressor</t>
        </is>
      </c>
      <c r="G5842" s="12" t="inlineStr">
        <is>
          <t>JB-LNG 15: boil-off g-SOL01</t>
        </is>
      </c>
      <c r="H5842" s="12" t="inlineStr">
        <is>
          <t>LNG 15: boil-off gas compressor</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67</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K-C-0104</t>
        </is>
      </c>
      <c r="B5843" s="12" t="inlineStr">
        <is>
          <t>K</t>
        </is>
      </c>
      <c r="C5843" s="12" t="inlineStr">
        <is>
          <t>Fuel supply (adjacent market)</t>
        </is>
      </c>
      <c r="D5843" s="12" t="inlineStr">
        <is>
          <t>Home run JB-LNG 15: boil-off g-SOL01 to the control / marshalling room</t>
        </is>
      </c>
      <c r="E5843" s="12" t="inlineStr"/>
      <c r="F5843" s="12" t="inlineStr">
        <is>
          <t>LNG 17: LNG e-house (13.8 kV / 480 V)</t>
        </is>
      </c>
      <c r="G5843" s="12" t="inlineStr">
        <is>
          <t>JB-LNG 15: boil-off g-SOL01</t>
        </is>
      </c>
      <c r="H5843" s="12" t="inlineStr">
        <is>
          <t>LNG 15: boil-off gas compressor</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54</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K-C-0105</t>
        </is>
      </c>
      <c r="B5844" s="12" t="inlineStr">
        <is>
          <t>K</t>
        </is>
      </c>
      <c r="C5844" s="12" t="inlineStr">
        <is>
          <t>Fuel supply (adjacent market)</t>
        </is>
      </c>
      <c r="D5844" s="12" t="inlineStr">
        <is>
          <t>Motor 1 of 1: control / local station</t>
        </is>
      </c>
      <c r="E5844" s="12" t="inlineStr"/>
      <c r="F5844" s="12" t="inlineStr">
        <is>
          <t>LNG 17: LNG e-house (13.8 kV / 480 V)</t>
        </is>
      </c>
      <c r="G5844" s="12" t="inlineStr"/>
      <c r="H5844" s="12" t="inlineStr">
        <is>
          <t>LNG 16: send-out metering + pressure control</t>
        </is>
      </c>
      <c r="I5844" s="12" t="inlineStr">
        <is>
          <t>Control</t>
        </is>
      </c>
      <c r="J5844" s="12" t="inlineStr">
        <is>
          <t>ARMOR-X MC-HL 600 V control, Cu #14 AWG (Class I Div 2)</t>
        </is>
      </c>
      <c r="K5844" s="12" t="inlineStr">
        <is>
          <t>CTAX|7/C|14</t>
        </is>
      </c>
      <c r="L5844" s="12" t="inlineStr">
        <is>
          <t>7/C</t>
        </is>
      </c>
      <c r="M5844" s="12" t="inlineStr">
        <is>
          <t>14</t>
        </is>
      </c>
      <c r="N5844" s="12" t="n">
        <v>1</v>
      </c>
      <c r="O5844" s="12" t="n">
        <v>1</v>
      </c>
      <c r="P5844" s="12" t="n"/>
      <c r="Q5844" s="12" t="n"/>
      <c r="R5844" s="12" t="n"/>
      <c r="S5844" s="12" t="inlineStr">
        <is>
          <t>Duct bank</t>
        </is>
      </c>
      <c r="T5844" s="15" t="n">
        <v>20</v>
      </c>
      <c r="U5844" s="15" t="n">
        <v>32</v>
      </c>
      <c r="V5844" s="15">
        <f>ROUNDUP((T5844+U5844+2*'Read Me'!$B$13)*(1+'Read Me'!$B$12),-1)</f>
        <v/>
      </c>
      <c r="W5844" s="15">
        <f>V5844*N5844*O5844</f>
        <v/>
      </c>
      <c r="X5844" s="12">
        <f>IF(LEFT(I5844,2)="MV",2*N5844*IF(L5844="1/C",O5844,1),0)</f>
        <v/>
      </c>
      <c r="Y5844" s="12">
        <f>IF(OR(LEFT(K5844,4)="LVAX",LEFT(K5844,6)="MV15AX",LEFT(K5844,4)="CTAX",LEFT(K5844,2)="W|"),2*N5844*O5844,0)</f>
        <v/>
      </c>
      <c r="Z5844" s="12" t="inlineStr"/>
      <c r="AA5844" s="12">
        <f>N5844*O5844</f>
        <v/>
      </c>
    </row>
    <row r="5845">
      <c r="A5845" s="12" t="inlineStr">
        <is>
          <t>K-C-0106</t>
        </is>
      </c>
      <c r="B5845" s="12" t="inlineStr">
        <is>
          <t>K</t>
        </is>
      </c>
      <c r="C5845" s="12" t="inlineStr">
        <is>
          <t>Fuel supply (adjacent market)</t>
        </is>
      </c>
      <c r="D5845" s="12" t="inlineStr">
        <is>
          <t>Solenoid to JB JB-LNG 16: send-out m-SOL01: 2 x 2/C (field cables)</t>
        </is>
      </c>
      <c r="E5845" s="12" t="inlineStr"/>
      <c r="F5845" s="12" t="inlineStr">
        <is>
          <t>LNG 16: send-out metering + pressure control</t>
        </is>
      </c>
      <c r="G5845" s="12" t="inlineStr">
        <is>
          <t>JB-LNG 16: send-out m-SOL01</t>
        </is>
      </c>
      <c r="H5845" s="12" t="inlineStr">
        <is>
          <t>LNG 16: send-out metering + pressure control</t>
        </is>
      </c>
      <c r="I5845" s="12" t="inlineStr">
        <is>
          <t>Control</t>
        </is>
      </c>
      <c r="J5845" s="12" t="inlineStr">
        <is>
          <t>ARMOR-X MC-HL 600 V control, Cu #14 AWG (Class I Div 2)</t>
        </is>
      </c>
      <c r="K5845" s="12" t="inlineStr">
        <is>
          <t>CTAX|2/C|14</t>
        </is>
      </c>
      <c r="L5845" s="12" t="inlineStr">
        <is>
          <t>2/C</t>
        </is>
      </c>
      <c r="M5845" s="12" t="inlineStr">
        <is>
          <t>14</t>
        </is>
      </c>
      <c r="N5845" s="12" t="n">
        <v>2</v>
      </c>
      <c r="O5845" s="12" t="n">
        <v>1</v>
      </c>
      <c r="P5845" s="12" t="n"/>
      <c r="Q5845" s="12" t="n"/>
      <c r="R5845" s="12" t="n"/>
      <c r="S5845" s="12" t="inlineStr">
        <is>
          <t>Tray / conduit</t>
        </is>
      </c>
      <c r="T5845" s="15" t="n">
        <v>74</v>
      </c>
      <c r="U5845" s="15" t="n">
        <v>10</v>
      </c>
      <c r="V5845" s="15">
        <f>ROUNDUP((T5845+U5845+2*'Read Me'!$B$13)*(1+'Read Me'!$B$12),-1)</f>
        <v/>
      </c>
      <c r="W5845" s="15">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K-C-0107</t>
        </is>
      </c>
      <c r="B5846" s="12" t="inlineStr">
        <is>
          <t>K</t>
        </is>
      </c>
      <c r="C5846" s="12" t="inlineStr">
        <is>
          <t>Fuel supply (adjacent market)</t>
        </is>
      </c>
      <c r="D5846" s="12" t="inlineStr">
        <is>
          <t>Home run JB-LNG 16: send-out m-SOL01 to the control / marshalling room</t>
        </is>
      </c>
      <c r="E5846" s="12" t="inlineStr"/>
      <c r="F5846" s="12" t="inlineStr">
        <is>
          <t>LNG 17: LNG e-house (13.8 kV / 480 V)</t>
        </is>
      </c>
      <c r="G5846" s="12" t="inlineStr">
        <is>
          <t>JB-LNG 16: send-out m-SOL01</t>
        </is>
      </c>
      <c r="H5846" s="12" t="inlineStr">
        <is>
          <t>LNG 16: send-out metering + pressure control</t>
        </is>
      </c>
      <c r="I5846" s="12" t="inlineStr">
        <is>
          <t>Control</t>
        </is>
      </c>
      <c r="J5846" s="12" t="inlineStr">
        <is>
          <t>ARMOR-X MC-HL 600 V control, Cu #14 AWG (Class I Div 2)</t>
        </is>
      </c>
      <c r="K5846" s="12" t="inlineStr">
        <is>
          <t>CTAX|25/C|14</t>
        </is>
      </c>
      <c r="L5846" s="12" t="inlineStr">
        <is>
          <t>25/C</t>
        </is>
      </c>
      <c r="M5846" s="12" t="inlineStr">
        <is>
          <t>14</t>
        </is>
      </c>
      <c r="N5846" s="12" t="n">
        <v>1</v>
      </c>
      <c r="O5846" s="12" t="n">
        <v>1</v>
      </c>
      <c r="P5846" s="12" t="n"/>
      <c r="Q5846" s="12" t="n"/>
      <c r="R5846" s="12" t="n"/>
      <c r="S5846" s="12" t="inlineStr">
        <is>
          <t>Duct bank</t>
        </is>
      </c>
      <c r="T5846" s="15" t="n">
        <v>20</v>
      </c>
      <c r="U5846" s="15" t="n">
        <v>32</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K-C-0108</t>
        </is>
      </c>
      <c r="B5847" s="12" t="inlineStr">
        <is>
          <t>K</t>
        </is>
      </c>
      <c r="C5847" s="12" t="inlineStr">
        <is>
          <t>Fuel supply (adjacent market)</t>
        </is>
      </c>
      <c r="D5847" s="12" t="inlineStr">
        <is>
          <t>Motor 1 of 1: control / local station</t>
        </is>
      </c>
      <c r="E5847" s="12" t="inlineStr"/>
      <c r="F5847" s="12" t="inlineStr">
        <is>
          <t>LNG 17: LNG e-house (13.8 kV / 480 V)</t>
        </is>
      </c>
      <c r="G5847" s="12" t="inlineStr"/>
      <c r="H5847" s="12" t="inlineStr">
        <is>
          <t>LNG 17: LNG e-house (13.8 kV / 480 V)</t>
        </is>
      </c>
      <c r="I5847" s="12" t="inlineStr">
        <is>
          <t>Control</t>
        </is>
      </c>
      <c r="J5847" s="12" t="inlineStr">
        <is>
          <t>ARMOR-X MC-HL 600 V control, Cu #14 AWG (Class I Div 2)</t>
        </is>
      </c>
      <c r="K5847" s="12" t="inlineStr">
        <is>
          <t>CTAX|7/C|14</t>
        </is>
      </c>
      <c r="L5847" s="12" t="inlineStr">
        <is>
          <t>7/C</t>
        </is>
      </c>
      <c r="M5847" s="12" t="inlineStr">
        <is>
          <t>14</t>
        </is>
      </c>
      <c r="N5847" s="12" t="n">
        <v>1</v>
      </c>
      <c r="O5847" s="12" t="n">
        <v>1</v>
      </c>
      <c r="P5847" s="12" t="n"/>
      <c r="Q5847" s="12" t="n"/>
      <c r="R5847" s="12" t="n"/>
      <c r="S5847" s="12" t="inlineStr">
        <is>
          <t>Tray</t>
        </is>
      </c>
      <c r="T5847" s="15" t="n">
        <v>0</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K-C-0109</t>
        </is>
      </c>
      <c r="B5848" s="12" t="inlineStr">
        <is>
          <t>K</t>
        </is>
      </c>
      <c r="C5848" s="12" t="inlineStr">
        <is>
          <t>Fuel supply (adjacent market)</t>
        </is>
      </c>
      <c r="D5848" s="12" t="inlineStr">
        <is>
          <t>Solenoid to JB JB-LNG 17: LNG e-hous-SOL01: 2 x 2/C (field cables)</t>
        </is>
      </c>
      <c r="E5848" s="12" t="inlineStr"/>
      <c r="F5848" s="12" t="inlineStr">
        <is>
          <t>LNG 17: LNG e-house (13.8 kV / 480 V)</t>
        </is>
      </c>
      <c r="G5848" s="12" t="inlineStr">
        <is>
          <t>JB-LNG 17: LNG e-hous-SOL01</t>
        </is>
      </c>
      <c r="H5848" s="12" t="inlineStr">
        <is>
          <t>LNG 17: LNG e-house (13.8 kV / 480 V)</t>
        </is>
      </c>
      <c r="I5848" s="12" t="inlineStr">
        <is>
          <t>Control</t>
        </is>
      </c>
      <c r="J5848" s="12" t="inlineStr">
        <is>
          <t>ARMOR-X MC-HL 600 V control, Cu #14 AWG (Class I Div 2)</t>
        </is>
      </c>
      <c r="K5848" s="12" t="inlineStr">
        <is>
          <t>CTAX|2/C|14</t>
        </is>
      </c>
      <c r="L5848" s="12" t="inlineStr">
        <is>
          <t>2/C</t>
        </is>
      </c>
      <c r="M5848" s="12" t="inlineStr">
        <is>
          <t>14</t>
        </is>
      </c>
      <c r="N5848" s="12" t="n">
        <v>2</v>
      </c>
      <c r="O5848" s="12" t="n">
        <v>1</v>
      </c>
      <c r="P5848" s="12" t="n"/>
      <c r="Q5848" s="12" t="n"/>
      <c r="R5848" s="12" t="n"/>
      <c r="S5848" s="12" t="inlineStr">
        <is>
          <t>Tray / conduit</t>
        </is>
      </c>
      <c r="T5848" s="15" t="n">
        <v>58</v>
      </c>
      <c r="U5848" s="15" t="n">
        <v>10</v>
      </c>
      <c r="V5848" s="15">
        <f>ROUNDUP((T5848+U5848+2*'Read Me'!$B$13)*(1+'Read Me'!$B$12),-1)</f>
        <v/>
      </c>
      <c r="W5848" s="15">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K-C-0110</t>
        </is>
      </c>
      <c r="B5849" s="12" t="inlineStr">
        <is>
          <t>K</t>
        </is>
      </c>
      <c r="C5849" s="12" t="inlineStr">
        <is>
          <t>Fuel supply (adjacent market)</t>
        </is>
      </c>
      <c r="D5849" s="12" t="inlineStr">
        <is>
          <t>Home run JB-LNG 17: LNG e-hous-SOL01 to the control / marshalling room</t>
        </is>
      </c>
      <c r="E5849" s="12" t="inlineStr"/>
      <c r="F5849" s="12" t="inlineStr">
        <is>
          <t>LNG 17: LNG e-house (13.8 kV / 480 V)</t>
        </is>
      </c>
      <c r="G5849" s="12" t="inlineStr">
        <is>
          <t>JB-LNG 17: LNG e-hous-SOL01</t>
        </is>
      </c>
      <c r="H5849" s="12" t="inlineStr">
        <is>
          <t>LNG 17: LNG e-house (13.8 kV / 480 V)</t>
        </is>
      </c>
      <c r="I5849" s="12" t="inlineStr">
        <is>
          <t>Control</t>
        </is>
      </c>
      <c r="J5849" s="12" t="inlineStr">
        <is>
          <t>ARMOR-X MC-HL 600 V control, Cu #14 AWG (Class I Div 2)</t>
        </is>
      </c>
      <c r="K5849" s="12" t="inlineStr">
        <is>
          <t>CTAX|25/C|14</t>
        </is>
      </c>
      <c r="L5849" s="12" t="inlineStr">
        <is>
          <t>25/C</t>
        </is>
      </c>
      <c r="M5849" s="12" t="inlineStr">
        <is>
          <t>14</t>
        </is>
      </c>
      <c r="N5849" s="12" t="n">
        <v>1</v>
      </c>
      <c r="O5849" s="12" t="n">
        <v>1</v>
      </c>
      <c r="P5849" s="12" t="n"/>
      <c r="Q5849" s="12" t="n"/>
      <c r="R5849" s="12" t="n"/>
      <c r="S5849" s="12" t="inlineStr">
        <is>
          <t>Tray</t>
        </is>
      </c>
      <c r="T5849" s="15" t="n">
        <v>0</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K-C-0111</t>
        </is>
      </c>
      <c r="B5850" s="12" t="inlineStr">
        <is>
          <t>K</t>
        </is>
      </c>
      <c r="C5850" s="12" t="inlineStr">
        <is>
          <t>Fuel supply (adjacent market)</t>
        </is>
      </c>
      <c r="D5850" s="12" t="inlineStr">
        <is>
          <t>Motor 1 of 1: control / local station</t>
        </is>
      </c>
      <c r="E5850" s="12" t="inlineStr"/>
      <c r="F5850" s="12" t="inlineStr">
        <is>
          <t>LNG 17: LNG e-house (13.8 kV / 480 V)</t>
        </is>
      </c>
      <c r="G5850" s="12" t="inlineStr"/>
      <c r="H5850" s="12" t="inlineStr">
        <is>
          <t>LNG 18: vent stack</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25</v>
      </c>
      <c r="U5850" s="15" t="n">
        <v>117</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K-C-0112</t>
        </is>
      </c>
      <c r="B5851" s="12" t="inlineStr">
        <is>
          <t>K</t>
        </is>
      </c>
      <c r="C5851" s="12" t="inlineStr">
        <is>
          <t>Fuel supply (adjacent market)</t>
        </is>
      </c>
      <c r="D5851" s="12" t="inlineStr">
        <is>
          <t>Solenoid to JB JB-LNG 18: vent stack-SOL01: 2 x 2/C (field cables)</t>
        </is>
      </c>
      <c r="E5851" s="12" t="inlineStr"/>
      <c r="F5851" s="12" t="inlineStr">
        <is>
          <t>LNG 18: vent stack</t>
        </is>
      </c>
      <c r="G5851" s="12" t="inlineStr">
        <is>
          <t>JB-LNG 18: vent stack-SOL01</t>
        </is>
      </c>
      <c r="H5851" s="12" t="inlineStr">
        <is>
          <t>LNG 18: vent stack</t>
        </is>
      </c>
      <c r="I5851" s="12" t="inlineStr">
        <is>
          <t>Control</t>
        </is>
      </c>
      <c r="J5851" s="12" t="inlineStr">
        <is>
          <t>ARMOR-X MC-HL 600 V control, Cu #14 AWG (Class I Div 2)</t>
        </is>
      </c>
      <c r="K5851" s="12" t="inlineStr">
        <is>
          <t>CTAX|2/C|14</t>
        </is>
      </c>
      <c r="L5851" s="12" t="inlineStr">
        <is>
          <t>2/C</t>
        </is>
      </c>
      <c r="M5851" s="12" t="inlineStr">
        <is>
          <t>14</t>
        </is>
      </c>
      <c r="N5851" s="12" t="n">
        <v>2</v>
      </c>
      <c r="O5851" s="12" t="n">
        <v>1</v>
      </c>
      <c r="P5851" s="12" t="n"/>
      <c r="Q5851" s="12" t="n"/>
      <c r="R5851" s="12" t="n"/>
      <c r="S5851" s="12" t="inlineStr">
        <is>
          <t>Tray / conduit</t>
        </is>
      </c>
      <c r="T5851" s="15" t="n">
        <v>55</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K-C-0113</t>
        </is>
      </c>
      <c r="B5852" s="12" t="inlineStr">
        <is>
          <t>K</t>
        </is>
      </c>
      <c r="C5852" s="12" t="inlineStr">
        <is>
          <t>Fuel supply (adjacent market)</t>
        </is>
      </c>
      <c r="D5852" s="12" t="inlineStr">
        <is>
          <t>Home run JB-LNG 18: vent stack-SOL01 to the control / marshalling room</t>
        </is>
      </c>
      <c r="E5852" s="12" t="inlineStr"/>
      <c r="F5852" s="12" t="inlineStr">
        <is>
          <t>LNG 17: LNG e-house (13.8 kV / 480 V)</t>
        </is>
      </c>
      <c r="G5852" s="12" t="inlineStr">
        <is>
          <t>JB-LNG 18: vent stack-SOL01</t>
        </is>
      </c>
      <c r="H5852" s="12" t="inlineStr">
        <is>
          <t>LNG 18: vent stack</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25</v>
      </c>
      <c r="U5852" s="15" t="n">
        <v>117</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K-C-0114</t>
        </is>
      </c>
      <c r="B5853" s="12" t="inlineStr">
        <is>
          <t>K</t>
        </is>
      </c>
      <c r="C5853" s="12" t="inlineStr">
        <is>
          <t>Fuel supply (adjacent market)</t>
        </is>
      </c>
      <c r="D5853" s="12" t="inlineStr">
        <is>
          <t>Solenoid to JB JB-M&amp;R 2: insulating -SOL01: 4 x 2/C (field cables)</t>
        </is>
      </c>
      <c r="E5853" s="12" t="inlineStr"/>
      <c r="F5853" s="12" t="inlineStr">
        <is>
          <t>M&amp;R 2: insulating joint + ESD valve</t>
        </is>
      </c>
      <c r="G5853" s="12" t="inlineStr">
        <is>
          <t>JB-M&amp;R 2: insulating -SOL01</t>
        </is>
      </c>
      <c r="H5853" s="12" t="inlineStr">
        <is>
          <t>M&amp;R 2: insulating joint + ESD valve</t>
        </is>
      </c>
      <c r="I5853" s="12" t="inlineStr">
        <is>
          <t>Control</t>
        </is>
      </c>
      <c r="J5853" s="12" t="inlineStr">
        <is>
          <t>ARMOR-X MC-HL 600 V control, Cu #14 AWG (Class I Div 2)</t>
        </is>
      </c>
      <c r="K5853" s="12" t="inlineStr">
        <is>
          <t>CTAX|2/C|14</t>
        </is>
      </c>
      <c r="L5853" s="12" t="inlineStr">
        <is>
          <t>2/C</t>
        </is>
      </c>
      <c r="M5853" s="12" t="inlineStr">
        <is>
          <t>14</t>
        </is>
      </c>
      <c r="N5853" s="12" t="n">
        <v>4</v>
      </c>
      <c r="O5853" s="12" t="n">
        <v>1</v>
      </c>
      <c r="P5853" s="12" t="n"/>
      <c r="Q5853" s="12" t="n"/>
      <c r="R5853" s="12" t="n"/>
      <c r="S5853" s="12" t="inlineStr">
        <is>
          <t>Tray / conduit</t>
        </is>
      </c>
      <c r="T5853" s="15" t="n">
        <v>40</v>
      </c>
      <c r="U5853" s="15" t="n">
        <v>10</v>
      </c>
      <c r="V5853" s="15">
        <f>ROUNDUP((T5853+U5853+2*'Read Me'!$B$13)*(1+'Read Me'!$B$12),-1)</f>
        <v/>
      </c>
      <c r="W5853" s="15">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K-C-0115</t>
        </is>
      </c>
      <c r="B5854" s="12" t="inlineStr">
        <is>
          <t>K</t>
        </is>
      </c>
      <c r="C5854" s="12" t="inlineStr">
        <is>
          <t>Fuel supply (adjacent market)</t>
        </is>
      </c>
      <c r="D5854" s="12" t="inlineStr">
        <is>
          <t>Home run JB-M&amp;R 2: insulating -SOL01 to the control / marshalling room</t>
        </is>
      </c>
      <c r="E5854" s="12" t="inlineStr"/>
      <c r="F5854" s="12" t="inlineStr">
        <is>
          <t>LNG 17: LNG e-house (13.8 kV / 480 V)</t>
        </is>
      </c>
      <c r="G5854" s="12" t="inlineStr">
        <is>
          <t>JB-M&amp;R 2: insulating -SOL01</t>
        </is>
      </c>
      <c r="H5854" s="12" t="inlineStr">
        <is>
          <t>M&amp;R 2: insulating joint + ESD valve</t>
        </is>
      </c>
      <c r="I5854" s="12" t="inlineStr">
        <is>
          <t>Control</t>
        </is>
      </c>
      <c r="J5854" s="12" t="inlineStr">
        <is>
          <t>ARMOR-X MC-HL 600 V control, Cu #14 AWG (Class I Div 2)</t>
        </is>
      </c>
      <c r="K5854" s="12" t="inlineStr">
        <is>
          <t>CTAX|25/C|14</t>
        </is>
      </c>
      <c r="L5854" s="12" t="inlineStr">
        <is>
          <t>25/C</t>
        </is>
      </c>
      <c r="M5854" s="12" t="inlineStr">
        <is>
          <t>14</t>
        </is>
      </c>
      <c r="N5854" s="12" t="n">
        <v>1</v>
      </c>
      <c r="O5854" s="12" t="n">
        <v>1</v>
      </c>
      <c r="P5854" s="12" t="n"/>
      <c r="Q5854" s="12" t="n"/>
      <c r="R5854" s="12" t="n"/>
      <c r="S5854" s="12" t="inlineStr">
        <is>
          <t>Duct bank</t>
        </is>
      </c>
      <c r="T5854" s="15" t="n">
        <v>758</v>
      </c>
      <c r="U5854" s="15" t="n">
        <v>32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K-C-0116</t>
        </is>
      </c>
      <c r="B5855" s="12" t="inlineStr">
        <is>
          <t>K</t>
        </is>
      </c>
      <c r="C5855" s="12" t="inlineStr">
        <is>
          <t>Fuel supply (adjacent market)</t>
        </is>
      </c>
      <c r="D5855" s="12" t="inlineStr">
        <is>
          <t>Solenoid to JB JB-M&amp;R 3: horizontal -SOL01: 4 x 2/C (field cables)</t>
        </is>
      </c>
      <c r="E5855" s="12" t="inlineStr"/>
      <c r="F5855" s="12" t="inlineStr">
        <is>
          <t>M&amp;R 3: horizontal filter-separator</t>
        </is>
      </c>
      <c r="G5855" s="12" t="inlineStr">
        <is>
          <t>JB-M&amp;R 3: horizontal -SOL01</t>
        </is>
      </c>
      <c r="H5855" s="12" t="inlineStr">
        <is>
          <t>M&amp;R 3: horizontal filter-separator</t>
        </is>
      </c>
      <c r="I5855" s="12" t="inlineStr">
        <is>
          <t>Control</t>
        </is>
      </c>
      <c r="J5855" s="12" t="inlineStr">
        <is>
          <t>ARMOR-X MC-HL 600 V control, Cu #14 AWG (Class I Div 2)</t>
        </is>
      </c>
      <c r="K5855" s="12" t="inlineStr">
        <is>
          <t>CTAX|2/C|14</t>
        </is>
      </c>
      <c r="L5855" s="12" t="inlineStr">
        <is>
          <t>2/C</t>
        </is>
      </c>
      <c r="M5855" s="12" t="inlineStr">
        <is>
          <t>14</t>
        </is>
      </c>
      <c r="N5855" s="12" t="n">
        <v>4</v>
      </c>
      <c r="O5855" s="12" t="n">
        <v>1</v>
      </c>
      <c r="P5855" s="12" t="n"/>
      <c r="Q5855" s="12" t="n"/>
      <c r="R5855" s="12" t="n"/>
      <c r="S5855" s="12" t="inlineStr">
        <is>
          <t>Tray / conduit</t>
        </is>
      </c>
      <c r="T5855" s="15" t="n">
        <v>53</v>
      </c>
      <c r="U5855" s="15" t="n">
        <v>10</v>
      </c>
      <c r="V5855" s="15">
        <f>ROUNDUP((T5855+U5855+2*'Read Me'!$B$13)*(1+'Read Me'!$B$12),-1)</f>
        <v/>
      </c>
      <c r="W5855" s="15">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K-C-0117</t>
        </is>
      </c>
      <c r="B5856" s="12" t="inlineStr">
        <is>
          <t>K</t>
        </is>
      </c>
      <c r="C5856" s="12" t="inlineStr">
        <is>
          <t>Fuel supply (adjacent market)</t>
        </is>
      </c>
      <c r="D5856" s="12" t="inlineStr">
        <is>
          <t>Home run JB-M&amp;R 3: horizontal -SOL01 to the control / marshalling room</t>
        </is>
      </c>
      <c r="E5856" s="12" t="inlineStr"/>
      <c r="F5856" s="12" t="inlineStr">
        <is>
          <t>LNG 17: LNG e-house (13.8 kV / 480 V)</t>
        </is>
      </c>
      <c r="G5856" s="12" t="inlineStr">
        <is>
          <t>JB-M&amp;R 3: horizontal -SOL01</t>
        </is>
      </c>
      <c r="H5856" s="12" t="inlineStr">
        <is>
          <t>M&amp;R 3: horizontal filter-separator</t>
        </is>
      </c>
      <c r="I5856" s="12" t="inlineStr">
        <is>
          <t>Control</t>
        </is>
      </c>
      <c r="J5856" s="12" t="inlineStr">
        <is>
          <t>ARMOR-X MC-HL 600 V control, Cu #14 AWG (Class I Div 2)</t>
        </is>
      </c>
      <c r="K5856" s="12" t="inlineStr">
        <is>
          <t>CTAX|25/C|14</t>
        </is>
      </c>
      <c r="L5856" s="12" t="inlineStr">
        <is>
          <t>25/C</t>
        </is>
      </c>
      <c r="M5856" s="12" t="inlineStr">
        <is>
          <t>14</t>
        </is>
      </c>
      <c r="N5856" s="12" t="n">
        <v>1</v>
      </c>
      <c r="O5856" s="12" t="n">
        <v>1</v>
      </c>
      <c r="P5856" s="12" t="n"/>
      <c r="Q5856" s="12" t="n"/>
      <c r="R5856" s="12" t="n"/>
      <c r="S5856" s="12" t="inlineStr">
        <is>
          <t>Duct bank</t>
        </is>
      </c>
      <c r="T5856" s="15" t="n">
        <v>797</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K-C-0118</t>
        </is>
      </c>
      <c r="B5857" s="12" t="inlineStr">
        <is>
          <t>K</t>
        </is>
      </c>
      <c r="C5857" s="12" t="inlineStr">
        <is>
          <t>Fuel supply (adjacent market)</t>
        </is>
      </c>
      <c r="D5857" s="12" t="inlineStr">
        <is>
          <t>Control</t>
        </is>
      </c>
      <c r="E5857" s="12" t="inlineStr"/>
      <c r="F5857" s="12" t="inlineStr">
        <is>
          <t>LNG 17: LNG e-house (13.8 kV / 480 V)</t>
        </is>
      </c>
      <c r="G5857" s="12" t="inlineStr"/>
      <c r="H5857" s="12" t="inlineStr">
        <is>
          <t>M&amp;R 4: line heater 1 (water bath)</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593</v>
      </c>
      <c r="U5857" s="15" t="n">
        <v>32</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K-C-0119</t>
        </is>
      </c>
      <c r="B5858" s="12" t="inlineStr">
        <is>
          <t>K</t>
        </is>
      </c>
      <c r="C5858" s="12" t="inlineStr">
        <is>
          <t>Fuel supply (adjacent market)</t>
        </is>
      </c>
      <c r="D5858" s="12" t="inlineStr">
        <is>
          <t>Control</t>
        </is>
      </c>
      <c r="E5858" s="12" t="inlineStr"/>
      <c r="F5858" s="12" t="inlineStr">
        <is>
          <t>LNG 17: LNG e-house (13.8 kV / 480 V)</t>
        </is>
      </c>
      <c r="G5858" s="12" t="inlineStr"/>
      <c r="H5858" s="12" t="inlineStr">
        <is>
          <t>M&amp;R 4: line heater 2 (water bath)</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593</v>
      </c>
      <c r="U5858" s="15" t="n">
        <v>50</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K-C-0120</t>
        </is>
      </c>
      <c r="B5859" s="12" t="inlineStr">
        <is>
          <t>K</t>
        </is>
      </c>
      <c r="C5859" s="12" t="inlineStr">
        <is>
          <t>Fuel supply (adjacent market)</t>
        </is>
      </c>
      <c r="D5859" s="12" t="inlineStr">
        <is>
          <t>Control</t>
        </is>
      </c>
      <c r="E5859" s="12" t="inlineStr"/>
      <c r="F5859" s="12" t="inlineStr">
        <is>
          <t>LNG 17: LNG e-house (13.8 kV / 480 V)</t>
        </is>
      </c>
      <c r="G5859" s="12" t="inlineStr"/>
      <c r="H5859" s="12" t="inlineStr">
        <is>
          <t>M&amp;R 4: line heater 3 (water bath)</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593</v>
      </c>
      <c r="U5859" s="15" t="n">
        <v>68</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K-C-0121</t>
        </is>
      </c>
      <c r="B5860" s="12" t="inlineStr">
        <is>
          <t>K</t>
        </is>
      </c>
      <c r="C5860" s="12" t="inlineStr">
        <is>
          <t>Fuel supply (adjacent market)</t>
        </is>
      </c>
      <c r="D5860" s="12" t="inlineStr">
        <is>
          <t>Solenoid to JB JB-M&amp;R 6: regulation -SOL01: 6 x 2/C (field cables)</t>
        </is>
      </c>
      <c r="E5860" s="12" t="inlineStr"/>
      <c r="F5860" s="12" t="inlineStr">
        <is>
          <t>M&amp;R 6: regulation / flow control building</t>
        </is>
      </c>
      <c r="G5860" s="12" t="inlineStr">
        <is>
          <t>JB-M&amp;R 6: regulation -SOL01</t>
        </is>
      </c>
      <c r="H5860" s="12" t="inlineStr">
        <is>
          <t>M&amp;R 6: regulation / flow control building</t>
        </is>
      </c>
      <c r="I5860" s="12" t="inlineStr">
        <is>
          <t>Control</t>
        </is>
      </c>
      <c r="J5860" s="12" t="inlineStr">
        <is>
          <t>ARMOR-X MC-HL 600 V control, Cu #14 AWG (Class I Div 2)</t>
        </is>
      </c>
      <c r="K5860" s="12" t="inlineStr">
        <is>
          <t>CTAX|2/C|14</t>
        </is>
      </c>
      <c r="L5860" s="12" t="inlineStr">
        <is>
          <t>2/C</t>
        </is>
      </c>
      <c r="M5860" s="12" t="inlineStr">
        <is>
          <t>14</t>
        </is>
      </c>
      <c r="N5860" s="12" t="n">
        <v>6</v>
      </c>
      <c r="O5860" s="12" t="n">
        <v>1</v>
      </c>
      <c r="P5860" s="12" t="n"/>
      <c r="Q5860" s="12" t="n"/>
      <c r="R5860" s="12" t="n"/>
      <c r="S5860" s="12" t="inlineStr">
        <is>
          <t>Tray / conduit</t>
        </is>
      </c>
      <c r="T5860" s="15" t="n">
        <v>61</v>
      </c>
      <c r="U5860" s="15" t="n">
        <v>10</v>
      </c>
      <c r="V5860" s="15">
        <f>ROUNDUP((T5860+U5860+2*'Read Me'!$B$13)*(1+'Read Me'!$B$12),-1)</f>
        <v/>
      </c>
      <c r="W5860" s="15">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K-C-0122</t>
        </is>
      </c>
      <c r="B5861" s="12" t="inlineStr">
        <is>
          <t>K</t>
        </is>
      </c>
      <c r="C5861" s="12" t="inlineStr">
        <is>
          <t>Fuel supply (adjacent market)</t>
        </is>
      </c>
      <c r="D5861" s="12" t="inlineStr">
        <is>
          <t>Home run JB-M&amp;R 6: regulation -SOL01 to the control / marshalling room</t>
        </is>
      </c>
      <c r="E5861" s="12" t="inlineStr"/>
      <c r="F5861" s="12" t="inlineStr">
        <is>
          <t>LNG 17: LNG e-house (13.8 kV / 480 V)</t>
        </is>
      </c>
      <c r="G5861" s="12" t="inlineStr">
        <is>
          <t>JB-M&amp;R 6: regulation -SOL01</t>
        </is>
      </c>
      <c r="H5861" s="12" t="inlineStr">
        <is>
          <t>M&amp;R 6: regulation / flow control building</t>
        </is>
      </c>
      <c r="I5861" s="12" t="inlineStr">
        <is>
          <t>Control</t>
        </is>
      </c>
      <c r="J5861" s="12" t="inlineStr">
        <is>
          <t>ARMOR-X MC-HL 600 V control, Cu #14 AWG (Class I Div 2)</t>
        </is>
      </c>
      <c r="K5861" s="12" t="inlineStr">
        <is>
          <t>CTAX|25/C|14</t>
        </is>
      </c>
      <c r="L5861" s="12" t="inlineStr">
        <is>
          <t>25/C</t>
        </is>
      </c>
      <c r="M5861" s="12" t="inlineStr">
        <is>
          <t>14</t>
        </is>
      </c>
      <c r="N5861" s="12" t="n">
        <v>1</v>
      </c>
      <c r="O5861" s="12" t="n">
        <v>1</v>
      </c>
      <c r="P5861" s="12" t="n"/>
      <c r="Q5861" s="12" t="n"/>
      <c r="R5861" s="12" t="n"/>
      <c r="S5861" s="12" t="inlineStr">
        <is>
          <t>Duct bank</t>
        </is>
      </c>
      <c r="T5861" s="15" t="n">
        <v>470</v>
      </c>
      <c r="U5861" s="15" t="n">
        <v>70</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K-C-0123</t>
        </is>
      </c>
      <c r="B5862" s="12" t="inlineStr">
        <is>
          <t>K</t>
        </is>
      </c>
      <c r="C5862" s="12" t="inlineStr">
        <is>
          <t>Fuel supply (adjacent market)</t>
        </is>
      </c>
      <c r="D5862" s="12" t="inlineStr">
        <is>
          <t>Control</t>
        </is>
      </c>
      <c r="E5862" s="12" t="inlineStr"/>
      <c r="F5862" s="12" t="inlineStr">
        <is>
          <t>LNG 17: LNG e-house (13.8 kV / 480 V)</t>
        </is>
      </c>
      <c r="G5862" s="12" t="inlineStr"/>
      <c r="H5862" s="12" t="inlineStr">
        <is>
          <t>M&amp;R 9: service panel + UPS, SCADA RTU, CP</t>
        </is>
      </c>
      <c r="I5862" s="12" t="inlineStr">
        <is>
          <t>Control</t>
        </is>
      </c>
      <c r="J5862" s="12" t="inlineStr">
        <is>
          <t>ARMOR-X MC-HL 600 V control, Cu #14 AWG (Class I Div 2)</t>
        </is>
      </c>
      <c r="K5862" s="12" t="inlineStr">
        <is>
          <t>CTAX|7/C|14</t>
        </is>
      </c>
      <c r="L5862" s="12" t="inlineStr">
        <is>
          <t>7/C</t>
        </is>
      </c>
      <c r="M5862" s="12" t="inlineStr">
        <is>
          <t>14</t>
        </is>
      </c>
      <c r="N5862" s="12" t="n">
        <v>1</v>
      </c>
      <c r="O5862" s="12" t="n">
        <v>1</v>
      </c>
      <c r="P5862" s="12" t="n"/>
      <c r="Q5862" s="12" t="n"/>
      <c r="R5862" s="12" t="n"/>
      <c r="S5862" s="12" t="inlineStr">
        <is>
          <t>Duct bank</t>
        </is>
      </c>
      <c r="T5862" s="15" t="n">
        <v>466</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K-C-0124</t>
        </is>
      </c>
      <c r="B5863" s="12" t="inlineStr">
        <is>
          <t>K</t>
        </is>
      </c>
      <c r="C5863" s="12" t="inlineStr">
        <is>
          <t>Fuel supply (adjacent market)</t>
        </is>
      </c>
      <c r="D5863" s="12" t="inlineStr">
        <is>
          <t>Control</t>
        </is>
      </c>
      <c r="E5863" s="12" t="inlineStr"/>
      <c r="F5863" s="12" t="inlineStr">
        <is>
          <t>LNG 17: LNG e-house (13.8 kV / 480 V)</t>
        </is>
      </c>
      <c r="G5863" s="12" t="inlineStr"/>
      <c r="H5863" s="12" t="inlineStr">
        <is>
          <t>M&amp;R CP test station (as drawn)</t>
        </is>
      </c>
      <c r="I5863" s="12" t="inlineStr">
        <is>
          <t>Control</t>
        </is>
      </c>
      <c r="J5863" s="12" t="inlineStr">
        <is>
          <t>ARMOR-X MC-HL 600 V control, Cu #14 AWG (Class I Div 2)</t>
        </is>
      </c>
      <c r="K5863" s="12" t="inlineStr">
        <is>
          <t>CTAX|7/C|14</t>
        </is>
      </c>
      <c r="L5863" s="12" t="inlineStr">
        <is>
          <t>7/C</t>
        </is>
      </c>
      <c r="M5863" s="12" t="inlineStr">
        <is>
          <t>14</t>
        </is>
      </c>
      <c r="N5863" s="12" t="n">
        <v>1</v>
      </c>
      <c r="O5863" s="12" t="n">
        <v>1</v>
      </c>
      <c r="P5863" s="12" t="n"/>
      <c r="Q5863" s="12" t="n"/>
      <c r="R5863" s="12" t="n"/>
      <c r="S5863" s="12" t="inlineStr">
        <is>
          <t>Duct bank</t>
        </is>
      </c>
      <c r="T5863" s="15" t="n">
        <v>441</v>
      </c>
      <c r="U5863" s="15" t="n">
        <v>42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K-C-0125</t>
        </is>
      </c>
      <c r="B5864" s="12" t="inlineStr">
        <is>
          <t>K</t>
        </is>
      </c>
      <c r="C5864" s="12" t="inlineStr">
        <is>
          <t>Fuel supply (adjacent market)</t>
        </is>
      </c>
      <c r="D5864" s="12" t="inlineStr">
        <is>
          <t>Control</t>
        </is>
      </c>
      <c r="E5864" s="12" t="inlineStr"/>
      <c r="F5864" s="12" t="inlineStr">
        <is>
          <t>LNG 17: LNG e-house (13.8 kV / 480 V)</t>
        </is>
      </c>
      <c r="G5864" s="12" t="inlineStr"/>
      <c r="H5864" s="12" t="inlineStr">
        <is>
          <t>M&amp;R SCADA antenna mast base (as drawn)</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Duct bank</t>
        </is>
      </c>
      <c r="T5864" s="15" t="n">
        <v>433</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K-C-0126</t>
        </is>
      </c>
      <c r="B5865" s="12" t="inlineStr">
        <is>
          <t>K</t>
        </is>
      </c>
      <c r="C5865" s="12" t="inlineStr">
        <is>
          <t>Fuel supply (adjacent market)</t>
        </is>
      </c>
      <c r="D5865" s="12" t="inlineStr">
        <is>
          <t>Control</t>
        </is>
      </c>
      <c r="E5865" s="12" t="inlineStr"/>
      <c r="F5865" s="12" t="inlineStr">
        <is>
          <t>H2 20: 13.8 kV e-house</t>
        </is>
      </c>
      <c r="G5865" s="12" t="inlineStr"/>
      <c r="H5865" s="12" t="inlineStr">
        <is>
          <t>PEM electrolyzer 1 (HyLYZER-1000)</t>
        </is>
      </c>
      <c r="I5865" s="12" t="inlineStr">
        <is>
          <t>Control</t>
        </is>
      </c>
      <c r="J5865" s="12" t="inlineStr">
        <is>
          <t>ARMOR-X MC-HL 600 V control, Cu #14 AWG (Class I Div 2)</t>
        </is>
      </c>
      <c r="K5865" s="12" t="inlineStr">
        <is>
          <t>CTAX|7/C|14</t>
        </is>
      </c>
      <c r="L5865" s="12" t="inlineStr">
        <is>
          <t>7/C</t>
        </is>
      </c>
      <c r="M5865" s="12" t="inlineStr">
        <is>
          <t>14</t>
        </is>
      </c>
      <c r="N5865" s="12" t="n">
        <v>1</v>
      </c>
      <c r="O5865" s="12" t="n">
        <v>1</v>
      </c>
      <c r="P5865" s="12" t="n"/>
      <c r="Q5865" s="12" t="n"/>
      <c r="R5865" s="12" t="n"/>
      <c r="S5865" s="12" t="inlineStr">
        <is>
          <t>Duct bank</t>
        </is>
      </c>
      <c r="T5865" s="15" t="n">
        <v>358</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K-C-0127</t>
        </is>
      </c>
      <c r="B5866" s="12" t="inlineStr">
        <is>
          <t>K</t>
        </is>
      </c>
      <c r="C5866" s="12" t="inlineStr">
        <is>
          <t>Fuel supply (adjacent market)</t>
        </is>
      </c>
      <c r="D5866" s="12" t="inlineStr">
        <is>
          <t>Control</t>
        </is>
      </c>
      <c r="E5866" s="12" t="inlineStr"/>
      <c r="F5866" s="12" t="inlineStr">
        <is>
          <t>H2 20: 13.8 kV e-house</t>
        </is>
      </c>
      <c r="G5866" s="12" t="inlineStr"/>
      <c r="H5866" s="12" t="inlineStr">
        <is>
          <t>PEM electrolyzer 2 (HyLYZER-1000)</t>
        </is>
      </c>
      <c r="I5866" s="12" t="inlineStr">
        <is>
          <t>Control</t>
        </is>
      </c>
      <c r="J5866" s="12" t="inlineStr">
        <is>
          <t>ARMOR-X MC-HL 600 V control, Cu #14 AWG (Class I Div 2)</t>
        </is>
      </c>
      <c r="K5866" s="12" t="inlineStr">
        <is>
          <t>CTAX|7/C|14</t>
        </is>
      </c>
      <c r="L5866" s="12" t="inlineStr">
        <is>
          <t>7/C</t>
        </is>
      </c>
      <c r="M5866" s="12" t="inlineStr">
        <is>
          <t>14</t>
        </is>
      </c>
      <c r="N5866" s="12" t="n">
        <v>1</v>
      </c>
      <c r="O5866" s="12" t="n">
        <v>1</v>
      </c>
      <c r="P5866" s="12" t="n"/>
      <c r="Q5866" s="12" t="n"/>
      <c r="R5866" s="12" t="n"/>
      <c r="S5866" s="12" t="inlineStr">
        <is>
          <t>Duct bank</t>
        </is>
      </c>
      <c r="T5866" s="15" t="n">
        <v>358</v>
      </c>
      <c r="U5866" s="15" t="n">
        <v>48</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K-C-0128</t>
        </is>
      </c>
      <c r="B5867" s="12" t="inlineStr">
        <is>
          <t>K</t>
        </is>
      </c>
      <c r="C5867" s="12" t="inlineStr">
        <is>
          <t>Fuel supply (adjacent market)</t>
        </is>
      </c>
      <c r="D5867" s="12" t="inlineStr">
        <is>
          <t>Control</t>
        </is>
      </c>
      <c r="E5867" s="12" t="inlineStr"/>
      <c r="F5867" s="12" t="inlineStr">
        <is>
          <t>H2 20: 13.8 kV e-house</t>
        </is>
      </c>
      <c r="G5867" s="12" t="inlineStr"/>
      <c r="H5867" s="12" t="inlineStr">
        <is>
          <t>PEM electrolyzer 3 (HyLYZER-1000)</t>
        </is>
      </c>
      <c r="I5867" s="12" t="inlineStr">
        <is>
          <t>Control</t>
        </is>
      </c>
      <c r="J5867" s="12" t="inlineStr">
        <is>
          <t>ARMOR-X MC-HL 600 V control, Cu #14 AWG (Class I Div 2)</t>
        </is>
      </c>
      <c r="K5867" s="12" t="inlineStr">
        <is>
          <t>CTAX|7/C|14</t>
        </is>
      </c>
      <c r="L5867" s="12" t="inlineStr">
        <is>
          <t>7/C</t>
        </is>
      </c>
      <c r="M5867" s="12" t="inlineStr">
        <is>
          <t>14</t>
        </is>
      </c>
      <c r="N5867" s="12" t="n">
        <v>1</v>
      </c>
      <c r="O5867" s="12" t="n">
        <v>1</v>
      </c>
      <c r="P5867" s="12" t="n"/>
      <c r="Q5867" s="12" t="n"/>
      <c r="R5867" s="12" t="n"/>
      <c r="S5867" s="12" t="inlineStr">
        <is>
          <t>Duct bank</t>
        </is>
      </c>
      <c r="T5867" s="15" t="n">
        <v>348</v>
      </c>
      <c r="U5867" s="15" t="n">
        <v>49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K-C-0129</t>
        </is>
      </c>
      <c r="B5868" s="12" t="inlineStr">
        <is>
          <t>K</t>
        </is>
      </c>
      <c r="C5868" s="12" t="inlineStr">
        <is>
          <t>Fuel supply (adjacent market)</t>
        </is>
      </c>
      <c r="D5868" s="12" t="inlineStr">
        <is>
          <t>Control</t>
        </is>
      </c>
      <c r="E5868" s="12" t="inlineStr"/>
      <c r="F5868" s="12" t="inlineStr">
        <is>
          <t>H2 20: 13.8 kV e-house</t>
        </is>
      </c>
      <c r="G5868" s="12" t="inlineStr"/>
      <c r="H5868" s="12" t="inlineStr">
        <is>
          <t>PEM electrolyzer 4 (HyLYZER-1000)</t>
        </is>
      </c>
      <c r="I5868" s="12" t="inlineStr">
        <is>
          <t>Control</t>
        </is>
      </c>
      <c r="J5868" s="12" t="inlineStr">
        <is>
          <t>ARMOR-X MC-HL 600 V control, Cu #14 AWG (Class I Div 2)</t>
        </is>
      </c>
      <c r="K5868" s="12" t="inlineStr">
        <is>
          <t>CTAX|7/C|14</t>
        </is>
      </c>
      <c r="L5868" s="12" t="inlineStr">
        <is>
          <t>7/C</t>
        </is>
      </c>
      <c r="M5868" s="12" t="inlineStr">
        <is>
          <t>14</t>
        </is>
      </c>
      <c r="N5868" s="12" t="n">
        <v>1</v>
      </c>
      <c r="O5868" s="12" t="n">
        <v>1</v>
      </c>
      <c r="P5868" s="12" t="n"/>
      <c r="Q5868" s="12" t="n"/>
      <c r="R5868" s="12" t="n"/>
      <c r="S5868" s="12" t="inlineStr">
        <is>
          <t>Duct bank</t>
        </is>
      </c>
      <c r="T5868" s="15" t="n">
        <v>328</v>
      </c>
      <c r="U5868" s="15" t="n">
        <v>49</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K-C-0130</t>
        </is>
      </c>
      <c r="B5869" s="12" t="inlineStr">
        <is>
          <t>K</t>
        </is>
      </c>
      <c r="C5869" s="12" t="inlineStr">
        <is>
          <t>Fuel supply (adjacent market)</t>
        </is>
      </c>
      <c r="D5869" s="12" t="inlineStr">
        <is>
          <t>Control</t>
        </is>
      </c>
      <c r="E5869" s="12" t="inlineStr"/>
      <c r="F5869" s="12" t="inlineStr">
        <is>
          <t>H2 20: 13.8 kV e-house</t>
        </is>
      </c>
      <c r="G5869" s="12" t="inlineStr"/>
      <c r="H5869" s="12" t="inlineStr">
        <is>
          <t>PEM electrolyzer 5 (HyLYZER-1000)</t>
        </is>
      </c>
      <c r="I5869" s="12" t="inlineStr">
        <is>
          <t>Control</t>
        </is>
      </c>
      <c r="J5869" s="12" t="inlineStr">
        <is>
          <t>ARMOR-X MC-HL 600 V control, Cu #14 AWG (Class I Div 2)</t>
        </is>
      </c>
      <c r="K5869" s="12" t="inlineStr">
        <is>
          <t>CTAX|7/C|14</t>
        </is>
      </c>
      <c r="L5869" s="12" t="inlineStr">
        <is>
          <t>7/C</t>
        </is>
      </c>
      <c r="M5869" s="12" t="inlineStr">
        <is>
          <t>14</t>
        </is>
      </c>
      <c r="N5869" s="12" t="n">
        <v>1</v>
      </c>
      <c r="O5869" s="12" t="n">
        <v>1</v>
      </c>
      <c r="P5869" s="12" t="n"/>
      <c r="Q5869" s="12" t="n"/>
      <c r="R5869" s="12" t="n"/>
      <c r="S5869" s="12" t="inlineStr">
        <is>
          <t>Duct bank</t>
        </is>
      </c>
      <c r="T5869" s="15" t="n">
        <v>328</v>
      </c>
      <c r="U5869" s="15" t="n">
        <v>32</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K-C-0131</t>
        </is>
      </c>
      <c r="B5870" s="12" t="inlineStr">
        <is>
          <t>K</t>
        </is>
      </c>
      <c r="C5870" s="12" t="inlineStr">
        <is>
          <t>Fuel supply (adjacent market)</t>
        </is>
      </c>
      <c r="D5870" s="12" t="inlineStr">
        <is>
          <t>Control</t>
        </is>
      </c>
      <c r="E5870" s="12" t="inlineStr"/>
      <c r="F5870" s="12" t="inlineStr">
        <is>
          <t>H2 20: 13.8 kV e-house</t>
        </is>
      </c>
      <c r="G5870" s="12" t="inlineStr"/>
      <c r="H5870" s="12" t="inlineStr">
        <is>
          <t>Rectifier 1 (7 MVA)</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5" t="n">
        <v>346</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K-C-0132</t>
        </is>
      </c>
      <c r="B5871" s="12" t="inlineStr">
        <is>
          <t>K</t>
        </is>
      </c>
      <c r="C5871" s="12" t="inlineStr">
        <is>
          <t>Fuel supply (adjacent market)</t>
        </is>
      </c>
      <c r="D5871" s="12" t="inlineStr">
        <is>
          <t>Control</t>
        </is>
      </c>
      <c r="E5871" s="12" t="inlineStr"/>
      <c r="F5871" s="12" t="inlineStr">
        <is>
          <t>H2 20: 13.8 kV e-house</t>
        </is>
      </c>
      <c r="G5871" s="12" t="inlineStr"/>
      <c r="H5871" s="12" t="inlineStr">
        <is>
          <t>Rectifier 2 (7 MVA)</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Duct bank</t>
        </is>
      </c>
      <c r="T5871" s="15" t="n">
        <v>361</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K-C-0133</t>
        </is>
      </c>
      <c r="B5872" s="12" t="inlineStr">
        <is>
          <t>K</t>
        </is>
      </c>
      <c r="C5872" s="12" t="inlineStr">
        <is>
          <t>Fuel supply (adjacent market)</t>
        </is>
      </c>
      <c r="D5872" s="12" t="inlineStr">
        <is>
          <t>Control</t>
        </is>
      </c>
      <c r="E5872" s="12" t="inlineStr"/>
      <c r="F5872" s="12" t="inlineStr">
        <is>
          <t>H2 20: 13.8 kV e-house</t>
        </is>
      </c>
      <c r="G5872" s="12" t="inlineStr"/>
      <c r="H5872" s="12" t="inlineStr">
        <is>
          <t>Rectifier 3 (7 MVA)</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Duct bank</t>
        </is>
      </c>
      <c r="T5872" s="15" t="n">
        <v>341</v>
      </c>
      <c r="U5872" s="15" t="n">
        <v>32</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K-C-0134</t>
        </is>
      </c>
      <c r="B5873" s="12" t="inlineStr">
        <is>
          <t>K</t>
        </is>
      </c>
      <c r="C5873" s="12" t="inlineStr">
        <is>
          <t>Fuel supply (adjacent market)</t>
        </is>
      </c>
      <c r="D5873" s="12" t="inlineStr">
        <is>
          <t>Control</t>
        </is>
      </c>
      <c r="E5873" s="12" t="inlineStr"/>
      <c r="F5873" s="12" t="inlineStr">
        <is>
          <t>H2 20: 13.8 kV e-house</t>
        </is>
      </c>
      <c r="G5873" s="12" t="inlineStr"/>
      <c r="H5873" s="12" t="inlineStr">
        <is>
          <t>Rectifier 4 (7 MVA)</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Duct bank</t>
        </is>
      </c>
      <c r="T5873" s="15" t="n">
        <v>321</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K-C-0135</t>
        </is>
      </c>
      <c r="B5874" s="12" t="inlineStr">
        <is>
          <t>K</t>
        </is>
      </c>
      <c r="C5874" s="12" t="inlineStr">
        <is>
          <t>Fuel supply (adjacent market)</t>
        </is>
      </c>
      <c r="D5874" s="12" t="inlineStr">
        <is>
          <t>Control</t>
        </is>
      </c>
      <c r="E5874" s="12" t="inlineStr"/>
      <c r="F5874" s="12" t="inlineStr">
        <is>
          <t>H2 20: 13.8 kV e-house</t>
        </is>
      </c>
      <c r="G5874" s="12" t="inlineStr"/>
      <c r="H5874" s="12" t="inlineStr">
        <is>
          <t>Rectifier 5 (7 MVA)</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Duct bank</t>
        </is>
      </c>
      <c r="T5874" s="15" t="n">
        <v>301</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K-F-0001</t>
        </is>
      </c>
      <c r="B5875" s="12" t="inlineStr">
        <is>
          <t>K</t>
        </is>
      </c>
      <c r="C5875" s="12" t="inlineStr">
        <is>
          <t>Fuel supply (adjacent market)</t>
        </is>
      </c>
      <c r="D5875" s="12" t="inlineStr">
        <is>
          <t>Plant network / DCS fibre</t>
        </is>
      </c>
      <c r="E5875" s="12" t="inlineStr">
        <is>
          <t>CR</t>
        </is>
      </c>
      <c r="F5875" s="12" t="inlineStr">
        <is>
          <t>Control / admin building (main control room)</t>
        </is>
      </c>
      <c r="G5875" s="12" t="inlineStr"/>
      <c r="H5875" s="12" t="inlineStr">
        <is>
          <t>H2 20: 13.8 kV e-house</t>
        </is>
      </c>
      <c r="I5875" s="12" t="inlineStr">
        <is>
          <t>Fibre / data</t>
        </is>
      </c>
      <c r="J5875" s="12" t="inlineStr">
        <is>
          <t>Fibre optic, single-mode, 12-fibre, armored, orange jacket</t>
        </is>
      </c>
      <c r="K5875" s="12" t="inlineStr">
        <is>
          <t>FO|12 SM|-</t>
        </is>
      </c>
      <c r="L5875" s="12" t="inlineStr">
        <is>
          <t>12 SM</t>
        </is>
      </c>
      <c r="M5875" s="12" t="inlineStr">
        <is>
          <t>-</t>
        </is>
      </c>
      <c r="N5875" s="12" t="n">
        <v>1</v>
      </c>
      <c r="O5875" s="12" t="n">
        <v>1</v>
      </c>
      <c r="P5875" s="12" t="n"/>
      <c r="Q5875" s="12" t="n"/>
      <c r="R5875" s="12" t="n"/>
      <c r="S5875" s="12" t="inlineStr">
        <is>
          <t>Trench</t>
        </is>
      </c>
      <c r="T5875" s="15" t="n">
        <v>4293</v>
      </c>
      <c r="U5875" s="15" t="n">
        <v>36</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K-F-0002</t>
        </is>
      </c>
      <c r="B5876" s="12" t="inlineStr">
        <is>
          <t>K</t>
        </is>
      </c>
      <c r="C5876" s="12" t="inlineStr">
        <is>
          <t>Fuel supply (adjacent market)</t>
        </is>
      </c>
      <c r="D5876" s="12" t="inlineStr">
        <is>
          <t>Plant network / DCS fibre</t>
        </is>
      </c>
      <c r="E5876" s="12" t="inlineStr">
        <is>
          <t>CR</t>
        </is>
      </c>
      <c r="F5876" s="12" t="inlineStr">
        <is>
          <t>Control / admin building (main control room)</t>
        </is>
      </c>
      <c r="G5876" s="12" t="inlineStr"/>
      <c r="H5876" s="12" t="inlineStr">
        <is>
          <t>LNG 17: LNG e-house (13.8 kV / 480 V)</t>
        </is>
      </c>
      <c r="I5876" s="12" t="inlineStr">
        <is>
          <t>Fibre / data</t>
        </is>
      </c>
      <c r="J5876" s="12" t="inlineStr">
        <is>
          <t>Fibre optic, single-mode, 12-fibre, armored, orange jacket</t>
        </is>
      </c>
      <c r="K5876" s="12" t="inlineStr">
        <is>
          <t>FO|12 SM|-</t>
        </is>
      </c>
      <c r="L5876" s="12" t="inlineStr">
        <is>
          <t>12 SM</t>
        </is>
      </c>
      <c r="M5876" s="12" t="inlineStr">
        <is>
          <t>-</t>
        </is>
      </c>
      <c r="N5876" s="12" t="n">
        <v>1</v>
      </c>
      <c r="O5876" s="12" t="n">
        <v>1</v>
      </c>
      <c r="P5876" s="12" t="n"/>
      <c r="Q5876" s="12" t="n"/>
      <c r="R5876" s="12" t="n"/>
      <c r="S5876" s="12" t="inlineStr">
        <is>
          <t>Duct bank</t>
        </is>
      </c>
      <c r="T5876" s="15" t="n">
        <v>3499</v>
      </c>
      <c r="U5876" s="15" t="n">
        <v>359</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K-F-0003</t>
        </is>
      </c>
      <c r="B5877" s="12" t="inlineStr">
        <is>
          <t>K</t>
        </is>
      </c>
      <c r="C5877" s="12" t="inlineStr">
        <is>
          <t>Fuel supply (adjacent market)</t>
        </is>
      </c>
      <c r="D5877" s="12" t="inlineStr">
        <is>
          <t>Plant network / DCS fibre</t>
        </is>
      </c>
      <c r="E5877" s="12" t="inlineStr">
        <is>
          <t>CR</t>
        </is>
      </c>
      <c r="F5877" s="12" t="inlineStr">
        <is>
          <t>Control / admin building (main control room)</t>
        </is>
      </c>
      <c r="G5877" s="12" t="inlineStr"/>
      <c r="H5877" s="12" t="inlineStr">
        <is>
          <t>M&amp;R 6: regulation / flow control building</t>
        </is>
      </c>
      <c r="I5877" s="12" t="inlineStr">
        <is>
          <t>Fibre / data</t>
        </is>
      </c>
      <c r="J5877" s="12" t="inlineStr">
        <is>
          <t>Fibre optic, single-mode, 12-fibre, armored, orange jacket</t>
        </is>
      </c>
      <c r="K5877" s="12" t="inlineStr">
        <is>
          <t>FO|12 SM|-</t>
        </is>
      </c>
      <c r="L5877" s="12" t="inlineStr">
        <is>
          <t>12 SM</t>
        </is>
      </c>
      <c r="M5877" s="12" t="inlineStr">
        <is>
          <t>-</t>
        </is>
      </c>
      <c r="N5877" s="12" t="n">
        <v>1</v>
      </c>
      <c r="O5877" s="12" t="n">
        <v>1</v>
      </c>
      <c r="P5877" s="12" t="n"/>
      <c r="Q5877" s="12" t="n"/>
      <c r="R5877" s="12" t="n"/>
      <c r="S5877" s="12" t="inlineStr">
        <is>
          <t>Duct bank</t>
        </is>
      </c>
      <c r="T5877" s="15" t="n">
        <v>3128</v>
      </c>
      <c r="U5877" s="15" t="n">
        <v>302</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K-F-0004</t>
        </is>
      </c>
      <c r="B5878" s="12" t="inlineStr">
        <is>
          <t>K</t>
        </is>
      </c>
      <c r="C5878" s="12" t="inlineStr">
        <is>
          <t>Fuel supply (adjacent market)</t>
        </is>
      </c>
      <c r="D5878" s="12" t="inlineStr">
        <is>
          <t>Plant network / DCS fibre</t>
        </is>
      </c>
      <c r="E5878" s="12" t="inlineStr">
        <is>
          <t>CR</t>
        </is>
      </c>
      <c r="F5878" s="12" t="inlineStr">
        <is>
          <t>Control / admin building (main control room)</t>
        </is>
      </c>
      <c r="G5878" s="12" t="inlineStr"/>
      <c r="H5878" s="12" t="inlineStr">
        <is>
          <t>M&amp;R 7: gas quality + measurement building</t>
        </is>
      </c>
      <c r="I5878" s="12" t="inlineStr">
        <is>
          <t>Fibre / data</t>
        </is>
      </c>
      <c r="J5878" s="12" t="inlineStr">
        <is>
          <t>Fibre optic, single-mode, 12-fibre, armored, orange jacket</t>
        </is>
      </c>
      <c r="K5878" s="12" t="inlineStr">
        <is>
          <t>FO|12 SM|-</t>
        </is>
      </c>
      <c r="L5878" s="12" t="inlineStr">
        <is>
          <t>12 SM</t>
        </is>
      </c>
      <c r="M5878" s="12" t="inlineStr">
        <is>
          <t>-</t>
        </is>
      </c>
      <c r="N5878" s="12" t="n">
        <v>1</v>
      </c>
      <c r="O5878" s="12" t="n">
        <v>1</v>
      </c>
      <c r="P5878" s="12" t="n"/>
      <c r="Q5878" s="12" t="n"/>
      <c r="R5878" s="12" t="n"/>
      <c r="S5878" s="12" t="inlineStr">
        <is>
          <t>Duct bank</t>
        </is>
      </c>
      <c r="T5878" s="15" t="n">
        <v>2978</v>
      </c>
      <c r="U5878" s="15" t="n">
        <v>284</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K-FA-0001</t>
        </is>
      </c>
      <c r="B5879" s="12" t="inlineStr">
        <is>
          <t>K</t>
        </is>
      </c>
      <c r="C5879" s="12" t="inlineStr">
        <is>
          <t>Fuel supply (adjacent market)</t>
        </is>
      </c>
      <c r="D5879" s="12" t="inlineStr">
        <is>
          <t>Fire alarm / F&amp;G loop (to the local FACP / F&amp;G node)</t>
        </is>
      </c>
      <c r="E5879" s="12" t="inlineStr"/>
      <c r="F5879" s="12" t="inlineStr">
        <is>
          <t>H2 20: 13.8 kV e-house</t>
        </is>
      </c>
      <c r="G5879" s="12" t="inlineStr"/>
      <c r="H5879" s="12" t="inlineStr">
        <is>
          <t>H2 20: 13.8 kV e-house</t>
        </is>
      </c>
      <c r="I5879" s="12" t="inlineStr">
        <is>
          <t>Fire alarm</t>
        </is>
      </c>
      <c r="J5879" s="12" t="inlineStr">
        <is>
          <t>Fire alarm FPLR 2/C #14 shielded, red jacket (NEC 760)</t>
        </is>
      </c>
      <c r="K5879" s="12" t="inlineStr">
        <is>
          <t>FA|2/C|14</t>
        </is>
      </c>
      <c r="L5879" s="12" t="inlineStr">
        <is>
          <t>2/C</t>
        </is>
      </c>
      <c r="M5879" s="12" t="inlineStr">
        <is>
          <t>14</t>
        </is>
      </c>
      <c r="N5879" s="12" t="n">
        <v>1</v>
      </c>
      <c r="O5879" s="12" t="n">
        <v>1</v>
      </c>
      <c r="P5879" s="12" t="n"/>
      <c r="Q5879" s="12" t="n"/>
      <c r="R5879" s="12" t="n"/>
      <c r="S5879" s="12" t="inlineStr">
        <is>
          <t>Tray</t>
        </is>
      </c>
      <c r="T5879" s="15" t="n">
        <v>0</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K-FA-0002</t>
        </is>
      </c>
      <c r="B5880" s="12" t="inlineStr">
        <is>
          <t>K</t>
        </is>
      </c>
      <c r="C5880" s="12" t="inlineStr">
        <is>
          <t>Fuel supply (adjacent market)</t>
        </is>
      </c>
      <c r="D5880" s="12" t="inlineStr">
        <is>
          <t>Fire alarm / F&amp;G loop (to the local FACP / F&amp;G node)</t>
        </is>
      </c>
      <c r="E5880" s="12" t="inlineStr"/>
      <c r="F5880" s="12" t="inlineStr">
        <is>
          <t>LNG 17: LNG e-house (13.8 kV / 480 V)</t>
        </is>
      </c>
      <c r="G5880" s="12" t="inlineStr"/>
      <c r="H5880" s="12" t="inlineStr">
        <is>
          <t>LNG 17: LNG e-house (13.8 kV / 480 V)</t>
        </is>
      </c>
      <c r="I5880" s="12" t="inlineStr">
        <is>
          <t>Fire alarm</t>
        </is>
      </c>
      <c r="J5880" s="12" t="inlineStr">
        <is>
          <t>Fire alarm FPLR 2/C #14 shielded, red jacket (NEC 760)</t>
        </is>
      </c>
      <c r="K5880" s="12" t="inlineStr">
        <is>
          <t>FA|2/C|14</t>
        </is>
      </c>
      <c r="L5880" s="12" t="inlineStr">
        <is>
          <t>2/C</t>
        </is>
      </c>
      <c r="M5880" s="12" t="inlineStr">
        <is>
          <t>14</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K-FA-0003</t>
        </is>
      </c>
      <c r="B5881" s="12" t="inlineStr">
        <is>
          <t>K</t>
        </is>
      </c>
      <c r="C5881" s="12" t="inlineStr">
        <is>
          <t>Fuel supply (adjacent market)</t>
        </is>
      </c>
      <c r="D5881" s="12" t="inlineStr">
        <is>
          <t>Fire alarm / F&amp;G loop (to the local FACP / F&amp;G node)</t>
        </is>
      </c>
      <c r="E5881" s="12" t="inlineStr"/>
      <c r="F5881" s="12" t="inlineStr">
        <is>
          <t>LNG 17: LNG e-house (13.8 kV / 480 V)</t>
        </is>
      </c>
      <c r="G5881" s="12" t="inlineStr"/>
      <c r="H5881" s="12" t="inlineStr">
        <is>
          <t>M&amp;R 6: regulation / flow control building</t>
        </is>
      </c>
      <c r="I5881" s="12" t="inlineStr">
        <is>
          <t>Fire alarm</t>
        </is>
      </c>
      <c r="J5881" s="12" t="inlineStr">
        <is>
          <t>Fire alarm FPLR 2/C #14 shielded, red jacket (NEC 760)</t>
        </is>
      </c>
      <c r="K5881" s="12" t="inlineStr">
        <is>
          <t>FA|2/C|14</t>
        </is>
      </c>
      <c r="L5881" s="12" t="inlineStr">
        <is>
          <t>2/C</t>
        </is>
      </c>
      <c r="M5881" s="12" t="inlineStr">
        <is>
          <t>14</t>
        </is>
      </c>
      <c r="N5881" s="12" t="n">
        <v>1</v>
      </c>
      <c r="O5881" s="12" t="n">
        <v>1</v>
      </c>
      <c r="P5881" s="12" t="n"/>
      <c r="Q5881" s="12" t="n"/>
      <c r="R5881" s="12" t="n"/>
      <c r="S5881" s="12" t="inlineStr">
        <is>
          <t>Duct bank</t>
        </is>
      </c>
      <c r="T5881" s="15" t="n">
        <v>470</v>
      </c>
      <c r="U5881" s="15" t="n">
        <v>70</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K-FA-0004</t>
        </is>
      </c>
      <c r="B5882" s="12" t="inlineStr">
        <is>
          <t>K</t>
        </is>
      </c>
      <c r="C5882" s="12" t="inlineStr">
        <is>
          <t>Fuel supply (adjacent market)</t>
        </is>
      </c>
      <c r="D5882" s="12" t="inlineStr">
        <is>
          <t>Fire alarm / F&amp;G loop (to the local FACP / F&amp;G node)</t>
        </is>
      </c>
      <c r="E5882" s="12" t="inlineStr"/>
      <c r="F5882" s="12" t="inlineStr">
        <is>
          <t>LNG 17: LNG e-house (13.8 kV / 480 V)</t>
        </is>
      </c>
      <c r="G5882" s="12" t="inlineStr"/>
      <c r="H5882" s="12" t="inlineStr">
        <is>
          <t>M&amp;R 9: service panel + UPS, SCADA RTU, CP</t>
        </is>
      </c>
      <c r="I5882" s="12" t="inlineStr">
        <is>
          <t>Fire alarm</t>
        </is>
      </c>
      <c r="J5882" s="12" t="inlineStr">
        <is>
          <t>Fire alarm FPLR 2/C #14 shielded, red jacket (NEC 760)</t>
        </is>
      </c>
      <c r="K5882" s="12" t="inlineStr">
        <is>
          <t>FA|2/C|14</t>
        </is>
      </c>
      <c r="L5882" s="12" t="inlineStr">
        <is>
          <t>2/C</t>
        </is>
      </c>
      <c r="M5882" s="12" t="inlineStr">
        <is>
          <t>14</t>
        </is>
      </c>
      <c r="N5882" s="12" t="n">
        <v>1</v>
      </c>
      <c r="O5882" s="12" t="n">
        <v>1</v>
      </c>
      <c r="P5882" s="12" t="n"/>
      <c r="Q5882" s="12" t="n"/>
      <c r="R5882" s="12" t="n"/>
      <c r="S5882" s="12" t="inlineStr">
        <is>
          <t>Duct bank</t>
        </is>
      </c>
      <c r="T5882" s="15" t="n">
        <v>466</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K-FA-0005</t>
        </is>
      </c>
      <c r="B5883" s="12" t="inlineStr">
        <is>
          <t>K</t>
        </is>
      </c>
      <c r="C5883" s="12" t="inlineStr">
        <is>
          <t>Fuel supply (adjacent market)</t>
        </is>
      </c>
      <c r="D5883" s="12" t="inlineStr">
        <is>
          <t>Fire alarm / F&amp;G loop (to the local FACP / F&amp;G node)</t>
        </is>
      </c>
      <c r="E5883" s="12" t="inlineStr"/>
      <c r="F5883" s="12" t="inlineStr">
        <is>
          <t>LNG 17: LNG e-house (13.8 kV / 480 V)</t>
        </is>
      </c>
      <c r="G5883" s="12" t="inlineStr"/>
      <c r="H5883" s="12" t="inlineStr">
        <is>
          <t>M&amp;R SCADA antenna mast base (as drawn)</t>
        </is>
      </c>
      <c r="I5883" s="12" t="inlineStr">
        <is>
          <t>Fire alarm</t>
        </is>
      </c>
      <c r="J5883" s="12" t="inlineStr">
        <is>
          <t>Fire alarm FPLR 2/C #14 shielded, red jacket (NEC 760)</t>
        </is>
      </c>
      <c r="K5883" s="12" t="inlineStr">
        <is>
          <t>FA|2/C|14</t>
        </is>
      </c>
      <c r="L5883" s="12" t="inlineStr">
        <is>
          <t>2/C</t>
        </is>
      </c>
      <c r="M5883" s="12" t="inlineStr">
        <is>
          <t>14</t>
        </is>
      </c>
      <c r="N5883" s="12" t="n">
        <v>1</v>
      </c>
      <c r="O5883" s="12" t="n">
        <v>1</v>
      </c>
      <c r="P5883" s="12" t="n"/>
      <c r="Q5883" s="12" t="n"/>
      <c r="R5883" s="12" t="n"/>
      <c r="S5883" s="12" t="inlineStr">
        <is>
          <t>Duct bank</t>
        </is>
      </c>
      <c r="T5883" s="15" t="n">
        <v>433</v>
      </c>
      <c r="U5883" s="15" t="n">
        <v>32</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K-I-0001</t>
        </is>
      </c>
      <c r="B5884" s="12" t="inlineStr">
        <is>
          <t>K</t>
        </is>
      </c>
      <c r="C5884" s="12" t="inlineStr">
        <is>
          <t>Fuel supply (adjacent market)</t>
        </is>
      </c>
      <c r="D5884" s="12" t="inlineStr">
        <is>
          <t>Analog instrument to JB JB-T-H2-AI01: 12 x 1 pr (field cables)</t>
        </is>
      </c>
      <c r="E5884" s="12" t="inlineStr">
        <is>
          <t>T-H2</t>
        </is>
      </c>
      <c r="F5884" s="12" t="inlineStr">
        <is>
          <t>H2 19: T-H2 230/13.8 kV (about 40 MVA)</t>
        </is>
      </c>
      <c r="G5884" s="12" t="inlineStr">
        <is>
          <t>JB-T-H2-AI01</t>
        </is>
      </c>
      <c r="H5884" s="12" t="inlineStr">
        <is>
          <t>H2 19: T-H2 230/13.8 kV (about 40 MVA)</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5" t="n">
        <v>80</v>
      </c>
      <c r="U5884" s="15" t="n">
        <v>10</v>
      </c>
      <c r="V5884" s="15">
        <f>ROUNDUP((T5884+U5884+2*'Read Me'!$B$13)*(1+'Read Me'!$B$12),-1)</f>
        <v/>
      </c>
      <c r="W5884" s="15">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K-I-0002</t>
        </is>
      </c>
      <c r="B5885" s="12" t="inlineStr">
        <is>
          <t>K</t>
        </is>
      </c>
      <c r="C5885" s="12" t="inlineStr">
        <is>
          <t>Fuel supply (adjacent market)</t>
        </is>
      </c>
      <c r="D5885" s="12" t="inlineStr">
        <is>
          <t>Home run JB-T-H2-AI01 to the control / marshalling room</t>
        </is>
      </c>
      <c r="E5885" s="12" t="inlineStr"/>
      <c r="F5885" s="12" t="inlineStr">
        <is>
          <t>H2 20: 13.8 kV e-house</t>
        </is>
      </c>
      <c r="G5885" s="12" t="inlineStr">
        <is>
          <t>JB-T-H2-AI01</t>
        </is>
      </c>
      <c r="H5885" s="12" t="inlineStr">
        <is>
          <t>H2 19: T-H2 230/13.8 kV (about 40 MVA)</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5" t="n">
        <v>35</v>
      </c>
      <c r="U5885" s="15" t="n">
        <v>32</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K-I-0003</t>
        </is>
      </c>
      <c r="B5886" s="12" t="inlineStr">
        <is>
          <t>K</t>
        </is>
      </c>
      <c r="C5886" s="12" t="inlineStr">
        <is>
          <t>Fuel supply (adjacent market)</t>
        </is>
      </c>
      <c r="D5886" s="12" t="inlineStr">
        <is>
          <t>Discrete device to JB JB-T-H2-DI01: 12 x 1 pr (field cables)</t>
        </is>
      </c>
      <c r="E5886" s="12" t="inlineStr">
        <is>
          <t>T-H2</t>
        </is>
      </c>
      <c r="F5886" s="12" t="inlineStr">
        <is>
          <t>H2 19: T-H2 230/13.8 kV (about 40 MVA)</t>
        </is>
      </c>
      <c r="G5886" s="12" t="inlineStr">
        <is>
          <t>JB-T-H2-DI01</t>
        </is>
      </c>
      <c r="H5886" s="12" t="inlineStr">
        <is>
          <t>H2 19: T-H2 230/13.8 kV (about 40 MVA)</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5" t="n">
        <v>80</v>
      </c>
      <c r="U5886" s="15" t="n">
        <v>10</v>
      </c>
      <c r="V5886" s="15">
        <f>ROUNDUP((T5886+U5886+2*'Read Me'!$B$13)*(1+'Read Me'!$B$12),-1)</f>
        <v/>
      </c>
      <c r="W5886" s="15">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K-I-0004</t>
        </is>
      </c>
      <c r="B5887" s="12" t="inlineStr">
        <is>
          <t>K</t>
        </is>
      </c>
      <c r="C5887" s="12" t="inlineStr">
        <is>
          <t>Fuel supply (adjacent market)</t>
        </is>
      </c>
      <c r="D5887" s="12" t="inlineStr">
        <is>
          <t>Home run JB-T-H2-DI01 to the control / marshalling room</t>
        </is>
      </c>
      <c r="E5887" s="12" t="inlineStr"/>
      <c r="F5887" s="12" t="inlineStr">
        <is>
          <t>H2 20: 13.8 kV e-house</t>
        </is>
      </c>
      <c r="G5887" s="12" t="inlineStr">
        <is>
          <t>JB-T-H2-DI01</t>
        </is>
      </c>
      <c r="H5887" s="12" t="inlineStr">
        <is>
          <t>H2 19: T-H2 230/13.8 kV (about 40 MVA)</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5" t="n">
        <v>35</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K-I-0005</t>
        </is>
      </c>
      <c r="B5888" s="12" t="inlineStr">
        <is>
          <t>K</t>
        </is>
      </c>
      <c r="C5888" s="12" t="inlineStr">
        <is>
          <t>Fuel supply (adjacent market)</t>
        </is>
      </c>
      <c r="D5888" s="12" t="inlineStr">
        <is>
          <t>Analog instrument to JB JB-H2 20: 13.8 kV e-h-AI01: 12 x 1 pr (field cables)</t>
        </is>
      </c>
      <c r="E5888" s="12" t="inlineStr"/>
      <c r="F5888" s="12" t="inlineStr">
        <is>
          <t>H2 20: 13.8 kV e-house</t>
        </is>
      </c>
      <c r="G5888" s="12" t="inlineStr">
        <is>
          <t>JB-H2 20: 13.8 kV e-h-AI01</t>
        </is>
      </c>
      <c r="H5888" s="12" t="inlineStr">
        <is>
          <t>H2 20: 13.8 kV e-house</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5" t="n">
        <v>69</v>
      </c>
      <c r="U5888" s="15" t="n">
        <v>10</v>
      </c>
      <c r="V5888" s="15">
        <f>ROUNDUP((T5888+U5888+2*'Read Me'!$B$13)*(1+'Read Me'!$B$12),-1)</f>
        <v/>
      </c>
      <c r="W5888" s="15">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K-I-0006</t>
        </is>
      </c>
      <c r="B5889" s="12" t="inlineStr">
        <is>
          <t>K</t>
        </is>
      </c>
      <c r="C5889" s="12" t="inlineStr">
        <is>
          <t>Fuel supply (adjacent market)</t>
        </is>
      </c>
      <c r="D5889" s="12" t="inlineStr">
        <is>
          <t>Home run JB-H2 20: 13.8 kV e-h-AI01 to the control / marshalling room</t>
        </is>
      </c>
      <c r="E5889" s="12" t="inlineStr"/>
      <c r="F5889" s="12" t="inlineStr">
        <is>
          <t>H2 20: 13.8 kV e-house</t>
        </is>
      </c>
      <c r="G5889" s="12" t="inlineStr">
        <is>
          <t>JB-H2 20: 13.8 kV e-h-AI01</t>
        </is>
      </c>
      <c r="H5889" s="12" t="inlineStr">
        <is>
          <t>H2 20: 13.8 kV e-house</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Tray</t>
        </is>
      </c>
      <c r="T5889" s="15" t="n">
        <v>0</v>
      </c>
      <c r="U5889" s="15" t="n">
        <v>32</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K-I-0007</t>
        </is>
      </c>
      <c r="B5890" s="12" t="inlineStr">
        <is>
          <t>K</t>
        </is>
      </c>
      <c r="C5890" s="12" t="inlineStr">
        <is>
          <t>Fuel supply (adjacent market)</t>
        </is>
      </c>
      <c r="D5890" s="12" t="inlineStr">
        <is>
          <t>Discrete device to JB JB-H2 20: 13.8 kV e-h-DI01: 12 x 1 pr (field cables)</t>
        </is>
      </c>
      <c r="E5890" s="12" t="inlineStr"/>
      <c r="F5890" s="12" t="inlineStr">
        <is>
          <t>H2 20: 13.8 kV e-house</t>
        </is>
      </c>
      <c r="G5890" s="12" t="inlineStr">
        <is>
          <t>JB-H2 20: 13.8 kV e-h-DI01</t>
        </is>
      </c>
      <c r="H5890" s="12" t="inlineStr">
        <is>
          <t>H2 20: 13.8 kV e-house</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5" t="n">
        <v>69</v>
      </c>
      <c r="U5890" s="15" t="n">
        <v>10</v>
      </c>
      <c r="V5890" s="15">
        <f>ROUNDUP((T5890+U5890+2*'Read Me'!$B$13)*(1+'Read Me'!$B$12),-1)</f>
        <v/>
      </c>
      <c r="W5890" s="15">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K-I-0008</t>
        </is>
      </c>
      <c r="B5891" s="12" t="inlineStr">
        <is>
          <t>K</t>
        </is>
      </c>
      <c r="C5891" s="12" t="inlineStr">
        <is>
          <t>Fuel supply (adjacent market)</t>
        </is>
      </c>
      <c r="D5891" s="12" t="inlineStr">
        <is>
          <t>Home run JB-H2 20: 13.8 kV e-h-DI01 to the control / marshalling room</t>
        </is>
      </c>
      <c r="E5891" s="12" t="inlineStr"/>
      <c r="F5891" s="12" t="inlineStr">
        <is>
          <t>H2 20: 13.8 kV e-house</t>
        </is>
      </c>
      <c r="G5891" s="12" t="inlineStr">
        <is>
          <t>JB-H2 20: 13.8 kV e-h-DI01</t>
        </is>
      </c>
      <c r="H5891" s="12" t="inlineStr">
        <is>
          <t>H2 20: 13.8 kV e-house</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Tray</t>
        </is>
      </c>
      <c r="T5891" s="15" t="n">
        <v>0</v>
      </c>
      <c r="U5891" s="15" t="n">
        <v>32</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K-I-0009</t>
        </is>
      </c>
      <c r="B5892" s="12" t="inlineStr">
        <is>
          <t>K</t>
        </is>
      </c>
      <c r="C5892" s="12" t="inlineStr">
        <is>
          <t>Fuel supply (adjacent market)</t>
        </is>
      </c>
      <c r="D5892" s="12" t="inlineStr">
        <is>
          <t>Analog instrument to JB JB-H2 21: rectifier t-AI01: 12 x 1 pr (field cables)</t>
        </is>
      </c>
      <c r="E5892" s="12" t="inlineStr"/>
      <c r="F5892" s="12" t="inlineStr">
        <is>
          <t>H2 21: rectifier transformer 1 (7 MVA)</t>
        </is>
      </c>
      <c r="G5892" s="12" t="inlineStr">
        <is>
          <t>JB-H2 21: rectifier t-AI01</t>
        </is>
      </c>
      <c r="H5892" s="12" t="inlineStr">
        <is>
          <t>H2 21: rectifier transformer 1 (7 MVA)</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5" t="n">
        <v>41</v>
      </c>
      <c r="U5892" s="15" t="n">
        <v>10</v>
      </c>
      <c r="V5892" s="15">
        <f>ROUNDUP((T5892+U5892+2*'Read Me'!$B$13)*(1+'Read Me'!$B$12),-1)</f>
        <v/>
      </c>
      <c r="W5892" s="15">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K-I-0010</t>
        </is>
      </c>
      <c r="B5893" s="12" t="inlineStr">
        <is>
          <t>K</t>
        </is>
      </c>
      <c r="C5893" s="12" t="inlineStr">
        <is>
          <t>Fuel supply (adjacent market)</t>
        </is>
      </c>
      <c r="D5893" s="12" t="inlineStr">
        <is>
          <t>Home run JB-H2 21: rectifier t-AI01 to the control / marshalling room</t>
        </is>
      </c>
      <c r="E5893" s="12" t="inlineStr"/>
      <c r="F5893" s="12" t="inlineStr">
        <is>
          <t>H2 20: 13.8 kV e-house</t>
        </is>
      </c>
      <c r="G5893" s="12" t="inlineStr">
        <is>
          <t>JB-H2 21: rectifier t-AI01</t>
        </is>
      </c>
      <c r="H5893" s="12" t="inlineStr">
        <is>
          <t>H2 21: rectifier transformer 1 (7 MVA)</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5" t="n">
        <v>356</v>
      </c>
      <c r="U5893" s="15" t="n">
        <v>48</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K-I-0011</t>
        </is>
      </c>
      <c r="B5894" s="12" t="inlineStr">
        <is>
          <t>K</t>
        </is>
      </c>
      <c r="C5894" s="12" t="inlineStr">
        <is>
          <t>Fuel supply (adjacent market)</t>
        </is>
      </c>
      <c r="D5894" s="12" t="inlineStr">
        <is>
          <t>Discrete device to JB JB-H2 21: rectifier t-DI01: 12 x 1 pr (field cables)</t>
        </is>
      </c>
      <c r="E5894" s="12" t="inlineStr"/>
      <c r="F5894" s="12" t="inlineStr">
        <is>
          <t>H2 21: rectifier transformer 1 (7 MVA)</t>
        </is>
      </c>
      <c r="G5894" s="12" t="inlineStr">
        <is>
          <t>JB-H2 21: rectifier t-DI01</t>
        </is>
      </c>
      <c r="H5894" s="12" t="inlineStr">
        <is>
          <t>H2 21: rectifier transformer 1 (7 MVA)</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5" t="n">
        <v>41</v>
      </c>
      <c r="U5894" s="15" t="n">
        <v>10</v>
      </c>
      <c r="V5894" s="15">
        <f>ROUNDUP((T5894+U5894+2*'Read Me'!$B$13)*(1+'Read Me'!$B$12),-1)</f>
        <v/>
      </c>
      <c r="W5894" s="15">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K-I-0012</t>
        </is>
      </c>
      <c r="B5895" s="12" t="inlineStr">
        <is>
          <t>K</t>
        </is>
      </c>
      <c r="C5895" s="12" t="inlineStr">
        <is>
          <t>Fuel supply (adjacent market)</t>
        </is>
      </c>
      <c r="D5895" s="12" t="inlineStr">
        <is>
          <t>Home run JB-H2 21: rectifier t-DI01 to the control / marshalling room</t>
        </is>
      </c>
      <c r="E5895" s="12" t="inlineStr"/>
      <c r="F5895" s="12" t="inlineStr">
        <is>
          <t>H2 20: 13.8 kV e-house</t>
        </is>
      </c>
      <c r="G5895" s="12" t="inlineStr">
        <is>
          <t>JB-H2 21: rectifier t-DI01</t>
        </is>
      </c>
      <c r="H5895" s="12" t="inlineStr">
        <is>
          <t>H2 21: rectifier transformer 1 (7 MVA)</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5" t="n">
        <v>356</v>
      </c>
      <c r="U5895" s="15" t="n">
        <v>48</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K-I-0013</t>
        </is>
      </c>
      <c r="B5896" s="12" t="inlineStr">
        <is>
          <t>K</t>
        </is>
      </c>
      <c r="C5896" s="12" t="inlineStr">
        <is>
          <t>Fuel supply (adjacent market)</t>
        </is>
      </c>
      <c r="D5896" s="12" t="inlineStr">
        <is>
          <t>Analog instrument to JB JB-H2 21: rectifier t-AI01: 12 x 1 pr (field cables)</t>
        </is>
      </c>
      <c r="E5896" s="12" t="inlineStr"/>
      <c r="F5896" s="12" t="inlineStr">
        <is>
          <t>H2 21: rectifier transformer 2 (7 MVA)</t>
        </is>
      </c>
      <c r="G5896" s="12" t="inlineStr">
        <is>
          <t>JB-H2 21: rectifier t-AI01</t>
        </is>
      </c>
      <c r="H5896" s="12" t="inlineStr">
        <is>
          <t>H2 21: rectifier transformer 2 (7 MVA)</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5" t="n">
        <v>41</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K-I-0014</t>
        </is>
      </c>
      <c r="B5897" s="12" t="inlineStr">
        <is>
          <t>K</t>
        </is>
      </c>
      <c r="C5897" s="12" t="inlineStr">
        <is>
          <t>Fuel supply (adjacent market)</t>
        </is>
      </c>
      <c r="D5897" s="12" t="inlineStr">
        <is>
          <t>Home run JB-H2 21: rectifier t-AI01 to the control / marshalling room</t>
        </is>
      </c>
      <c r="E5897" s="12" t="inlineStr"/>
      <c r="F5897" s="12" t="inlineStr">
        <is>
          <t>H2 20: 13.8 kV e-house</t>
        </is>
      </c>
      <c r="G5897" s="12" t="inlineStr">
        <is>
          <t>JB-H2 21: rectifier t-AI01</t>
        </is>
      </c>
      <c r="H5897" s="12" t="inlineStr">
        <is>
          <t>H2 21: rectifier transformer 2 (7 MVA)</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356</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K-I-0015</t>
        </is>
      </c>
      <c r="B5898" s="12" t="inlineStr">
        <is>
          <t>K</t>
        </is>
      </c>
      <c r="C5898" s="12" t="inlineStr">
        <is>
          <t>Fuel supply (adjacent market)</t>
        </is>
      </c>
      <c r="D5898" s="12" t="inlineStr">
        <is>
          <t>Discrete device to JB JB-H2 21: rectifier t-DI01: 12 x 1 pr (field cables)</t>
        </is>
      </c>
      <c r="E5898" s="12" t="inlineStr"/>
      <c r="F5898" s="12" t="inlineStr">
        <is>
          <t>H2 21: rectifier transformer 2 (7 MVA)</t>
        </is>
      </c>
      <c r="G5898" s="12" t="inlineStr">
        <is>
          <t>JB-H2 21: rectifier t-DI01</t>
        </is>
      </c>
      <c r="H5898" s="12" t="inlineStr">
        <is>
          <t>H2 21: rectifier transformer 2 (7 MVA)</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12</v>
      </c>
      <c r="O5898" s="12" t="n">
        <v>1</v>
      </c>
      <c r="P5898" s="12" t="n"/>
      <c r="Q5898" s="12" t="n"/>
      <c r="R5898" s="12" t="n"/>
      <c r="S5898" s="12" t="inlineStr">
        <is>
          <t>Tray / conduit</t>
        </is>
      </c>
      <c r="T5898" s="15" t="n">
        <v>41</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K-I-0016</t>
        </is>
      </c>
      <c r="B5899" s="12" t="inlineStr">
        <is>
          <t>K</t>
        </is>
      </c>
      <c r="C5899" s="12" t="inlineStr">
        <is>
          <t>Fuel supply (adjacent market)</t>
        </is>
      </c>
      <c r="D5899" s="12" t="inlineStr">
        <is>
          <t>Home run JB-H2 21: rectifier t-DI01 to the control / marshalling room</t>
        </is>
      </c>
      <c r="E5899" s="12" t="inlineStr"/>
      <c r="F5899" s="12" t="inlineStr">
        <is>
          <t>H2 20: 13.8 kV e-house</t>
        </is>
      </c>
      <c r="G5899" s="12" t="inlineStr">
        <is>
          <t>JB-H2 21: rectifier t-DI01</t>
        </is>
      </c>
      <c r="H5899" s="12" t="inlineStr">
        <is>
          <t>H2 21: rectifier transformer 2 (7 MVA)</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356</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K-I-0017</t>
        </is>
      </c>
      <c r="B5900" s="12" t="inlineStr">
        <is>
          <t>K</t>
        </is>
      </c>
      <c r="C5900" s="12" t="inlineStr">
        <is>
          <t>Fuel supply (adjacent market)</t>
        </is>
      </c>
      <c r="D5900" s="12" t="inlineStr">
        <is>
          <t>Analog instrument to JB JB-H2 21: rectifier t-AI01: 12 x 1 pr (field cables)</t>
        </is>
      </c>
      <c r="E5900" s="12" t="inlineStr"/>
      <c r="F5900" s="12" t="inlineStr">
        <is>
          <t>H2 21: rectifier transformer 3 (7 MVA)</t>
        </is>
      </c>
      <c r="G5900" s="12" t="inlineStr">
        <is>
          <t>JB-H2 21: rectifier t-AI01</t>
        </is>
      </c>
      <c r="H5900" s="12" t="inlineStr">
        <is>
          <t>H2 21: rectifier transformer 3 (7 MVA)</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12</v>
      </c>
      <c r="O5900" s="12" t="n">
        <v>1</v>
      </c>
      <c r="P5900" s="12" t="n"/>
      <c r="Q5900" s="12" t="n"/>
      <c r="R5900" s="12" t="n"/>
      <c r="S5900" s="12" t="inlineStr">
        <is>
          <t>Tray / conduit</t>
        </is>
      </c>
      <c r="T5900" s="15" t="n">
        <v>41</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K-I-0018</t>
        </is>
      </c>
      <c r="B5901" s="12" t="inlineStr">
        <is>
          <t>K</t>
        </is>
      </c>
      <c r="C5901" s="12" t="inlineStr">
        <is>
          <t>Fuel supply (adjacent market)</t>
        </is>
      </c>
      <c r="D5901" s="12" t="inlineStr">
        <is>
          <t>Home run JB-H2 21: rectifier t-AI01 to the control / marshalling room</t>
        </is>
      </c>
      <c r="E5901" s="12" t="inlineStr"/>
      <c r="F5901" s="12" t="inlineStr">
        <is>
          <t>H2 20: 13.8 kV e-house</t>
        </is>
      </c>
      <c r="G5901" s="12" t="inlineStr">
        <is>
          <t>JB-H2 21: rectifier t-AI01</t>
        </is>
      </c>
      <c r="H5901" s="12" t="inlineStr">
        <is>
          <t>H2 21: rectifier transformer 3 (7 MVA)</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5" t="n">
        <v>334</v>
      </c>
      <c r="U5901" s="15" t="n">
        <v>32</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K-I-0019</t>
        </is>
      </c>
      <c r="B5902" s="12" t="inlineStr">
        <is>
          <t>K</t>
        </is>
      </c>
      <c r="C5902" s="12" t="inlineStr">
        <is>
          <t>Fuel supply (adjacent market)</t>
        </is>
      </c>
      <c r="D5902" s="12" t="inlineStr">
        <is>
          <t>Discrete device to JB JB-H2 21: rectifier t-DI01: 12 x 1 pr (field cables)</t>
        </is>
      </c>
      <c r="E5902" s="12" t="inlineStr"/>
      <c r="F5902" s="12" t="inlineStr">
        <is>
          <t>H2 21: rectifier transformer 3 (7 MVA)</t>
        </is>
      </c>
      <c r="G5902" s="12" t="inlineStr">
        <is>
          <t>JB-H2 21: rectifier t-DI01</t>
        </is>
      </c>
      <c r="H5902" s="12" t="inlineStr">
        <is>
          <t>H2 21: rectifier transformer 3 (7 MVA)</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12</v>
      </c>
      <c r="O5902" s="12" t="n">
        <v>1</v>
      </c>
      <c r="P5902" s="12" t="n"/>
      <c r="Q5902" s="12" t="n"/>
      <c r="R5902" s="12" t="n"/>
      <c r="S5902" s="12" t="inlineStr">
        <is>
          <t>Tray / conduit</t>
        </is>
      </c>
      <c r="T5902" s="15" t="n">
        <v>41</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K-I-0020</t>
        </is>
      </c>
      <c r="B5903" s="12" t="inlineStr">
        <is>
          <t>K</t>
        </is>
      </c>
      <c r="C5903" s="12" t="inlineStr">
        <is>
          <t>Fuel supply (adjacent market)</t>
        </is>
      </c>
      <c r="D5903" s="12" t="inlineStr">
        <is>
          <t>Home run JB-H2 21: rectifier t-DI01 to the control / marshalling room</t>
        </is>
      </c>
      <c r="E5903" s="12" t="inlineStr"/>
      <c r="F5903" s="12" t="inlineStr">
        <is>
          <t>H2 20: 13.8 kV e-house</t>
        </is>
      </c>
      <c r="G5903" s="12" t="inlineStr">
        <is>
          <t>JB-H2 21: rectifier t-DI01</t>
        </is>
      </c>
      <c r="H5903" s="12" t="inlineStr">
        <is>
          <t>H2 21: rectifier transformer 3 (7 MVA)</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5" t="n">
        <v>334</v>
      </c>
      <c r="U5903" s="15" t="n">
        <v>32</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K-I-0021</t>
        </is>
      </c>
      <c r="B5904" s="12" t="inlineStr">
        <is>
          <t>K</t>
        </is>
      </c>
      <c r="C5904" s="12" t="inlineStr">
        <is>
          <t>Fuel supply (adjacent market)</t>
        </is>
      </c>
      <c r="D5904" s="12" t="inlineStr">
        <is>
          <t>Analog instrument to JB JB-H2 21: rectifier t-AI01: 12 x 1 pr (field cables)</t>
        </is>
      </c>
      <c r="E5904" s="12" t="inlineStr"/>
      <c r="F5904" s="12" t="inlineStr">
        <is>
          <t>H2 21: rectifier transformer 4 (7 MVA)</t>
        </is>
      </c>
      <c r="G5904" s="12" t="inlineStr">
        <is>
          <t>JB-H2 21: rectifier t-AI01</t>
        </is>
      </c>
      <c r="H5904" s="12" t="inlineStr">
        <is>
          <t>H2 21: rectifier transformer 4 (7 MVA)</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5" t="n">
        <v>41</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K-I-0022</t>
        </is>
      </c>
      <c r="B5905" s="12" t="inlineStr">
        <is>
          <t>K</t>
        </is>
      </c>
      <c r="C5905" s="12" t="inlineStr">
        <is>
          <t>Fuel supply (adjacent market)</t>
        </is>
      </c>
      <c r="D5905" s="12" t="inlineStr">
        <is>
          <t>Home run JB-H2 21: rectifier t-AI01 to the control / marshalling room</t>
        </is>
      </c>
      <c r="E5905" s="12" t="inlineStr"/>
      <c r="F5905" s="12" t="inlineStr">
        <is>
          <t>H2 20: 13.8 kV e-house</t>
        </is>
      </c>
      <c r="G5905" s="12" t="inlineStr">
        <is>
          <t>JB-H2 21: rectifier t-AI01</t>
        </is>
      </c>
      <c r="H5905" s="12" t="inlineStr">
        <is>
          <t>H2 21: rectifier transformer 4 (7 MVA)</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312</v>
      </c>
      <c r="U5905" s="15" t="n">
        <v>32</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K-I-0023</t>
        </is>
      </c>
      <c r="B5906" s="12" t="inlineStr">
        <is>
          <t>K</t>
        </is>
      </c>
      <c r="C5906" s="12" t="inlineStr">
        <is>
          <t>Fuel supply (adjacent market)</t>
        </is>
      </c>
      <c r="D5906" s="12" t="inlineStr">
        <is>
          <t>Discrete device to JB JB-H2 21: rectifier t-DI01: 12 x 1 pr (field cables)</t>
        </is>
      </c>
      <c r="E5906" s="12" t="inlineStr"/>
      <c r="F5906" s="12" t="inlineStr">
        <is>
          <t>H2 21: rectifier transformer 4 (7 MVA)</t>
        </is>
      </c>
      <c r="G5906" s="12" t="inlineStr">
        <is>
          <t>JB-H2 21: rectifier t-DI01</t>
        </is>
      </c>
      <c r="H5906" s="12" t="inlineStr">
        <is>
          <t>H2 21: rectifier transformer 4 (7 MVA)</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12</v>
      </c>
      <c r="O5906" s="12" t="n">
        <v>1</v>
      </c>
      <c r="P5906" s="12" t="n"/>
      <c r="Q5906" s="12" t="n"/>
      <c r="R5906" s="12" t="n"/>
      <c r="S5906" s="12" t="inlineStr">
        <is>
          <t>Tray / conduit</t>
        </is>
      </c>
      <c r="T5906" s="15" t="n">
        <v>41</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K-I-0024</t>
        </is>
      </c>
      <c r="B5907" s="12" t="inlineStr">
        <is>
          <t>K</t>
        </is>
      </c>
      <c r="C5907" s="12" t="inlineStr">
        <is>
          <t>Fuel supply (adjacent market)</t>
        </is>
      </c>
      <c r="D5907" s="12" t="inlineStr">
        <is>
          <t>Home run JB-H2 21: rectifier t-DI01 to the control / marshalling room</t>
        </is>
      </c>
      <c r="E5907" s="12" t="inlineStr"/>
      <c r="F5907" s="12" t="inlineStr">
        <is>
          <t>H2 20: 13.8 kV e-house</t>
        </is>
      </c>
      <c r="G5907" s="12" t="inlineStr">
        <is>
          <t>JB-H2 21: rectifier t-DI01</t>
        </is>
      </c>
      <c r="H5907" s="12" t="inlineStr">
        <is>
          <t>H2 21: rectifier transformer 4 (7 MVA)</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312</v>
      </c>
      <c r="U5907" s="15" t="n">
        <v>32</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K-I-0025</t>
        </is>
      </c>
      <c r="B5908" s="12" t="inlineStr">
        <is>
          <t>K</t>
        </is>
      </c>
      <c r="C5908" s="12" t="inlineStr">
        <is>
          <t>Fuel supply (adjacent market)</t>
        </is>
      </c>
      <c r="D5908" s="12" t="inlineStr">
        <is>
          <t>Analog instrument to JB JB-H2 21: rectifier t-AI01: 12 x 1 pr (field cables)</t>
        </is>
      </c>
      <c r="E5908" s="12" t="inlineStr"/>
      <c r="F5908" s="12" t="inlineStr">
        <is>
          <t>H2 21: rectifier transformer 5 (7 MVA)</t>
        </is>
      </c>
      <c r="G5908" s="12" t="inlineStr">
        <is>
          <t>JB-H2 21: rectifier t-AI01</t>
        </is>
      </c>
      <c r="H5908" s="12" t="inlineStr">
        <is>
          <t>H2 21: rectifier transformer 5 (7 MVA)</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12</v>
      </c>
      <c r="O5908" s="12" t="n">
        <v>1</v>
      </c>
      <c r="P5908" s="12" t="n"/>
      <c r="Q5908" s="12" t="n"/>
      <c r="R5908" s="12" t="n"/>
      <c r="S5908" s="12" t="inlineStr">
        <is>
          <t>Tray / conduit</t>
        </is>
      </c>
      <c r="T5908" s="15" t="n">
        <v>41</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K-I-0026</t>
        </is>
      </c>
      <c r="B5909" s="12" t="inlineStr">
        <is>
          <t>K</t>
        </is>
      </c>
      <c r="C5909" s="12" t="inlineStr">
        <is>
          <t>Fuel supply (adjacent market)</t>
        </is>
      </c>
      <c r="D5909" s="12" t="inlineStr">
        <is>
          <t>Home run JB-H2 21: rectifier t-AI01 to the control / marshalling room</t>
        </is>
      </c>
      <c r="E5909" s="12" t="inlineStr"/>
      <c r="F5909" s="12" t="inlineStr">
        <is>
          <t>H2 20: 13.8 kV e-house</t>
        </is>
      </c>
      <c r="G5909" s="12" t="inlineStr">
        <is>
          <t>JB-H2 21: rectifier t-AI01</t>
        </is>
      </c>
      <c r="H5909" s="12" t="inlineStr">
        <is>
          <t>H2 21: rectifier transformer 5 (7 MVA)</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254</v>
      </c>
      <c r="U5909" s="15" t="n">
        <v>32</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K-I-0027</t>
        </is>
      </c>
      <c r="B5910" s="12" t="inlineStr">
        <is>
          <t>K</t>
        </is>
      </c>
      <c r="C5910" s="12" t="inlineStr">
        <is>
          <t>Fuel supply (adjacent market)</t>
        </is>
      </c>
      <c r="D5910" s="12" t="inlineStr">
        <is>
          <t>Discrete device to JB JB-H2 21: rectifier t-DI01: 12 x 1 pr (field cables)</t>
        </is>
      </c>
      <c r="E5910" s="12" t="inlineStr"/>
      <c r="F5910" s="12" t="inlineStr">
        <is>
          <t>H2 21: rectifier transformer 5 (7 MVA)</t>
        </is>
      </c>
      <c r="G5910" s="12" t="inlineStr">
        <is>
          <t>JB-H2 21: rectifier t-DI01</t>
        </is>
      </c>
      <c r="H5910" s="12" t="inlineStr">
        <is>
          <t>H2 21: rectifier transformer 5 (7 MVA)</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12</v>
      </c>
      <c r="O5910" s="12" t="n">
        <v>1</v>
      </c>
      <c r="P5910" s="12" t="n"/>
      <c r="Q5910" s="12" t="n"/>
      <c r="R5910" s="12" t="n"/>
      <c r="S5910" s="12" t="inlineStr">
        <is>
          <t>Tray / conduit</t>
        </is>
      </c>
      <c r="T5910" s="15" t="n">
        <v>41</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K-I-0028</t>
        </is>
      </c>
      <c r="B5911" s="12" t="inlineStr">
        <is>
          <t>K</t>
        </is>
      </c>
      <c r="C5911" s="12" t="inlineStr">
        <is>
          <t>Fuel supply (adjacent market)</t>
        </is>
      </c>
      <c r="D5911" s="12" t="inlineStr">
        <is>
          <t>Home run JB-H2 21: rectifier t-DI01 to the control / marshalling room</t>
        </is>
      </c>
      <c r="E5911" s="12" t="inlineStr"/>
      <c r="F5911" s="12" t="inlineStr">
        <is>
          <t>H2 20: 13.8 kV e-house</t>
        </is>
      </c>
      <c r="G5911" s="12" t="inlineStr">
        <is>
          <t>JB-H2 21: rectifier t-DI01</t>
        </is>
      </c>
      <c r="H5911" s="12" t="inlineStr">
        <is>
          <t>H2 21: rectifier transformer 5 (7 MVA)</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254</v>
      </c>
      <c r="U5911" s="15" t="n">
        <v>32</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K-I-0029</t>
        </is>
      </c>
      <c r="B5912" s="12" t="inlineStr">
        <is>
          <t>K</t>
        </is>
      </c>
      <c r="C5912" s="12" t="inlineStr">
        <is>
          <t>Fuel supply (adjacent market)</t>
        </is>
      </c>
      <c r="D5912" s="12" t="inlineStr">
        <is>
          <t>Analog instrument to JB JB-H2-EL-AI01: 12 x 1 pr (field cables)</t>
        </is>
      </c>
      <c r="E5912" s="12" t="inlineStr">
        <is>
          <t>H2-EL</t>
        </is>
      </c>
      <c r="F5912" s="12" t="inlineStr">
        <is>
          <t>H2 22: electrolyzer building (5 x HyLYZER-1000 + 5 rectifiers)</t>
        </is>
      </c>
      <c r="G5912" s="12" t="inlineStr">
        <is>
          <t>JB-H2-EL-AI01</t>
        </is>
      </c>
      <c r="H5912" s="12" t="inlineStr">
        <is>
          <t>H2 22: electrolyzer building (5 x HyLYZER-1000 + 5 rectifiers)</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12</v>
      </c>
      <c r="O5912" s="12" t="n">
        <v>1</v>
      </c>
      <c r="P5912" s="12" t="n"/>
      <c r="Q5912" s="12" t="n"/>
      <c r="R5912" s="12" t="n"/>
      <c r="S5912" s="12" t="inlineStr">
        <is>
          <t>Tray / conduit</t>
        </is>
      </c>
      <c r="T5912" s="15" t="n">
        <v>157</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K-I-0030</t>
        </is>
      </c>
      <c r="B5913" s="12" t="inlineStr">
        <is>
          <t>K</t>
        </is>
      </c>
      <c r="C5913" s="12" t="inlineStr">
        <is>
          <t>Fuel supply (adjacent market)</t>
        </is>
      </c>
      <c r="D5913" s="12" t="inlineStr">
        <is>
          <t>Home run JB-H2-EL-AI01 to the control / marshalling room</t>
        </is>
      </c>
      <c r="E5913" s="12" t="inlineStr"/>
      <c r="F5913" s="12" t="inlineStr">
        <is>
          <t>H2 20: 13.8 kV e-house</t>
        </is>
      </c>
      <c r="G5913" s="12" t="inlineStr">
        <is>
          <t>JB-H2-EL-AI01</t>
        </is>
      </c>
      <c r="H5913" s="12" t="inlineStr">
        <is>
          <t>H2 22: electrolyzer building (5 x HyLYZER-1000 + 5 rectifiers)</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346</v>
      </c>
      <c r="U5913" s="15" t="n">
        <v>32</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K-I-0031</t>
        </is>
      </c>
      <c r="B5914" s="12" t="inlineStr">
        <is>
          <t>K</t>
        </is>
      </c>
      <c r="C5914" s="12" t="inlineStr">
        <is>
          <t>Fuel supply (adjacent market)</t>
        </is>
      </c>
      <c r="D5914" s="12" t="inlineStr">
        <is>
          <t>Discrete device to JB JB-H2-EL-DI01: 12 x 1 pr (field cables)</t>
        </is>
      </c>
      <c r="E5914" s="12" t="inlineStr">
        <is>
          <t>H2-EL</t>
        </is>
      </c>
      <c r="F5914" s="12" t="inlineStr">
        <is>
          <t>H2 22: electrolyzer building (5 x HyLYZER-1000 + 5 rectifiers)</t>
        </is>
      </c>
      <c r="G5914" s="12" t="inlineStr">
        <is>
          <t>JB-H2-EL-DI01</t>
        </is>
      </c>
      <c r="H5914" s="12" t="inlineStr">
        <is>
          <t>H2 22: electrolyzer building (5 x HyLYZER-1000 + 5 rectifiers)</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12</v>
      </c>
      <c r="O5914" s="12" t="n">
        <v>1</v>
      </c>
      <c r="P5914" s="12" t="n"/>
      <c r="Q5914" s="12" t="n"/>
      <c r="R5914" s="12" t="n"/>
      <c r="S5914" s="12" t="inlineStr">
        <is>
          <t>Tray / conduit</t>
        </is>
      </c>
      <c r="T5914" s="15" t="n">
        <v>157</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K-I-0032</t>
        </is>
      </c>
      <c r="B5915" s="12" t="inlineStr">
        <is>
          <t>K</t>
        </is>
      </c>
      <c r="C5915" s="12" t="inlineStr">
        <is>
          <t>Fuel supply (adjacent market)</t>
        </is>
      </c>
      <c r="D5915" s="12" t="inlineStr">
        <is>
          <t>Home run JB-H2-EL-DI01 to the control / marshalling room</t>
        </is>
      </c>
      <c r="E5915" s="12" t="inlineStr"/>
      <c r="F5915" s="12" t="inlineStr">
        <is>
          <t>H2 20: 13.8 kV e-house</t>
        </is>
      </c>
      <c r="G5915" s="12" t="inlineStr">
        <is>
          <t>JB-H2-EL-DI01</t>
        </is>
      </c>
      <c r="H5915" s="12" t="inlineStr">
        <is>
          <t>H2 22: electrolyzer building (5 x HyLYZER-1000 + 5 rectifiers)</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346</v>
      </c>
      <c r="U5915" s="15" t="n">
        <v>32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K-I-0033</t>
        </is>
      </c>
      <c r="B5916" s="12" t="inlineStr">
        <is>
          <t>K</t>
        </is>
      </c>
      <c r="C5916" s="12" t="inlineStr">
        <is>
          <t>Fuel supply (adjacent market)</t>
        </is>
      </c>
      <c r="D5916" s="12" t="inlineStr">
        <is>
          <t>Analog instrument to JB JB-H2 23: dry coolers-AI01: 12 x 1 pr (field cables)</t>
        </is>
      </c>
      <c r="E5916" s="12" t="inlineStr"/>
      <c r="F5916" s="12" t="inlineStr">
        <is>
          <t>H2 23: dry coolers</t>
        </is>
      </c>
      <c r="G5916" s="12" t="inlineStr">
        <is>
          <t>JB-H2 23: dry coolers-AI01</t>
        </is>
      </c>
      <c r="H5916" s="12" t="inlineStr">
        <is>
          <t>H2 23: dry coolers</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5" t="n">
        <v>111</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K-I-0034</t>
        </is>
      </c>
      <c r="B5917" s="12" t="inlineStr">
        <is>
          <t>K</t>
        </is>
      </c>
      <c r="C5917" s="12" t="inlineStr">
        <is>
          <t>Fuel supply (adjacent market)</t>
        </is>
      </c>
      <c r="D5917" s="12" t="inlineStr">
        <is>
          <t>Home run JB-H2 23: dry coolers-AI01 to the control / marshalling room</t>
        </is>
      </c>
      <c r="E5917" s="12" t="inlineStr"/>
      <c r="F5917" s="12" t="inlineStr">
        <is>
          <t>H2 20: 13.8 kV e-house</t>
        </is>
      </c>
      <c r="G5917" s="12" t="inlineStr">
        <is>
          <t>JB-H2 23: dry coolers-AI01</t>
        </is>
      </c>
      <c r="H5917" s="12" t="inlineStr">
        <is>
          <t>H2 23: dry coolers</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100</v>
      </c>
      <c r="U5917" s="15" t="n">
        <v>32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K-I-0035</t>
        </is>
      </c>
      <c r="B5918" s="12" t="inlineStr">
        <is>
          <t>K</t>
        </is>
      </c>
      <c r="C5918" s="12" t="inlineStr">
        <is>
          <t>Fuel supply (adjacent market)</t>
        </is>
      </c>
      <c r="D5918" s="12" t="inlineStr">
        <is>
          <t>Discrete device to JB JB-H2 23: dry coolers-DI01: 12 x 1 pr (field cables)</t>
        </is>
      </c>
      <c r="E5918" s="12" t="inlineStr"/>
      <c r="F5918" s="12" t="inlineStr">
        <is>
          <t>H2 23: dry coolers</t>
        </is>
      </c>
      <c r="G5918" s="12" t="inlineStr">
        <is>
          <t>JB-H2 23: dry coolers-DI01</t>
        </is>
      </c>
      <c r="H5918" s="12" t="inlineStr">
        <is>
          <t>H2 23: dry coolers</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5" t="n">
        <v>111</v>
      </c>
      <c r="U5918" s="15" t="n">
        <v>10</v>
      </c>
      <c r="V5918" s="15">
        <f>ROUNDUP((T5918+U5918+2*'Read Me'!$B$13)*(1+'Read Me'!$B$12),-1)</f>
        <v/>
      </c>
      <c r="W5918" s="15">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K-I-0036</t>
        </is>
      </c>
      <c r="B5919" s="12" t="inlineStr">
        <is>
          <t>K</t>
        </is>
      </c>
      <c r="C5919" s="12" t="inlineStr">
        <is>
          <t>Fuel supply (adjacent market)</t>
        </is>
      </c>
      <c r="D5919" s="12" t="inlineStr">
        <is>
          <t>Home run JB-H2 23: dry coolers-DI01 to the control / marshalling room</t>
        </is>
      </c>
      <c r="E5919" s="12" t="inlineStr"/>
      <c r="F5919" s="12" t="inlineStr">
        <is>
          <t>H2 20: 13.8 kV e-house</t>
        </is>
      </c>
      <c r="G5919" s="12" t="inlineStr">
        <is>
          <t>JB-H2 23: dry coolers-DI01</t>
        </is>
      </c>
      <c r="H5919" s="12" t="inlineStr">
        <is>
          <t>H2 23: dry coolers</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5" t="n">
        <v>100</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K-I-0037</t>
        </is>
      </c>
      <c r="B5920" s="12" t="inlineStr">
        <is>
          <t>K</t>
        </is>
      </c>
      <c r="C5920" s="12" t="inlineStr">
        <is>
          <t>Fuel supply (adjacent market)</t>
        </is>
      </c>
      <c r="D5920" s="12" t="inlineStr">
        <is>
          <t>Analog instrument to JB JB-H2 24: water purif-AI01: 12 x 1 pr (field cables)</t>
        </is>
      </c>
      <c r="E5920" s="12" t="inlineStr"/>
      <c r="F5920" s="12" t="inlineStr">
        <is>
          <t>H2 24: water purification (RO / EDI)</t>
        </is>
      </c>
      <c r="G5920" s="12" t="inlineStr">
        <is>
          <t>JB-H2 24: water purif-AI01</t>
        </is>
      </c>
      <c r="H5920" s="12" t="inlineStr">
        <is>
          <t>H2 24: water purification (RO / EDI)</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5" t="n">
        <v>60</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K-I-0038</t>
        </is>
      </c>
      <c r="B5921" s="12" t="inlineStr">
        <is>
          <t>K</t>
        </is>
      </c>
      <c r="C5921" s="12" t="inlineStr">
        <is>
          <t>Fuel supply (adjacent market)</t>
        </is>
      </c>
      <c r="D5921" s="12" t="inlineStr">
        <is>
          <t>Home run JB-H2 24: water purif-AI01 to the control / marshalling room</t>
        </is>
      </c>
      <c r="E5921" s="12" t="inlineStr"/>
      <c r="F5921" s="12" t="inlineStr">
        <is>
          <t>H2 20: 13.8 kV e-house</t>
        </is>
      </c>
      <c r="G5921" s="12" t="inlineStr">
        <is>
          <t>JB-H2 24: water purif-AI01</t>
        </is>
      </c>
      <c r="H5921" s="12" t="inlineStr">
        <is>
          <t>H2 24: water purification (RO / EDI)</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146</v>
      </c>
      <c r="U5921" s="15" t="n">
        <v>32</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K-I-0039</t>
        </is>
      </c>
      <c r="B5922" s="12" t="inlineStr">
        <is>
          <t>K</t>
        </is>
      </c>
      <c r="C5922" s="12" t="inlineStr">
        <is>
          <t>Fuel supply (adjacent market)</t>
        </is>
      </c>
      <c r="D5922" s="12" t="inlineStr">
        <is>
          <t>Discrete device to JB JB-H2 24: water purif-DI01: 12 x 1 pr (field cables)</t>
        </is>
      </c>
      <c r="E5922" s="12" t="inlineStr"/>
      <c r="F5922" s="12" t="inlineStr">
        <is>
          <t>H2 24: water purification (RO / EDI)</t>
        </is>
      </c>
      <c r="G5922" s="12" t="inlineStr">
        <is>
          <t>JB-H2 24: water purif-DI01</t>
        </is>
      </c>
      <c r="H5922" s="12" t="inlineStr">
        <is>
          <t>H2 24: water purification (RO / EDI)</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5" t="n">
        <v>60</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K-I-0040</t>
        </is>
      </c>
      <c r="B5923" s="12" t="inlineStr">
        <is>
          <t>K</t>
        </is>
      </c>
      <c r="C5923" s="12" t="inlineStr">
        <is>
          <t>Fuel supply (adjacent market)</t>
        </is>
      </c>
      <c r="D5923" s="12" t="inlineStr">
        <is>
          <t>Home run JB-H2 24: water purif-DI01 to the control / marshalling room</t>
        </is>
      </c>
      <c r="E5923" s="12" t="inlineStr"/>
      <c r="F5923" s="12" t="inlineStr">
        <is>
          <t>H2 20: 13.8 kV e-house</t>
        </is>
      </c>
      <c r="G5923" s="12" t="inlineStr">
        <is>
          <t>JB-H2 24: water purif-DI01</t>
        </is>
      </c>
      <c r="H5923" s="12" t="inlineStr">
        <is>
          <t>H2 24: water purification (RO / EDI)</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146</v>
      </c>
      <c r="U5923" s="15" t="n">
        <v>32</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K-I-0041</t>
        </is>
      </c>
      <c r="B5924" s="12" t="inlineStr">
        <is>
          <t>K</t>
        </is>
      </c>
      <c r="C5924" s="12" t="inlineStr">
        <is>
          <t>Fuel supply (adjacent market)</t>
        </is>
      </c>
      <c r="D5924" s="12" t="inlineStr">
        <is>
          <t>Analog instrument to JB JB-H2 25: H2 dryer / -AI01: 12 x 1 pr (field cables)</t>
        </is>
      </c>
      <c r="E5924" s="12" t="inlineStr"/>
      <c r="F5924" s="12" t="inlineStr">
        <is>
          <t>H2 25: H2 dryer / purification</t>
        </is>
      </c>
      <c r="G5924" s="12" t="inlineStr">
        <is>
          <t>JB-H2 25: H2 dryer / -AI01</t>
        </is>
      </c>
      <c r="H5924" s="12" t="inlineStr">
        <is>
          <t>H2 25: H2 dryer / purification</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5" t="n">
        <v>60</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K-I-0042</t>
        </is>
      </c>
      <c r="B5925" s="12" t="inlineStr">
        <is>
          <t>K</t>
        </is>
      </c>
      <c r="C5925" s="12" t="inlineStr">
        <is>
          <t>Fuel supply (adjacent market)</t>
        </is>
      </c>
      <c r="D5925" s="12" t="inlineStr">
        <is>
          <t>Home run JB-H2 25: H2 dryer / -AI01 to the control / marshalling room</t>
        </is>
      </c>
      <c r="E5925" s="12" t="inlineStr"/>
      <c r="F5925" s="12" t="inlineStr">
        <is>
          <t>H2 20: 13.8 kV e-house</t>
        </is>
      </c>
      <c r="G5925" s="12" t="inlineStr">
        <is>
          <t>JB-H2 25: H2 dryer / -AI01</t>
        </is>
      </c>
      <c r="H5925" s="12" t="inlineStr">
        <is>
          <t>H2 25: H2 dryer / purification</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0</v>
      </c>
      <c r="U5925" s="15" t="n">
        <v>49</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K-I-0043</t>
        </is>
      </c>
      <c r="B5926" s="12" t="inlineStr">
        <is>
          <t>K</t>
        </is>
      </c>
      <c r="C5926" s="12" t="inlineStr">
        <is>
          <t>Fuel supply (adjacent market)</t>
        </is>
      </c>
      <c r="D5926" s="12" t="inlineStr">
        <is>
          <t>Discrete device to JB JB-H2 25: H2 dryer / -DI01: 12 x 1 pr (field cables)</t>
        </is>
      </c>
      <c r="E5926" s="12" t="inlineStr"/>
      <c r="F5926" s="12" t="inlineStr">
        <is>
          <t>H2 25: H2 dryer / purification</t>
        </is>
      </c>
      <c r="G5926" s="12" t="inlineStr">
        <is>
          <t>JB-H2 25: H2 dryer / -DI01</t>
        </is>
      </c>
      <c r="H5926" s="12" t="inlineStr">
        <is>
          <t>H2 25: H2 dryer / purification</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5" t="n">
        <v>60</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K-I-0044</t>
        </is>
      </c>
      <c r="B5927" s="12" t="inlineStr">
        <is>
          <t>K</t>
        </is>
      </c>
      <c r="C5927" s="12" t="inlineStr">
        <is>
          <t>Fuel supply (adjacent market)</t>
        </is>
      </c>
      <c r="D5927" s="12" t="inlineStr">
        <is>
          <t>Home run JB-H2 25: H2 dryer / -DI01 to the control / marshalling room</t>
        </is>
      </c>
      <c r="E5927" s="12" t="inlineStr"/>
      <c r="F5927" s="12" t="inlineStr">
        <is>
          <t>H2 20: 13.8 kV e-house</t>
        </is>
      </c>
      <c r="G5927" s="12" t="inlineStr">
        <is>
          <t>JB-H2 25: H2 dryer / -DI01</t>
        </is>
      </c>
      <c r="H5927" s="12" t="inlineStr">
        <is>
          <t>H2 25: H2 dryer / purification</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0</v>
      </c>
      <c r="U5927" s="15" t="n">
        <v>49</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K-I-0045</t>
        </is>
      </c>
      <c r="B5928" s="12" t="inlineStr">
        <is>
          <t>K</t>
        </is>
      </c>
      <c r="C5928" s="12" t="inlineStr">
        <is>
          <t>Fuel supply (adjacent market)</t>
        </is>
      </c>
      <c r="D5928" s="12" t="inlineStr">
        <is>
          <t>Analog instrument to JB JB-H2 26: H2 compress-AI01: 12 x 1 pr (field cables)</t>
        </is>
      </c>
      <c r="E5928" s="12" t="inlineStr"/>
      <c r="F5928" s="12" t="inlineStr">
        <is>
          <t>H2 26: H2 compressor 1 (40 ft ISO)</t>
        </is>
      </c>
      <c r="G5928" s="12" t="inlineStr">
        <is>
          <t>JB-H2 26: H2 compress-AI01</t>
        </is>
      </c>
      <c r="H5928" s="12" t="inlineStr">
        <is>
          <t>H2 26: H2 compressor 1 (40 ft ISO)</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53</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K-I-0046</t>
        </is>
      </c>
      <c r="B5929" s="12" t="inlineStr">
        <is>
          <t>K</t>
        </is>
      </c>
      <c r="C5929" s="12" t="inlineStr">
        <is>
          <t>Fuel supply (adjacent market)</t>
        </is>
      </c>
      <c r="D5929" s="12" t="inlineStr">
        <is>
          <t>Home run JB-H2 26: H2 compress-AI01 to the control / marshalling room</t>
        </is>
      </c>
      <c r="E5929" s="12" t="inlineStr"/>
      <c r="F5929" s="12" t="inlineStr">
        <is>
          <t>H2 20: 13.8 kV e-house</t>
        </is>
      </c>
      <c r="G5929" s="12" t="inlineStr">
        <is>
          <t>JB-H2 26: H2 compress-AI01</t>
        </is>
      </c>
      <c r="H5929" s="12" t="inlineStr">
        <is>
          <t>H2 26: H2 compressor 1 (40 ft ISO)</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50</v>
      </c>
      <c r="U5929" s="15" t="n">
        <v>32</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K-I-0047</t>
        </is>
      </c>
      <c r="B5930" s="12" t="inlineStr">
        <is>
          <t>K</t>
        </is>
      </c>
      <c r="C5930" s="12" t="inlineStr">
        <is>
          <t>Fuel supply (adjacent market)</t>
        </is>
      </c>
      <c r="D5930" s="12" t="inlineStr">
        <is>
          <t>Discrete device to JB JB-H2 26: H2 compress-DI01: 12 x 1 pr (field cables)</t>
        </is>
      </c>
      <c r="E5930" s="12" t="inlineStr"/>
      <c r="F5930" s="12" t="inlineStr">
        <is>
          <t>H2 26: H2 compressor 1 (40 ft ISO)</t>
        </is>
      </c>
      <c r="G5930" s="12" t="inlineStr">
        <is>
          <t>JB-H2 26: H2 compress-DI01</t>
        </is>
      </c>
      <c r="H5930" s="12" t="inlineStr">
        <is>
          <t>H2 26: H2 compressor 1 (40 ft ISO)</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53</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K-I-0048</t>
        </is>
      </c>
      <c r="B5931" s="12" t="inlineStr">
        <is>
          <t>K</t>
        </is>
      </c>
      <c r="C5931" s="12" t="inlineStr">
        <is>
          <t>Fuel supply (adjacent market)</t>
        </is>
      </c>
      <c r="D5931" s="12" t="inlineStr">
        <is>
          <t>Home run JB-H2 26: H2 compress-DI01 to the control / marshalling room</t>
        </is>
      </c>
      <c r="E5931" s="12" t="inlineStr"/>
      <c r="F5931" s="12" t="inlineStr">
        <is>
          <t>H2 20: 13.8 kV e-house</t>
        </is>
      </c>
      <c r="G5931" s="12" t="inlineStr">
        <is>
          <t>JB-H2 26: H2 compress-DI01</t>
        </is>
      </c>
      <c r="H5931" s="12" t="inlineStr">
        <is>
          <t>H2 26: H2 compressor 1 (40 ft ISO)</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50</v>
      </c>
      <c r="U5931" s="15" t="n">
        <v>32</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K-I-0049</t>
        </is>
      </c>
      <c r="B5932" s="12" t="inlineStr">
        <is>
          <t>K</t>
        </is>
      </c>
      <c r="C5932" s="12" t="inlineStr">
        <is>
          <t>Fuel supply (adjacent market)</t>
        </is>
      </c>
      <c r="D5932" s="12" t="inlineStr">
        <is>
          <t>Analog instrument to JB JB-H2 26: H2 compress-AI01: 12 x 1 pr (field cables)</t>
        </is>
      </c>
      <c r="E5932" s="12" t="inlineStr"/>
      <c r="F5932" s="12" t="inlineStr">
        <is>
          <t>H2 26: H2 compressor 2 (40 ft ISO)</t>
        </is>
      </c>
      <c r="G5932" s="12" t="inlineStr">
        <is>
          <t>JB-H2 26: H2 compress-AI01</t>
        </is>
      </c>
      <c r="H5932" s="12" t="inlineStr">
        <is>
          <t>H2 26: H2 compressor 2 (40 ft ISO)</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5" t="n">
        <v>53</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K-I-0050</t>
        </is>
      </c>
      <c r="B5933" s="12" t="inlineStr">
        <is>
          <t>K</t>
        </is>
      </c>
      <c r="C5933" s="12" t="inlineStr">
        <is>
          <t>Fuel supply (adjacent market)</t>
        </is>
      </c>
      <c r="D5933" s="12" t="inlineStr">
        <is>
          <t>Home run JB-H2 26: H2 compress-AI01 to the control / marshalling room</t>
        </is>
      </c>
      <c r="E5933" s="12" t="inlineStr"/>
      <c r="F5933" s="12" t="inlineStr">
        <is>
          <t>H2 20: 13.8 kV e-house</t>
        </is>
      </c>
      <c r="G5933" s="12" t="inlineStr">
        <is>
          <t>JB-H2 26: H2 compress-AI01</t>
        </is>
      </c>
      <c r="H5933" s="12" t="inlineStr">
        <is>
          <t>H2 26: H2 compressor 2 (40 ft ISO)</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50</v>
      </c>
      <c r="U5933" s="15" t="n">
        <v>47</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K-I-0051</t>
        </is>
      </c>
      <c r="B5934" s="12" t="inlineStr">
        <is>
          <t>K</t>
        </is>
      </c>
      <c r="C5934" s="12" t="inlineStr">
        <is>
          <t>Fuel supply (adjacent market)</t>
        </is>
      </c>
      <c r="D5934" s="12" t="inlineStr">
        <is>
          <t>Discrete device to JB JB-H2 26: H2 compress-DI01: 12 x 1 pr (field cables)</t>
        </is>
      </c>
      <c r="E5934" s="12" t="inlineStr"/>
      <c r="F5934" s="12" t="inlineStr">
        <is>
          <t>H2 26: H2 compressor 2 (40 ft ISO)</t>
        </is>
      </c>
      <c r="G5934" s="12" t="inlineStr">
        <is>
          <t>JB-H2 26: H2 compress-DI01</t>
        </is>
      </c>
      <c r="H5934" s="12" t="inlineStr">
        <is>
          <t>H2 26: H2 compressor 2 (40 ft ISO)</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5" t="n">
        <v>53</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K-I-0052</t>
        </is>
      </c>
      <c r="B5935" s="12" t="inlineStr">
        <is>
          <t>K</t>
        </is>
      </c>
      <c r="C5935" s="12" t="inlineStr">
        <is>
          <t>Fuel supply (adjacent market)</t>
        </is>
      </c>
      <c r="D5935" s="12" t="inlineStr">
        <is>
          <t>Home run JB-H2 26: H2 compress-DI01 to the control / marshalling room</t>
        </is>
      </c>
      <c r="E5935" s="12" t="inlineStr"/>
      <c r="F5935" s="12" t="inlineStr">
        <is>
          <t>H2 20: 13.8 kV e-house</t>
        </is>
      </c>
      <c r="G5935" s="12" t="inlineStr">
        <is>
          <t>JB-H2 26: H2 compress-DI01</t>
        </is>
      </c>
      <c r="H5935" s="12" t="inlineStr">
        <is>
          <t>H2 26: H2 compressor 2 (40 ft ISO)</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50</v>
      </c>
      <c r="U5935" s="15" t="n">
        <v>47</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K-I-0053</t>
        </is>
      </c>
      <c r="B5936" s="12" t="inlineStr">
        <is>
          <t>K</t>
        </is>
      </c>
      <c r="C5936" s="12" t="inlineStr">
        <is>
          <t>Fuel supply (adjacent market)</t>
        </is>
      </c>
      <c r="D5936" s="12" t="inlineStr">
        <is>
          <t>Analog instrument to JB JB-H2 27: storage tub-AI01: 12 x 1 pr (field cables)</t>
        </is>
      </c>
      <c r="E5936" s="12" t="inlineStr"/>
      <c r="F5936" s="12" t="inlineStr">
        <is>
          <t>H2 27: storage tube bank (~40 ft tubes)</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5" t="n">
        <v>54</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K-I-0054</t>
        </is>
      </c>
      <c r="B5937" s="12" t="inlineStr">
        <is>
          <t>K</t>
        </is>
      </c>
      <c r="C5937" s="12" t="inlineStr">
        <is>
          <t>Fuel supply (adjacent market)</t>
        </is>
      </c>
      <c r="D5937" s="12" t="inlineStr">
        <is>
          <t>Home run JB-H2 27: storage tub-AI01 to the control / marshalling room</t>
        </is>
      </c>
      <c r="E5937" s="12" t="inlineStr"/>
      <c r="F5937" s="12" t="inlineStr">
        <is>
          <t>H2 20: 13.8 kV e-house</t>
        </is>
      </c>
      <c r="G5937" s="12" t="inlineStr">
        <is>
          <t>JB-H2 27: storage tub-AI01</t>
        </is>
      </c>
      <c r="H5937" s="12" t="inlineStr">
        <is>
          <t>H2 27: storage tube bank (~40 ft tubes)</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50</v>
      </c>
      <c r="U5937" s="15" t="n">
        <v>97</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K-I-0055</t>
        </is>
      </c>
      <c r="B5938" s="12" t="inlineStr">
        <is>
          <t>K</t>
        </is>
      </c>
      <c r="C5938" s="12" t="inlineStr">
        <is>
          <t>Fuel supply (adjacent market)</t>
        </is>
      </c>
      <c r="D5938" s="12" t="inlineStr">
        <is>
          <t>Discrete device to JB JB-H2 27: storage tub-DI01: 12 x 1 pr (field cables)</t>
        </is>
      </c>
      <c r="E5938" s="12" t="inlineStr"/>
      <c r="F5938" s="12" t="inlineStr">
        <is>
          <t>H2 27: storage tube bank (~40 ft tubes)</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5" t="n">
        <v>54</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K-I-0056</t>
        </is>
      </c>
      <c r="B5939" s="12" t="inlineStr">
        <is>
          <t>K</t>
        </is>
      </c>
      <c r="C5939" s="12" t="inlineStr">
        <is>
          <t>Fuel supply (adjacent market)</t>
        </is>
      </c>
      <c r="D5939" s="12" t="inlineStr">
        <is>
          <t>Home run JB-H2 27: storage tub-DI01 to the control / marshalling room</t>
        </is>
      </c>
      <c r="E5939" s="12" t="inlineStr"/>
      <c r="F5939" s="12" t="inlineStr">
        <is>
          <t>H2 20: 13.8 kV e-house</t>
        </is>
      </c>
      <c r="G5939" s="12" t="inlineStr">
        <is>
          <t>JB-H2 27: storage tub-DI01</t>
        </is>
      </c>
      <c r="H5939" s="12" t="inlineStr">
        <is>
          <t>H2 27: storage tube bank (~40 ft tubes)</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50</v>
      </c>
      <c r="U5939" s="15" t="n">
        <v>97</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K-I-0057</t>
        </is>
      </c>
      <c r="B5940" s="12" t="inlineStr">
        <is>
          <t>K</t>
        </is>
      </c>
      <c r="C5940" s="12" t="inlineStr">
        <is>
          <t>Fuel supply (adjacent market)</t>
        </is>
      </c>
      <c r="D5940" s="12" t="inlineStr">
        <is>
          <t>Analog instrument to JB JB-H2 27: storage tub-AI01: 12 x 1 pr (field cables)</t>
        </is>
      </c>
      <c r="E5940" s="12" t="inlineStr"/>
      <c r="F5940" s="12" t="inlineStr">
        <is>
          <t>H2 27: storage tube bank (~40 ft tubes)</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5" t="n">
        <v>54</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K-I-0058</t>
        </is>
      </c>
      <c r="B5941" s="12" t="inlineStr">
        <is>
          <t>K</t>
        </is>
      </c>
      <c r="C5941" s="12" t="inlineStr">
        <is>
          <t>Fuel supply (adjacent market)</t>
        </is>
      </c>
      <c r="D5941" s="12" t="inlineStr">
        <is>
          <t>Home run JB-H2 27: storage tub-AI01 to the control / marshalling room</t>
        </is>
      </c>
      <c r="E5941" s="12" t="inlineStr"/>
      <c r="F5941" s="12" t="inlineStr">
        <is>
          <t>H2 20: 13.8 kV e-house</t>
        </is>
      </c>
      <c r="G5941" s="12" t="inlineStr">
        <is>
          <t>JB-H2 27: storage tub-AI01</t>
        </is>
      </c>
      <c r="H5941" s="12" t="inlineStr">
        <is>
          <t>H2 27: storage tube bank (~40 ft tubes)</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50</v>
      </c>
      <c r="U5941" s="15" t="n">
        <v>117</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K-I-0059</t>
        </is>
      </c>
      <c r="B5942" s="12" t="inlineStr">
        <is>
          <t>K</t>
        </is>
      </c>
      <c r="C5942" s="12" t="inlineStr">
        <is>
          <t>Fuel supply (adjacent market)</t>
        </is>
      </c>
      <c r="D5942" s="12" t="inlineStr">
        <is>
          <t>Discrete device to JB JB-H2 27: storage tub-DI01: 12 x 1 pr (field cables)</t>
        </is>
      </c>
      <c r="E5942" s="12" t="inlineStr"/>
      <c r="F5942" s="12" t="inlineStr">
        <is>
          <t>H2 27: storage tube bank (~40 ft tubes)</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5" t="n">
        <v>54</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K-I-0060</t>
        </is>
      </c>
      <c r="B5943" s="12" t="inlineStr">
        <is>
          <t>K</t>
        </is>
      </c>
      <c r="C5943" s="12" t="inlineStr">
        <is>
          <t>Fuel supply (adjacent market)</t>
        </is>
      </c>
      <c r="D5943" s="12" t="inlineStr">
        <is>
          <t>Home run JB-H2 27: storage tub-DI01 to the control / marshalling room</t>
        </is>
      </c>
      <c r="E5943" s="12" t="inlineStr"/>
      <c r="F5943" s="12" t="inlineStr">
        <is>
          <t>H2 20: 13.8 kV e-house</t>
        </is>
      </c>
      <c r="G5943" s="12" t="inlineStr">
        <is>
          <t>JB-H2 27: storage tub-DI01</t>
        </is>
      </c>
      <c r="H5943" s="12" t="inlineStr">
        <is>
          <t>H2 27: storage tube bank (~40 ft tubes)</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50</v>
      </c>
      <c r="U5943" s="15" t="n">
        <v>117</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K-I-0061</t>
        </is>
      </c>
      <c r="B5944" s="12" t="inlineStr">
        <is>
          <t>K</t>
        </is>
      </c>
      <c r="C5944" s="12" t="inlineStr">
        <is>
          <t>Fuel supply (adjacent market)</t>
        </is>
      </c>
      <c r="D5944" s="12" t="inlineStr">
        <is>
          <t>Analog instrument to JB JB-H2 27: storage tub-AI01: 12 x 1 pr (field cables)</t>
        </is>
      </c>
      <c r="E5944" s="12" t="inlineStr"/>
      <c r="F5944" s="12" t="inlineStr">
        <is>
          <t>H2 27: storage tube bank (~40 ft tubes)</t>
        </is>
      </c>
      <c r="G5944" s="12" t="inlineStr">
        <is>
          <t>JB-H2 27: storage tub-AI01</t>
        </is>
      </c>
      <c r="H5944" s="12" t="inlineStr">
        <is>
          <t>H2 27: storage tube bank (~40 ft tubes)</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5" t="n">
        <v>54</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K-I-0062</t>
        </is>
      </c>
      <c r="B5945" s="12" t="inlineStr">
        <is>
          <t>K</t>
        </is>
      </c>
      <c r="C5945" s="12" t="inlineStr">
        <is>
          <t>Fuel supply (adjacent market)</t>
        </is>
      </c>
      <c r="D5945" s="12" t="inlineStr">
        <is>
          <t>Home run JB-H2 27: storage tub-AI01 to the control / marshalling room</t>
        </is>
      </c>
      <c r="E5945" s="12" t="inlineStr"/>
      <c r="F5945" s="12" t="inlineStr">
        <is>
          <t>H2 20: 13.8 kV e-house</t>
        </is>
      </c>
      <c r="G5945" s="12" t="inlineStr">
        <is>
          <t>JB-H2 27: storage tub-AI01</t>
        </is>
      </c>
      <c r="H5945" s="12" t="inlineStr">
        <is>
          <t>H2 27: storage tube bank (~40 ft tubes)</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50</v>
      </c>
      <c r="U5945" s="15" t="n">
        <v>97</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K-I-0063</t>
        </is>
      </c>
      <c r="B5946" s="12" t="inlineStr">
        <is>
          <t>K</t>
        </is>
      </c>
      <c r="C5946" s="12" t="inlineStr">
        <is>
          <t>Fuel supply (adjacent market)</t>
        </is>
      </c>
      <c r="D5946" s="12" t="inlineStr">
        <is>
          <t>Discrete device to JB JB-H2 27: storage tub-DI01: 12 x 1 pr (field cables)</t>
        </is>
      </c>
      <c r="E5946" s="12" t="inlineStr"/>
      <c r="F5946" s="12" t="inlineStr">
        <is>
          <t>H2 27: storage tube bank (~40 ft tubes)</t>
        </is>
      </c>
      <c r="G5946" s="12" t="inlineStr">
        <is>
          <t>JB-H2 27: storage tub-DI01</t>
        </is>
      </c>
      <c r="H5946" s="12" t="inlineStr">
        <is>
          <t>H2 27: storage tube bank (~40 ft tubes)</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12</v>
      </c>
      <c r="O5946" s="12" t="n">
        <v>1</v>
      </c>
      <c r="P5946" s="12" t="n"/>
      <c r="Q5946" s="12" t="n"/>
      <c r="R5946" s="12" t="n"/>
      <c r="S5946" s="12" t="inlineStr">
        <is>
          <t>Tray / conduit</t>
        </is>
      </c>
      <c r="T5946" s="15" t="n">
        <v>54</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K-I-0064</t>
        </is>
      </c>
      <c r="B5947" s="12" t="inlineStr">
        <is>
          <t>K</t>
        </is>
      </c>
      <c r="C5947" s="12" t="inlineStr">
        <is>
          <t>Fuel supply (adjacent market)</t>
        </is>
      </c>
      <c r="D5947" s="12" t="inlineStr">
        <is>
          <t>Home run JB-H2 27: storage tub-DI01 to the control / marshalling room</t>
        </is>
      </c>
      <c r="E5947" s="12" t="inlineStr"/>
      <c r="F5947" s="12" t="inlineStr">
        <is>
          <t>H2 20: 13.8 kV e-house</t>
        </is>
      </c>
      <c r="G5947" s="12" t="inlineStr">
        <is>
          <t>JB-H2 27: storage tub-DI01</t>
        </is>
      </c>
      <c r="H5947" s="12" t="inlineStr">
        <is>
          <t>H2 27: storage tube bank (~40 ft tubes)</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50</v>
      </c>
      <c r="U5947" s="15" t="n">
        <v>97</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K-I-0065</t>
        </is>
      </c>
      <c r="B5948" s="12" t="inlineStr">
        <is>
          <t>K</t>
        </is>
      </c>
      <c r="C5948" s="12" t="inlineStr">
        <is>
          <t>Fuel supply (adjacent market)</t>
        </is>
      </c>
      <c r="D5948" s="12" t="inlineStr">
        <is>
          <t>Analog instrument to JB JB-H2 27: storage tub-AI01: 12 x 1 pr (field cables)</t>
        </is>
      </c>
      <c r="E5948" s="12" t="inlineStr"/>
      <c r="F5948" s="12" t="inlineStr">
        <is>
          <t>H2 27: storage tube bank (~40 ft tubes)</t>
        </is>
      </c>
      <c r="G5948" s="12" t="inlineStr">
        <is>
          <t>JB-H2 27: storage tub-AI01</t>
        </is>
      </c>
      <c r="H5948" s="12" t="inlineStr">
        <is>
          <t>H2 27: storage tube bank (~40 ft tubes)</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12</v>
      </c>
      <c r="O5948" s="12" t="n">
        <v>1</v>
      </c>
      <c r="P5948" s="12" t="n"/>
      <c r="Q5948" s="12" t="n"/>
      <c r="R5948" s="12" t="n"/>
      <c r="S5948" s="12" t="inlineStr">
        <is>
          <t>Tray / conduit</t>
        </is>
      </c>
      <c r="T5948" s="15" t="n">
        <v>54</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K-I-0066</t>
        </is>
      </c>
      <c r="B5949" s="12" t="inlineStr">
        <is>
          <t>K</t>
        </is>
      </c>
      <c r="C5949" s="12" t="inlineStr">
        <is>
          <t>Fuel supply (adjacent market)</t>
        </is>
      </c>
      <c r="D5949" s="12" t="inlineStr">
        <is>
          <t>Home run JB-H2 27: storage tub-AI01 to the control / marshalling room</t>
        </is>
      </c>
      <c r="E5949" s="12" t="inlineStr"/>
      <c r="F5949" s="12" t="inlineStr">
        <is>
          <t>H2 20: 13.8 kV e-house</t>
        </is>
      </c>
      <c r="G5949" s="12" t="inlineStr">
        <is>
          <t>JB-H2 27: storage tub-AI01</t>
        </is>
      </c>
      <c r="H5949" s="12" t="inlineStr">
        <is>
          <t>H2 27: storage tube bank (~40 ft tubes)</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5" t="n">
        <v>50</v>
      </c>
      <c r="U5949" s="15" t="n">
        <v>117</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K-I-0067</t>
        </is>
      </c>
      <c r="B5950" s="12" t="inlineStr">
        <is>
          <t>K</t>
        </is>
      </c>
      <c r="C5950" s="12" t="inlineStr">
        <is>
          <t>Fuel supply (adjacent market)</t>
        </is>
      </c>
      <c r="D5950" s="12" t="inlineStr">
        <is>
          <t>Discrete device to JB JB-H2 27: storage tub-DI01: 12 x 1 pr (field cables)</t>
        </is>
      </c>
      <c r="E5950" s="12" t="inlineStr"/>
      <c r="F5950" s="12" t="inlineStr">
        <is>
          <t>H2 27: storage tube bank (~40 ft tubes)</t>
        </is>
      </c>
      <c r="G5950" s="12" t="inlineStr">
        <is>
          <t>JB-H2 27: storage tub-DI01</t>
        </is>
      </c>
      <c r="H5950" s="12" t="inlineStr">
        <is>
          <t>H2 27: storage tube bank (~40 ft tubes)</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12</v>
      </c>
      <c r="O5950" s="12" t="n">
        <v>1</v>
      </c>
      <c r="P5950" s="12" t="n"/>
      <c r="Q5950" s="12" t="n"/>
      <c r="R5950" s="12" t="n"/>
      <c r="S5950" s="12" t="inlineStr">
        <is>
          <t>Tray / conduit</t>
        </is>
      </c>
      <c r="T5950" s="15" t="n">
        <v>54</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K-I-0068</t>
        </is>
      </c>
      <c r="B5951" s="12" t="inlineStr">
        <is>
          <t>K</t>
        </is>
      </c>
      <c r="C5951" s="12" t="inlineStr">
        <is>
          <t>Fuel supply (adjacent market)</t>
        </is>
      </c>
      <c r="D5951" s="12" t="inlineStr">
        <is>
          <t>Home run JB-H2 27: storage tub-DI01 to the control / marshalling room</t>
        </is>
      </c>
      <c r="E5951" s="12" t="inlineStr"/>
      <c r="F5951" s="12" t="inlineStr">
        <is>
          <t>H2 20: 13.8 kV e-house</t>
        </is>
      </c>
      <c r="G5951" s="12" t="inlineStr">
        <is>
          <t>JB-H2 27: storage tub-DI01</t>
        </is>
      </c>
      <c r="H5951" s="12" t="inlineStr">
        <is>
          <t>H2 27: storage tube bank (~40 ft tubes)</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5" t="n">
        <v>50</v>
      </c>
      <c r="U5951" s="15" t="n">
        <v>117</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K-I-0069</t>
        </is>
      </c>
      <c r="B5952" s="12" t="inlineStr">
        <is>
          <t>K</t>
        </is>
      </c>
      <c r="C5952" s="12" t="inlineStr">
        <is>
          <t>Fuel supply (adjacent market)</t>
        </is>
      </c>
      <c r="D5952" s="12" t="inlineStr">
        <is>
          <t>Analog instrument to JB JB-H2 28: N2 purge su-AI01: 12 x 1 pr (field cables)</t>
        </is>
      </c>
      <c r="E5952" s="12" t="inlineStr"/>
      <c r="F5952" s="12" t="inlineStr">
        <is>
          <t>H2 28: N2 purge supply</t>
        </is>
      </c>
      <c r="G5952" s="12" t="inlineStr">
        <is>
          <t>JB-H2 28: N2 purge su-AI01</t>
        </is>
      </c>
      <c r="H5952" s="12" t="inlineStr">
        <is>
          <t>H2 28: N2 purge supply</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5" t="n">
        <v>56</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K-I-0070</t>
        </is>
      </c>
      <c r="B5953" s="12" t="inlineStr">
        <is>
          <t>K</t>
        </is>
      </c>
      <c r="C5953" s="12" t="inlineStr">
        <is>
          <t>Fuel supply (adjacent market)</t>
        </is>
      </c>
      <c r="D5953" s="12" t="inlineStr">
        <is>
          <t>Home run JB-H2 28: N2 purge su-AI01 to the control / marshalling room</t>
        </is>
      </c>
      <c r="E5953" s="12" t="inlineStr"/>
      <c r="F5953" s="12" t="inlineStr">
        <is>
          <t>H2 20: 13.8 kV e-house</t>
        </is>
      </c>
      <c r="G5953" s="12" t="inlineStr">
        <is>
          <t>JB-H2 28: N2 purge su-AI01</t>
        </is>
      </c>
      <c r="H5953" s="12" t="inlineStr">
        <is>
          <t>H2 28: N2 purge supply</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53</v>
      </c>
      <c r="U5953" s="15" t="n">
        <v>36</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K-I-0071</t>
        </is>
      </c>
      <c r="B5954" s="12" t="inlineStr">
        <is>
          <t>K</t>
        </is>
      </c>
      <c r="C5954" s="12" t="inlineStr">
        <is>
          <t>Fuel supply (adjacent market)</t>
        </is>
      </c>
      <c r="D5954" s="12" t="inlineStr">
        <is>
          <t>Discrete device to JB JB-H2 28: N2 purge su-DI01: 12 x 1 pr (field cables)</t>
        </is>
      </c>
      <c r="E5954" s="12" t="inlineStr"/>
      <c r="F5954" s="12" t="inlineStr">
        <is>
          <t>H2 28: N2 purge supply</t>
        </is>
      </c>
      <c r="G5954" s="12" t="inlineStr">
        <is>
          <t>JB-H2 28: N2 purge su-DI01</t>
        </is>
      </c>
      <c r="H5954" s="12" t="inlineStr">
        <is>
          <t>H2 28: N2 purge supply</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12</v>
      </c>
      <c r="O5954" s="12" t="n">
        <v>1</v>
      </c>
      <c r="P5954" s="12" t="n"/>
      <c r="Q5954" s="12" t="n"/>
      <c r="R5954" s="12" t="n"/>
      <c r="S5954" s="12" t="inlineStr">
        <is>
          <t>Tray / conduit</t>
        </is>
      </c>
      <c r="T5954" s="15" t="n">
        <v>56</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K-I-0072</t>
        </is>
      </c>
      <c r="B5955" s="12" t="inlineStr">
        <is>
          <t>K</t>
        </is>
      </c>
      <c r="C5955" s="12" t="inlineStr">
        <is>
          <t>Fuel supply (adjacent market)</t>
        </is>
      </c>
      <c r="D5955" s="12" t="inlineStr">
        <is>
          <t>Home run JB-H2 28: N2 purge su-DI01 to the control / marshalling room</t>
        </is>
      </c>
      <c r="E5955" s="12" t="inlineStr"/>
      <c r="F5955" s="12" t="inlineStr">
        <is>
          <t>H2 20: 13.8 kV e-house</t>
        </is>
      </c>
      <c r="G5955" s="12" t="inlineStr">
        <is>
          <t>JB-H2 28: N2 purge su-DI01</t>
        </is>
      </c>
      <c r="H5955" s="12" t="inlineStr">
        <is>
          <t>H2 28: N2 purge supply</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53</v>
      </c>
      <c r="U5955" s="15" t="n">
        <v>36</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K-I-0073</t>
        </is>
      </c>
      <c r="B5956" s="12" t="inlineStr">
        <is>
          <t>K</t>
        </is>
      </c>
      <c r="C5956" s="12" t="inlineStr">
        <is>
          <t>Fuel supply (adjacent market)</t>
        </is>
      </c>
      <c r="D5956" s="12" t="inlineStr">
        <is>
          <t>Analog instrument to JB JB-H2 29: vent stack-AI01: 12 x 1 pr (field cables)</t>
        </is>
      </c>
      <c r="E5956" s="12" t="inlineStr"/>
      <c r="F5956" s="12" t="inlineStr">
        <is>
          <t>H2 29: vent stack</t>
        </is>
      </c>
      <c r="G5956" s="12" t="inlineStr">
        <is>
          <t>JB-H2 29: vent stack-AI01</t>
        </is>
      </c>
      <c r="H5956" s="12" t="inlineStr">
        <is>
          <t>H2 29: vent stack</t>
        </is>
      </c>
      <c r="I5956" s="12" t="inlineStr">
        <is>
          <t>Instrumentation</t>
        </is>
      </c>
      <c r="J5956" s="12" t="inlineStr">
        <is>
          <t>Instrumentation ITC / PLTC, IS, #18 shielded pairs, blue jacket</t>
        </is>
      </c>
      <c r="K5956" s="12" t="inlineStr">
        <is>
          <t>ITC|1 pr|16</t>
        </is>
      </c>
      <c r="L5956" s="12" t="inlineStr">
        <is>
          <t>1 pr</t>
        </is>
      </c>
      <c r="M5956" s="12" t="inlineStr">
        <is>
          <t>16</t>
        </is>
      </c>
      <c r="N5956" s="12" t="n">
        <v>12</v>
      </c>
      <c r="O5956" s="12" t="n">
        <v>1</v>
      </c>
      <c r="P5956" s="12" t="n"/>
      <c r="Q5956" s="12" t="n"/>
      <c r="R5956" s="12" t="n"/>
      <c r="S5956" s="12" t="inlineStr">
        <is>
          <t>Tray / conduit</t>
        </is>
      </c>
      <c r="T5956" s="15" t="n">
        <v>45</v>
      </c>
      <c r="U5956" s="15" t="n">
        <v>10</v>
      </c>
      <c r="V5956" s="15">
        <f>ROUNDUP((T5956+U5956+2*'Read Me'!$B$13)*(1+'Read Me'!$B$12),-1)</f>
        <v/>
      </c>
      <c r="W5956" s="15">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K-I-0074</t>
        </is>
      </c>
      <c r="B5957" s="12" t="inlineStr">
        <is>
          <t>K</t>
        </is>
      </c>
      <c r="C5957" s="12" t="inlineStr">
        <is>
          <t>Fuel supply (adjacent market)</t>
        </is>
      </c>
      <c r="D5957" s="12" t="inlineStr">
        <is>
          <t>Home run JB-H2 29: vent stack-AI01 to the control / marshalling room</t>
        </is>
      </c>
      <c r="E5957" s="12" t="inlineStr"/>
      <c r="F5957" s="12" t="inlineStr">
        <is>
          <t>H2 20: 13.8 kV e-house</t>
        </is>
      </c>
      <c r="G5957" s="12" t="inlineStr">
        <is>
          <t>JB-H2 29: vent stack-AI01</t>
        </is>
      </c>
      <c r="H5957" s="12" t="inlineStr">
        <is>
          <t>H2 29: vent stack</t>
        </is>
      </c>
      <c r="I5957" s="12" t="inlineStr">
        <is>
          <t>Instrumentation</t>
        </is>
      </c>
      <c r="J5957" s="12" t="inlineStr">
        <is>
          <t>Instrumentation ITC / PLTC, IS, #18 shielded pairs, blue jacket</t>
        </is>
      </c>
      <c r="K5957" s="12" t="inlineStr">
        <is>
          <t>ITC|24 pr|18</t>
        </is>
      </c>
      <c r="L5957" s="12" t="inlineStr">
        <is>
          <t>24 pr</t>
        </is>
      </c>
      <c r="M5957" s="12" t="inlineStr">
        <is>
          <t>18</t>
        </is>
      </c>
      <c r="N5957" s="12" t="n">
        <v>1</v>
      </c>
      <c r="O5957" s="12" t="n">
        <v>1</v>
      </c>
      <c r="P5957" s="12" t="n"/>
      <c r="Q5957" s="12" t="n"/>
      <c r="R5957" s="12" t="n"/>
      <c r="S5957" s="12" t="inlineStr">
        <is>
          <t>Duct bank</t>
        </is>
      </c>
      <c r="T5957" s="15" t="n">
        <v>55</v>
      </c>
      <c r="U5957" s="15" t="n">
        <v>205</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K-I-0075</t>
        </is>
      </c>
      <c r="B5958" s="12" t="inlineStr">
        <is>
          <t>K</t>
        </is>
      </c>
      <c r="C5958" s="12" t="inlineStr">
        <is>
          <t>Fuel supply (adjacent market)</t>
        </is>
      </c>
      <c r="D5958" s="12" t="inlineStr">
        <is>
          <t>Discrete device to JB JB-H2 29: vent stack-DI01: 12 x 1 pr (field cables)</t>
        </is>
      </c>
      <c r="E5958" s="12" t="inlineStr"/>
      <c r="F5958" s="12" t="inlineStr">
        <is>
          <t>H2 29: vent stack</t>
        </is>
      </c>
      <c r="G5958" s="12" t="inlineStr">
        <is>
          <t>JB-H2 29: vent stack-DI01</t>
        </is>
      </c>
      <c r="H5958" s="12" t="inlineStr">
        <is>
          <t>H2 29: vent stack</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12</v>
      </c>
      <c r="O5958" s="12" t="n">
        <v>1</v>
      </c>
      <c r="P5958" s="12" t="n"/>
      <c r="Q5958" s="12" t="n"/>
      <c r="R5958" s="12" t="n"/>
      <c r="S5958" s="12" t="inlineStr">
        <is>
          <t>Tray / conduit</t>
        </is>
      </c>
      <c r="T5958" s="15" t="n">
        <v>45</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K-I-0076</t>
        </is>
      </c>
      <c r="B5959" s="12" t="inlineStr">
        <is>
          <t>K</t>
        </is>
      </c>
      <c r="C5959" s="12" t="inlineStr">
        <is>
          <t>Fuel supply (adjacent market)</t>
        </is>
      </c>
      <c r="D5959" s="12" t="inlineStr">
        <is>
          <t>Home run JB-H2 29: vent stack-DI01 to the control / marshalling room</t>
        </is>
      </c>
      <c r="E5959" s="12" t="inlineStr"/>
      <c r="F5959" s="12" t="inlineStr">
        <is>
          <t>H2 20: 13.8 kV e-house</t>
        </is>
      </c>
      <c r="G5959" s="12" t="inlineStr">
        <is>
          <t>JB-H2 29: vent stack-DI01</t>
        </is>
      </c>
      <c r="H5959" s="12" t="inlineStr">
        <is>
          <t>H2 29: vent stack</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55</v>
      </c>
      <c r="U5959" s="15" t="n">
        <v>205</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K-I-0077</t>
        </is>
      </c>
      <c r="B5960" s="12" t="inlineStr">
        <is>
          <t>K</t>
        </is>
      </c>
      <c r="C5960" s="12" t="inlineStr">
        <is>
          <t>Fuel supply (adjacent market)</t>
        </is>
      </c>
      <c r="D5960" s="12" t="inlineStr">
        <is>
          <t>Analog instrument to JB JB-H2 30: H2 / gas bl-AI01: 12 x 1 pr (field cables)</t>
        </is>
      </c>
      <c r="E5960" s="12" t="inlineStr"/>
      <c r="F5960" s="12" t="inlineStr">
        <is>
          <t>H2 30: H2 / gas blending station (plant gas yard)</t>
        </is>
      </c>
      <c r="G5960" s="12" t="inlineStr">
        <is>
          <t>JB-H2 30: H2 / gas bl-AI01</t>
        </is>
      </c>
      <c r="H5960" s="12" t="inlineStr">
        <is>
          <t>H2 30: H2 / gas blending station (plant gas yard)</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12</v>
      </c>
      <c r="O5960" s="12" t="n">
        <v>1</v>
      </c>
      <c r="P5960" s="12" t="n"/>
      <c r="Q5960" s="12" t="n"/>
      <c r="R5960" s="12" t="n"/>
      <c r="S5960" s="12" t="inlineStr">
        <is>
          <t>Tray / conduit</t>
        </is>
      </c>
      <c r="T5960" s="15" t="n">
        <v>129</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K-I-0078</t>
        </is>
      </c>
      <c r="B5961" s="12" t="inlineStr">
        <is>
          <t>K</t>
        </is>
      </c>
      <c r="C5961" s="12" t="inlineStr">
        <is>
          <t>Fuel supply (adjacent market)</t>
        </is>
      </c>
      <c r="D5961" s="12" t="inlineStr">
        <is>
          <t>Home run JB-H2 30: H2 / gas bl-AI01 to the control / marshalling room</t>
        </is>
      </c>
      <c r="E5961" s="12" t="inlineStr"/>
      <c r="F5961" s="12" t="inlineStr">
        <is>
          <t>LNG 17: LNG e-house (13.8 kV / 480 V)</t>
        </is>
      </c>
      <c r="G5961" s="12" t="inlineStr">
        <is>
          <t>JB-H2 30: H2 / gas bl-AI01</t>
        </is>
      </c>
      <c r="H5961" s="12" t="inlineStr">
        <is>
          <t>H2 30: H2 / gas blending station (plant gas yard)</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994</v>
      </c>
      <c r="U5961" s="15" t="n">
        <v>114</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K-I-0079</t>
        </is>
      </c>
      <c r="B5962" s="12" t="inlineStr">
        <is>
          <t>K</t>
        </is>
      </c>
      <c r="C5962" s="12" t="inlineStr">
        <is>
          <t>Fuel supply (adjacent market)</t>
        </is>
      </c>
      <c r="D5962" s="12" t="inlineStr">
        <is>
          <t>Discrete device to JB JB-H2 30: H2 / gas bl-DI01: 12 x 1 pr (field cables)</t>
        </is>
      </c>
      <c r="E5962" s="12" t="inlineStr"/>
      <c r="F5962" s="12" t="inlineStr">
        <is>
          <t>H2 30: H2 / gas blending station (plant gas yard)</t>
        </is>
      </c>
      <c r="G5962" s="12" t="inlineStr">
        <is>
          <t>JB-H2 30: H2 / gas bl-DI01</t>
        </is>
      </c>
      <c r="H5962" s="12" t="inlineStr">
        <is>
          <t>H2 30: H2 / gas blending station (plant gas yard)</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12</v>
      </c>
      <c r="O5962" s="12" t="n">
        <v>1</v>
      </c>
      <c r="P5962" s="12" t="n"/>
      <c r="Q5962" s="12" t="n"/>
      <c r="R5962" s="12" t="n"/>
      <c r="S5962" s="12" t="inlineStr">
        <is>
          <t>Tray / conduit</t>
        </is>
      </c>
      <c r="T5962" s="15" t="n">
        <v>129</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K-I-0080</t>
        </is>
      </c>
      <c r="B5963" s="12" t="inlineStr">
        <is>
          <t>K</t>
        </is>
      </c>
      <c r="C5963" s="12" t="inlineStr">
        <is>
          <t>Fuel supply (adjacent market)</t>
        </is>
      </c>
      <c r="D5963" s="12" t="inlineStr">
        <is>
          <t>Home run JB-H2 30: H2 / gas bl-DI01 to the control / marshalling room</t>
        </is>
      </c>
      <c r="E5963" s="12" t="inlineStr"/>
      <c r="F5963" s="12" t="inlineStr">
        <is>
          <t>LNG 17: LNG e-house (13.8 kV / 480 V)</t>
        </is>
      </c>
      <c r="G5963" s="12" t="inlineStr">
        <is>
          <t>JB-H2 30: H2 / gas bl-DI01</t>
        </is>
      </c>
      <c r="H5963" s="12" t="inlineStr">
        <is>
          <t>H2 30: H2 / gas blending station (plant gas yard)</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994</v>
      </c>
      <c r="U5963" s="15" t="n">
        <v>114</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K-I-0081</t>
        </is>
      </c>
      <c r="B5964" s="12" t="inlineStr">
        <is>
          <t>K</t>
        </is>
      </c>
      <c r="C5964" s="12" t="inlineStr">
        <is>
          <t>Fuel supply (adjacent market)</t>
        </is>
      </c>
      <c r="D5964" s="12" t="inlineStr">
        <is>
          <t>Analog instrument to JB JB-H2 pipe track and -AI01: 10 x 1 pr (field cables)</t>
        </is>
      </c>
      <c r="E5964" s="12" t="inlineStr"/>
      <c r="F5964" s="12" t="inlineStr">
        <is>
          <t>H2 pipe track and cable trench, hall -&gt; dryer / compressors (N2, instr</t>
        </is>
      </c>
      <c r="G5964" s="12" t="inlineStr">
        <is>
          <t>JB-H2 pipe track and -AI01</t>
        </is>
      </c>
      <c r="H5964" s="12" t="inlineStr">
        <is>
          <t>H2 pipe track and cable trench, hall -&gt; dryer / compressors (N2, instr</t>
        </is>
      </c>
      <c r="I5964" s="12" t="inlineStr">
        <is>
          <t>Instrumentation</t>
        </is>
      </c>
      <c r="J5964" s="12" t="inlineStr">
        <is>
          <t>Instrumentation ITC / PLTC, IS, #18 shielded pairs, blue jacket</t>
        </is>
      </c>
      <c r="K5964" s="12" t="inlineStr">
        <is>
          <t>ITC|1 pr|16</t>
        </is>
      </c>
      <c r="L5964" s="12" t="inlineStr">
        <is>
          <t>1 pr</t>
        </is>
      </c>
      <c r="M5964" s="12" t="inlineStr">
        <is>
          <t>16</t>
        </is>
      </c>
      <c r="N5964" s="12" t="n">
        <v>10</v>
      </c>
      <c r="O5964" s="12" t="n">
        <v>1</v>
      </c>
      <c r="P5964" s="12" t="n"/>
      <c r="Q5964" s="12" t="n"/>
      <c r="R5964" s="12" t="n"/>
      <c r="S5964" s="12" t="inlineStr">
        <is>
          <t>Tray / conduit</t>
        </is>
      </c>
      <c r="T5964" s="15" t="n">
        <v>70</v>
      </c>
      <c r="U5964" s="15" t="n">
        <v>10</v>
      </c>
      <c r="V5964" s="15">
        <f>ROUNDUP((T5964+U5964+2*'Read Me'!$B$13)*(1+'Read Me'!$B$12),-1)</f>
        <v/>
      </c>
      <c r="W5964" s="15">
        <f>V5964*N5964*O5964</f>
        <v/>
      </c>
      <c r="X5964" s="12">
        <f>IF(LEFT(I5964,2)="MV",2*N5964*IF(L5964="1/C",O5964,1),0)</f>
        <v/>
      </c>
      <c r="Y5964" s="12">
        <f>IF(OR(LEFT(K5964,4)="LVAX",LEFT(K5964,6)="MV15AX",LEFT(K5964,4)="CTAX",LEFT(K5964,2)="W|"),2*N5964*O5964,0)</f>
        <v/>
      </c>
      <c r="Z5964" s="12" t="inlineStr">
        <is>
          <t>device-to-JB field wiring, one cable per device</t>
        </is>
      </c>
      <c r="AA5964" s="12">
        <f>N5964*O5964</f>
        <v/>
      </c>
    </row>
    <row r="5965">
      <c r="A5965" s="12" t="inlineStr">
        <is>
          <t>K-I-0082</t>
        </is>
      </c>
      <c r="B5965" s="12" t="inlineStr">
        <is>
          <t>K</t>
        </is>
      </c>
      <c r="C5965" s="12" t="inlineStr">
        <is>
          <t>Fuel supply (adjacent market)</t>
        </is>
      </c>
      <c r="D5965" s="12" t="inlineStr">
        <is>
          <t>Home run JB-H2 pipe track and -AI01 to the control / marshalling room</t>
        </is>
      </c>
      <c r="E5965" s="12" t="inlineStr"/>
      <c r="F5965" s="12" t="inlineStr">
        <is>
          <t>H2 20: 13.8 kV e-house</t>
        </is>
      </c>
      <c r="G5965" s="12" t="inlineStr">
        <is>
          <t>JB-H2 pipe track and -AI01</t>
        </is>
      </c>
      <c r="H5965" s="12" t="inlineStr">
        <is>
          <t>H2 pipe track and cable trench, hall -&gt; dryer / compressors (N2, instr</t>
        </is>
      </c>
      <c r="I5965" s="12" t="inlineStr">
        <is>
          <t>Instrumentation</t>
        </is>
      </c>
      <c r="J5965" s="12" t="inlineStr">
        <is>
          <t>Instrumentation ITC / PLTC, IS, #18 shielded pairs, blue jacket</t>
        </is>
      </c>
      <c r="K5965" s="12" t="inlineStr">
        <is>
          <t>ITC|24 pr|18</t>
        </is>
      </c>
      <c r="L5965" s="12" t="inlineStr">
        <is>
          <t>24 pr</t>
        </is>
      </c>
      <c r="M5965" s="12" t="inlineStr">
        <is>
          <t>18</t>
        </is>
      </c>
      <c r="N5965" s="12" t="n">
        <v>1</v>
      </c>
      <c r="O5965" s="12" t="n">
        <v>1</v>
      </c>
      <c r="P5965" s="12" t="n"/>
      <c r="Q5965" s="12" t="n"/>
      <c r="R5965" s="12" t="n"/>
      <c r="S5965" s="12" t="inlineStr">
        <is>
          <t>Duct bank</t>
        </is>
      </c>
      <c r="T5965" s="15" t="n">
        <v>53</v>
      </c>
      <c r="U5965" s="15" t="n">
        <v>62</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K-I-0083</t>
        </is>
      </c>
      <c r="B5966" s="12" t="inlineStr">
        <is>
          <t>K</t>
        </is>
      </c>
      <c r="C5966" s="12" t="inlineStr">
        <is>
          <t>Fuel supply (adjacent market)</t>
        </is>
      </c>
      <c r="D5966" s="12" t="inlineStr">
        <is>
          <t>Discrete device to JB JB-H2 pipe track and -DI01: 10 x 1 pr (field cables)</t>
        </is>
      </c>
      <c r="E5966" s="12" t="inlineStr"/>
      <c r="F5966" s="12" t="inlineStr">
        <is>
          <t>H2 pipe track and cable trench, hall -&gt; dryer / compressors (N2, instr</t>
        </is>
      </c>
      <c r="G5966" s="12" t="inlineStr">
        <is>
          <t>JB-H2 pipe track and -DI01</t>
        </is>
      </c>
      <c r="H5966" s="12" t="inlineStr">
        <is>
          <t>H2 pipe track and cable trench, hall -&gt; dryer / compressors (N2, instr</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10</v>
      </c>
      <c r="O5966" s="12" t="n">
        <v>1</v>
      </c>
      <c r="P5966" s="12" t="n"/>
      <c r="Q5966" s="12" t="n"/>
      <c r="R5966" s="12" t="n"/>
      <c r="S5966" s="12" t="inlineStr">
        <is>
          <t>Tray / conduit</t>
        </is>
      </c>
      <c r="T5966" s="15" t="n">
        <v>70</v>
      </c>
      <c r="U5966" s="15" t="n">
        <v>10</v>
      </c>
      <c r="V5966" s="15">
        <f>ROUNDUP((T5966+U5966+2*'Read Me'!$B$13)*(1+'Read Me'!$B$12),-1)</f>
        <v/>
      </c>
      <c r="W5966" s="15">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K-I-0084</t>
        </is>
      </c>
      <c r="B5967" s="12" t="inlineStr">
        <is>
          <t>K</t>
        </is>
      </c>
      <c r="C5967" s="12" t="inlineStr">
        <is>
          <t>Fuel supply (adjacent market)</t>
        </is>
      </c>
      <c r="D5967" s="12" t="inlineStr">
        <is>
          <t>Home run JB-H2 pipe track and -DI01 to the control / marshalling room</t>
        </is>
      </c>
      <c r="E5967" s="12" t="inlineStr"/>
      <c r="F5967" s="12" t="inlineStr">
        <is>
          <t>H2 20: 13.8 kV e-house</t>
        </is>
      </c>
      <c r="G5967" s="12" t="inlineStr">
        <is>
          <t>JB-H2 pipe track and -DI01</t>
        </is>
      </c>
      <c r="H5967" s="12" t="inlineStr">
        <is>
          <t>H2 pipe track and cable trench, hall -&gt; dryer / compressors (N2, instr</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5" t="n">
        <v>53</v>
      </c>
      <c r="U5967" s="15" t="n">
        <v>62</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K-I-0085</t>
        </is>
      </c>
      <c r="B5968" s="12" t="inlineStr">
        <is>
          <t>K</t>
        </is>
      </c>
      <c r="C5968" s="12" t="inlineStr">
        <is>
          <t>Fuel supply (adjacent market)</t>
        </is>
      </c>
      <c r="D5968" s="12" t="inlineStr">
        <is>
          <t>Instrumentation</t>
        </is>
      </c>
      <c r="E5968" s="12" t="inlineStr"/>
      <c r="F5968" s="12" t="inlineStr">
        <is>
          <t>H2 20: 13.8 kV e-house</t>
        </is>
      </c>
      <c r="G5968" s="12" t="inlineStr">
        <is>
          <t>H2-ST</t>
        </is>
      </c>
      <c r="H5968" s="12" t="inlineStr">
        <is>
          <t>H2 storage tube banks x4</t>
        </is>
      </c>
      <c r="I5968" s="12" t="inlineStr">
        <is>
          <t>Instrumentation</t>
        </is>
      </c>
      <c r="J5968" s="12" t="inlineStr">
        <is>
          <t>Instrumentation ITC / PLTC, IS, #18 shielded pairs, blue jacket</t>
        </is>
      </c>
      <c r="K5968" s="12" t="inlineStr">
        <is>
          <t>ITC|4 pr|18</t>
        </is>
      </c>
      <c r="L5968" s="12" t="inlineStr">
        <is>
          <t>4 pr</t>
        </is>
      </c>
      <c r="M5968" s="12" t="inlineStr">
        <is>
          <t>18</t>
        </is>
      </c>
      <c r="N5968" s="12" t="n">
        <v>1</v>
      </c>
      <c r="O5968" s="12" t="n">
        <v>1</v>
      </c>
      <c r="P5968" s="12" t="n"/>
      <c r="Q5968" s="12" t="n"/>
      <c r="R5968" s="12" t="n"/>
      <c r="S5968" s="12" t="inlineStr">
        <is>
          <t>Duct bank</t>
        </is>
      </c>
      <c r="T5968" s="15" t="n">
        <v>50</v>
      </c>
      <c r="U5968" s="15" t="n">
        <v>92</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K-I-0086</t>
        </is>
      </c>
      <c r="B5969" s="12" t="inlineStr">
        <is>
          <t>K</t>
        </is>
      </c>
      <c r="C5969" s="12" t="inlineStr">
        <is>
          <t>Fuel supply (adjacent market)</t>
        </is>
      </c>
      <c r="D5969" s="12" t="inlineStr">
        <is>
          <t>Instrumentation</t>
        </is>
      </c>
      <c r="E5969" s="12" t="inlineStr"/>
      <c r="F5969" s="12" t="inlineStr">
        <is>
          <t>H2 20: 13.8 kV e-house</t>
        </is>
      </c>
      <c r="G5969" s="12" t="inlineStr">
        <is>
          <t>H2R</t>
        </is>
      </c>
      <c r="H5969" s="12" t="inlineStr">
        <is>
          <t>H2R: hydrogen pipeline receiving station (pig receiver, filters, meter</t>
        </is>
      </c>
      <c r="I5969" s="12" t="inlineStr">
        <is>
          <t>Instrumentation</t>
        </is>
      </c>
      <c r="J5969" s="12" t="inlineStr">
        <is>
          <t>Instrumentation ITC / PLTC, IS, #18 shielded pairs, blue jacket</t>
        </is>
      </c>
      <c r="K5969" s="12" t="inlineStr">
        <is>
          <t>ITC|4 pr|18</t>
        </is>
      </c>
      <c r="L5969" s="12" t="inlineStr">
        <is>
          <t>4 pr</t>
        </is>
      </c>
      <c r="M5969" s="12" t="inlineStr">
        <is>
          <t>18</t>
        </is>
      </c>
      <c r="N5969" s="12" t="n">
        <v>1</v>
      </c>
      <c r="O5969" s="12" t="n">
        <v>1</v>
      </c>
      <c r="P5969" s="12" t="n"/>
      <c r="Q5969" s="12" t="n"/>
      <c r="R5969" s="12" t="n"/>
      <c r="S5969" s="12" t="inlineStr">
        <is>
          <t>Duct bank</t>
        </is>
      </c>
      <c r="T5969" s="15" t="n">
        <v>40</v>
      </c>
      <c r="U5969" s="15" t="n">
        <v>32</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K-I-0087</t>
        </is>
      </c>
      <c r="B5970" s="12" t="inlineStr">
        <is>
          <t>K</t>
        </is>
      </c>
      <c r="C5970" s="12" t="inlineStr">
        <is>
          <t>Fuel supply (adjacent market)</t>
        </is>
      </c>
      <c r="D5970" s="12" t="inlineStr">
        <is>
          <t>Analog instrument to JB JB-LNG 10: truck unlo-AI01: 12 x 1 pr (field cables)</t>
        </is>
      </c>
      <c r="E5970" s="12" t="inlineStr"/>
      <c r="F5970" s="12" t="inlineStr">
        <is>
          <t>LNG 10: truck unloading bay 1</t>
        </is>
      </c>
      <c r="G5970" s="12" t="inlineStr">
        <is>
          <t>JB-LNG 10: truck unlo-AI01</t>
        </is>
      </c>
      <c r="H5970" s="12" t="inlineStr">
        <is>
          <t>LNG 10: truck unloading bay 1</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12</v>
      </c>
      <c r="O5970" s="12" t="n">
        <v>1</v>
      </c>
      <c r="P5970" s="12" t="n"/>
      <c r="Q5970" s="12" t="n"/>
      <c r="R5970" s="12" t="n"/>
      <c r="S5970" s="12" t="inlineStr">
        <is>
          <t>Tray / conduit</t>
        </is>
      </c>
      <c r="T5970" s="15" t="n">
        <v>72</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K-I-0088</t>
        </is>
      </c>
      <c r="B5971" s="12" t="inlineStr">
        <is>
          <t>K</t>
        </is>
      </c>
      <c r="C5971" s="12" t="inlineStr">
        <is>
          <t>Fuel supply (adjacent market)</t>
        </is>
      </c>
      <c r="D5971" s="12" t="inlineStr">
        <is>
          <t>Home run JB-LNG 10: truck unlo-AI01 to the control / marshalling room</t>
        </is>
      </c>
      <c r="E5971" s="12" t="inlineStr"/>
      <c r="F5971" s="12" t="inlineStr">
        <is>
          <t>LNG 17: LNG e-house (13.8 kV / 480 V)</t>
        </is>
      </c>
      <c r="G5971" s="12" t="inlineStr">
        <is>
          <t>JB-LNG 10: truck unlo-AI01</t>
        </is>
      </c>
      <c r="H5971" s="12" t="inlineStr">
        <is>
          <t>LNG 10: truck unloading bay 1</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237</v>
      </c>
      <c r="U5971" s="15" t="n">
        <v>61</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K-I-0089</t>
        </is>
      </c>
      <c r="B5972" s="12" t="inlineStr">
        <is>
          <t>K</t>
        </is>
      </c>
      <c r="C5972" s="12" t="inlineStr">
        <is>
          <t>Fuel supply (adjacent market)</t>
        </is>
      </c>
      <c r="D5972" s="12" t="inlineStr">
        <is>
          <t>Discrete device to JB JB-LNG 10: truck unlo-DI01: 12 x 1 pr (field cables)</t>
        </is>
      </c>
      <c r="E5972" s="12" t="inlineStr"/>
      <c r="F5972" s="12" t="inlineStr">
        <is>
          <t>LNG 10: truck unloading bay 1</t>
        </is>
      </c>
      <c r="G5972" s="12" t="inlineStr">
        <is>
          <t>JB-LNG 10: truck unlo-DI01</t>
        </is>
      </c>
      <c r="H5972" s="12" t="inlineStr">
        <is>
          <t>LNG 10: truck unloading bay 1</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12</v>
      </c>
      <c r="O5972" s="12" t="n">
        <v>1</v>
      </c>
      <c r="P5972" s="12" t="n"/>
      <c r="Q5972" s="12" t="n"/>
      <c r="R5972" s="12" t="n"/>
      <c r="S5972" s="12" t="inlineStr">
        <is>
          <t>Tray / conduit</t>
        </is>
      </c>
      <c r="T5972" s="15" t="n">
        <v>72</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K-I-0090</t>
        </is>
      </c>
      <c r="B5973" s="12" t="inlineStr">
        <is>
          <t>K</t>
        </is>
      </c>
      <c r="C5973" s="12" t="inlineStr">
        <is>
          <t>Fuel supply (adjacent market)</t>
        </is>
      </c>
      <c r="D5973" s="12" t="inlineStr">
        <is>
          <t>Home run JB-LNG 10: truck unlo-DI01 to the control / marshalling room</t>
        </is>
      </c>
      <c r="E5973" s="12" t="inlineStr"/>
      <c r="F5973" s="12" t="inlineStr">
        <is>
          <t>LNG 17: LNG e-house (13.8 kV / 480 V)</t>
        </is>
      </c>
      <c r="G5973" s="12" t="inlineStr">
        <is>
          <t>JB-LNG 10: truck unlo-DI01</t>
        </is>
      </c>
      <c r="H5973" s="12" t="inlineStr">
        <is>
          <t>LNG 10: truck unloading bay 1</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237</v>
      </c>
      <c r="U5973" s="15" t="n">
        <v>61</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K-I-0091</t>
        </is>
      </c>
      <c r="B5974" s="12" t="inlineStr">
        <is>
          <t>K</t>
        </is>
      </c>
      <c r="C5974" s="12" t="inlineStr">
        <is>
          <t>Fuel supply (adjacent market)</t>
        </is>
      </c>
      <c r="D5974" s="12" t="inlineStr">
        <is>
          <t>Analog instrument to JB JB-LNG 10: truck unlo-AI01: 12 x 1 pr (field cables)</t>
        </is>
      </c>
      <c r="E5974" s="12" t="inlineStr"/>
      <c r="F5974" s="12" t="inlineStr">
        <is>
          <t>LNG 10: truck unloading bay 2</t>
        </is>
      </c>
      <c r="G5974" s="12" t="inlineStr">
        <is>
          <t>JB-LNG 10: truck unlo-AI01</t>
        </is>
      </c>
      <c r="H5974" s="12" t="inlineStr">
        <is>
          <t>LNG 10: truck unloading bay 2</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72</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K-I-0092</t>
        </is>
      </c>
      <c r="B5975" s="12" t="inlineStr">
        <is>
          <t>K</t>
        </is>
      </c>
      <c r="C5975" s="12" t="inlineStr">
        <is>
          <t>Fuel supply (adjacent market)</t>
        </is>
      </c>
      <c r="D5975" s="12" t="inlineStr">
        <is>
          <t>Home run JB-LNG 10: truck unlo-AI01 to the control / marshalling room</t>
        </is>
      </c>
      <c r="E5975" s="12" t="inlineStr"/>
      <c r="F5975" s="12" t="inlineStr">
        <is>
          <t>LNG 17: LNG e-house (13.8 kV / 480 V)</t>
        </is>
      </c>
      <c r="G5975" s="12" t="inlineStr">
        <is>
          <t>JB-LNG 10: truck unlo-AI01</t>
        </is>
      </c>
      <c r="H5975" s="12" t="inlineStr">
        <is>
          <t>LNG 10: truck unloading bay 2</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147</v>
      </c>
      <c r="U5975" s="15" t="n">
        <v>66</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K-I-0093</t>
        </is>
      </c>
      <c r="B5976" s="12" t="inlineStr">
        <is>
          <t>K</t>
        </is>
      </c>
      <c r="C5976" s="12" t="inlineStr">
        <is>
          <t>Fuel supply (adjacent market)</t>
        </is>
      </c>
      <c r="D5976" s="12" t="inlineStr">
        <is>
          <t>Discrete device to JB JB-LNG 10: truck unlo-DI01: 12 x 1 pr (field cables)</t>
        </is>
      </c>
      <c r="E5976" s="12" t="inlineStr"/>
      <c r="F5976" s="12" t="inlineStr">
        <is>
          <t>LNG 10: truck unloading bay 2</t>
        </is>
      </c>
      <c r="G5976" s="12" t="inlineStr">
        <is>
          <t>JB-LNG 10: truck unlo-DI01</t>
        </is>
      </c>
      <c r="H5976" s="12" t="inlineStr">
        <is>
          <t>LNG 10: truck unloading bay 2</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12</v>
      </c>
      <c r="O5976" s="12" t="n">
        <v>1</v>
      </c>
      <c r="P5976" s="12" t="n"/>
      <c r="Q5976" s="12" t="n"/>
      <c r="R5976" s="12" t="n"/>
      <c r="S5976" s="12" t="inlineStr">
        <is>
          <t>Tray / conduit</t>
        </is>
      </c>
      <c r="T5976" s="15" t="n">
        <v>72</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K-I-0094</t>
        </is>
      </c>
      <c r="B5977" s="12" t="inlineStr">
        <is>
          <t>K</t>
        </is>
      </c>
      <c r="C5977" s="12" t="inlineStr">
        <is>
          <t>Fuel supply (adjacent market)</t>
        </is>
      </c>
      <c r="D5977" s="12" t="inlineStr">
        <is>
          <t>Home run JB-LNG 10: truck unlo-DI01 to the control / marshalling room</t>
        </is>
      </c>
      <c r="E5977" s="12" t="inlineStr"/>
      <c r="F5977" s="12" t="inlineStr">
        <is>
          <t>LNG 17: LNG e-house (13.8 kV / 480 V)</t>
        </is>
      </c>
      <c r="G5977" s="12" t="inlineStr">
        <is>
          <t>JB-LNG 10: truck unlo-DI01</t>
        </is>
      </c>
      <c r="H5977" s="12" t="inlineStr">
        <is>
          <t>LNG 10: truck unloading bay 2</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147</v>
      </c>
      <c r="U5977" s="15" t="n">
        <v>66</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K-I-0095</t>
        </is>
      </c>
      <c r="B5978" s="12" t="inlineStr">
        <is>
          <t>K</t>
        </is>
      </c>
      <c r="C5978" s="12" t="inlineStr">
        <is>
          <t>Fuel supply (adjacent market)</t>
        </is>
      </c>
      <c r="D5978" s="12" t="inlineStr">
        <is>
          <t>Analog instrument to JB JB-LNG 10: unloading -AI01: 12 x 1 pr (field cables)</t>
        </is>
      </c>
      <c r="E5978" s="12" t="inlineStr"/>
      <c r="F5978" s="12" t="inlineStr">
        <is>
          <t>LNG 10: unloading skid</t>
        </is>
      </c>
      <c r="G5978" s="12" t="inlineStr">
        <is>
          <t>JB-LNG 10: unloading -AI01</t>
        </is>
      </c>
      <c r="H5978" s="12" t="inlineStr">
        <is>
          <t>LNG 10: unloading skid</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12</v>
      </c>
      <c r="O5978" s="12" t="n">
        <v>1</v>
      </c>
      <c r="P5978" s="12" t="n"/>
      <c r="Q5978" s="12" t="n"/>
      <c r="R5978" s="12" t="n"/>
      <c r="S5978" s="12" t="inlineStr">
        <is>
          <t>Tray / conduit</t>
        </is>
      </c>
      <c r="T5978" s="15" t="n">
        <v>54</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K-I-0096</t>
        </is>
      </c>
      <c r="B5979" s="12" t="inlineStr">
        <is>
          <t>K</t>
        </is>
      </c>
      <c r="C5979" s="12" t="inlineStr">
        <is>
          <t>Fuel supply (adjacent market)</t>
        </is>
      </c>
      <c r="D5979" s="12" t="inlineStr">
        <is>
          <t>Home run JB-LNG 10: unloading -AI01 to the control / marshalling room</t>
        </is>
      </c>
      <c r="E5979" s="12" t="inlineStr"/>
      <c r="F5979" s="12" t="inlineStr">
        <is>
          <t>LNG 17: LNG e-house (13.8 kV / 480 V)</t>
        </is>
      </c>
      <c r="G5979" s="12" t="inlineStr">
        <is>
          <t>JB-LNG 10: unloading -AI01</t>
        </is>
      </c>
      <c r="H5979" s="12" t="inlineStr">
        <is>
          <t>LNG 10: unloading skid</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237</v>
      </c>
      <c r="U5979" s="15" t="n">
        <v>32</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K-I-0097</t>
        </is>
      </c>
      <c r="B5980" s="12" t="inlineStr">
        <is>
          <t>K</t>
        </is>
      </c>
      <c r="C5980" s="12" t="inlineStr">
        <is>
          <t>Fuel supply (adjacent market)</t>
        </is>
      </c>
      <c r="D5980" s="12" t="inlineStr">
        <is>
          <t>Discrete device to JB JB-LNG 10: unloading -DI01: 12 x 1 pr (field cables)</t>
        </is>
      </c>
      <c r="E5980" s="12" t="inlineStr"/>
      <c r="F5980" s="12" t="inlineStr">
        <is>
          <t>LNG 10: unloading skid</t>
        </is>
      </c>
      <c r="G5980" s="12" t="inlineStr">
        <is>
          <t>JB-LNG 10: unloading -DI01</t>
        </is>
      </c>
      <c r="H5980" s="12" t="inlineStr">
        <is>
          <t>LNG 10: unloading skid</t>
        </is>
      </c>
      <c r="I5980" s="12" t="inlineStr">
        <is>
          <t>Instrumentation</t>
        </is>
      </c>
      <c r="J5980" s="12" t="inlineStr">
        <is>
          <t>Instrumentation ITC / PLTC, IS, #18 shielded pairs, blue jacket</t>
        </is>
      </c>
      <c r="K5980" s="12" t="inlineStr">
        <is>
          <t>ITC|1 pr|16</t>
        </is>
      </c>
      <c r="L5980" s="12" t="inlineStr">
        <is>
          <t>1 pr</t>
        </is>
      </c>
      <c r="M5980" s="12" t="inlineStr">
        <is>
          <t>16</t>
        </is>
      </c>
      <c r="N5980" s="12" t="n">
        <v>12</v>
      </c>
      <c r="O5980" s="12" t="n">
        <v>1</v>
      </c>
      <c r="P5980" s="12" t="n"/>
      <c r="Q5980" s="12" t="n"/>
      <c r="R5980" s="12" t="n"/>
      <c r="S5980" s="12" t="inlineStr">
        <is>
          <t>Tray / conduit</t>
        </is>
      </c>
      <c r="T5980" s="15" t="n">
        <v>54</v>
      </c>
      <c r="U5980" s="15" t="n">
        <v>10</v>
      </c>
      <c r="V5980" s="15">
        <f>ROUNDUP((T5980+U5980+2*'Read Me'!$B$13)*(1+'Read Me'!$B$12),-1)</f>
        <v/>
      </c>
      <c r="W5980" s="15">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K-I-0098</t>
        </is>
      </c>
      <c r="B5981" s="12" t="inlineStr">
        <is>
          <t>K</t>
        </is>
      </c>
      <c r="C5981" s="12" t="inlineStr">
        <is>
          <t>Fuel supply (adjacent market)</t>
        </is>
      </c>
      <c r="D5981" s="12" t="inlineStr">
        <is>
          <t>Home run JB-LNG 10: unloading -DI01 to the control / marshalling room</t>
        </is>
      </c>
      <c r="E5981" s="12" t="inlineStr"/>
      <c r="F5981" s="12" t="inlineStr">
        <is>
          <t>LNG 17: LNG e-house (13.8 kV / 480 V)</t>
        </is>
      </c>
      <c r="G5981" s="12" t="inlineStr">
        <is>
          <t>JB-LNG 10: unloading -DI01</t>
        </is>
      </c>
      <c r="H5981" s="12" t="inlineStr">
        <is>
          <t>LNG 10: unloading skid</t>
        </is>
      </c>
      <c r="I5981" s="12" t="inlineStr">
        <is>
          <t>Instrumentation</t>
        </is>
      </c>
      <c r="J5981" s="12" t="inlineStr">
        <is>
          <t>Instrumentation ITC / PLTC, IS, #18 shielded pairs, blue jacket</t>
        </is>
      </c>
      <c r="K5981" s="12" t="inlineStr">
        <is>
          <t>ITC|24 pr|18</t>
        </is>
      </c>
      <c r="L5981" s="12" t="inlineStr">
        <is>
          <t>24 pr</t>
        </is>
      </c>
      <c r="M5981" s="12" t="inlineStr">
        <is>
          <t>18</t>
        </is>
      </c>
      <c r="N5981" s="12" t="n">
        <v>1</v>
      </c>
      <c r="O5981" s="12" t="n">
        <v>1</v>
      </c>
      <c r="P5981" s="12" t="n"/>
      <c r="Q5981" s="12" t="n"/>
      <c r="R5981" s="12" t="n"/>
      <c r="S5981" s="12" t="inlineStr">
        <is>
          <t>Duct bank</t>
        </is>
      </c>
      <c r="T5981" s="15" t="n">
        <v>237</v>
      </c>
      <c r="U5981" s="15" t="n">
        <v>32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K-I-0099</t>
        </is>
      </c>
      <c r="B5982" s="12" t="inlineStr">
        <is>
          <t>K</t>
        </is>
      </c>
      <c r="C5982" s="12" t="inlineStr">
        <is>
          <t>Fuel supply (adjacent market)</t>
        </is>
      </c>
      <c r="D5982" s="12" t="inlineStr">
        <is>
          <t>Analog instrument to JB JB-LNG-T1-AI01: 4 x 1 pr (field cables)</t>
        </is>
      </c>
      <c r="E5982" s="12" t="inlineStr">
        <is>
          <t>LNG-T1</t>
        </is>
      </c>
      <c r="F5982" s="12" t="inlineStr">
        <is>
          <t>LNG 11: tank 1, Chart HS 50000 (51,780 gal)</t>
        </is>
      </c>
      <c r="G5982" s="12" t="inlineStr">
        <is>
          <t>JB-LNG-T1-AI01</t>
        </is>
      </c>
      <c r="H5982" s="12" t="inlineStr">
        <is>
          <t>LNG 11: tank 1, Chart HS 50000 (51,780 gal)</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4</v>
      </c>
      <c r="O5982" s="12" t="n">
        <v>1</v>
      </c>
      <c r="P5982" s="12" t="n"/>
      <c r="Q5982" s="12" t="n"/>
      <c r="R5982" s="12" t="n"/>
      <c r="S5982" s="12" t="inlineStr">
        <is>
          <t>Tray / conduit</t>
        </is>
      </c>
      <c r="T5982" s="15" t="n">
        <v>77</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K-I-0100</t>
        </is>
      </c>
      <c r="B5983" s="12" t="inlineStr">
        <is>
          <t>K</t>
        </is>
      </c>
      <c r="C5983" s="12" t="inlineStr">
        <is>
          <t>Fuel supply (adjacent market)</t>
        </is>
      </c>
      <c r="D5983" s="12" t="inlineStr">
        <is>
          <t>Home run JB-LNG-T1-AI01 to the control / marshalling room</t>
        </is>
      </c>
      <c r="E5983" s="12" t="inlineStr"/>
      <c r="F5983" s="12" t="inlineStr">
        <is>
          <t>LNG 17: LNG e-house (13.8 kV / 480 V)</t>
        </is>
      </c>
      <c r="G5983" s="12" t="inlineStr">
        <is>
          <t>JB-LNG-T1-AI01</t>
        </is>
      </c>
      <c r="H5983" s="12" t="inlineStr">
        <is>
          <t>LNG 11: tank 1, Chart HS 50000 (51,780 gal)</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210</v>
      </c>
      <c r="U5983" s="15" t="n">
        <v>32</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K-I-0101</t>
        </is>
      </c>
      <c r="B5984" s="12" t="inlineStr">
        <is>
          <t>K</t>
        </is>
      </c>
      <c r="C5984" s="12" t="inlineStr">
        <is>
          <t>Fuel supply (adjacent market)</t>
        </is>
      </c>
      <c r="D5984" s="12" t="inlineStr">
        <is>
          <t>Discrete device to JB JB-LNG-T1-DI01: 4 x 1 pr (field cables)</t>
        </is>
      </c>
      <c r="E5984" s="12" t="inlineStr">
        <is>
          <t>LNG-T1</t>
        </is>
      </c>
      <c r="F5984" s="12" t="inlineStr">
        <is>
          <t>LNG 11: tank 1, Chart HS 50000 (51,780 gal)</t>
        </is>
      </c>
      <c r="G5984" s="12" t="inlineStr">
        <is>
          <t>JB-LNG-T1-DI01</t>
        </is>
      </c>
      <c r="H5984" s="12" t="inlineStr">
        <is>
          <t>LNG 11: tank 1, Chart HS 50000 (51,780 gal)</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4</v>
      </c>
      <c r="O5984" s="12" t="n">
        <v>1</v>
      </c>
      <c r="P5984" s="12" t="n"/>
      <c r="Q5984" s="12" t="n"/>
      <c r="R5984" s="12" t="n"/>
      <c r="S5984" s="12" t="inlineStr">
        <is>
          <t>Tray / conduit</t>
        </is>
      </c>
      <c r="T5984" s="15" t="n">
        <v>77</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K-I-0102</t>
        </is>
      </c>
      <c r="B5985" s="12" t="inlineStr">
        <is>
          <t>K</t>
        </is>
      </c>
      <c r="C5985" s="12" t="inlineStr">
        <is>
          <t>Fuel supply (adjacent market)</t>
        </is>
      </c>
      <c r="D5985" s="12" t="inlineStr">
        <is>
          <t>Home run JB-LNG-T1-DI01 to the control / marshalling room</t>
        </is>
      </c>
      <c r="E5985" s="12" t="inlineStr"/>
      <c r="F5985" s="12" t="inlineStr">
        <is>
          <t>LNG 17: LNG e-house (13.8 kV / 480 V)</t>
        </is>
      </c>
      <c r="G5985" s="12" t="inlineStr">
        <is>
          <t>JB-LNG-T1-DI01</t>
        </is>
      </c>
      <c r="H5985" s="12" t="inlineStr">
        <is>
          <t>LNG 11: tank 1, Chart HS 50000 (51,780 gal)</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Duct bank</t>
        </is>
      </c>
      <c r="T5985" s="15" t="n">
        <v>210</v>
      </c>
      <c r="U5985" s="15" t="n">
        <v>32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K-I-0103</t>
        </is>
      </c>
      <c r="B5986" s="12" t="inlineStr">
        <is>
          <t>K</t>
        </is>
      </c>
      <c r="C5986" s="12" t="inlineStr">
        <is>
          <t>Fuel supply (adjacent market)</t>
        </is>
      </c>
      <c r="D5986" s="12" t="inlineStr">
        <is>
          <t>Analog instrument to JB JB-LNG-T2-AI01: 4 x 1 pr (field cables)</t>
        </is>
      </c>
      <c r="E5986" s="12" t="inlineStr">
        <is>
          <t>LNG-T2</t>
        </is>
      </c>
      <c r="F5986" s="12" t="inlineStr">
        <is>
          <t>LNG 11: tank 2, Chart HS 50000 (51,780 gal)</t>
        </is>
      </c>
      <c r="G5986" s="12" t="inlineStr">
        <is>
          <t>JB-LNG-T2-AI01</t>
        </is>
      </c>
      <c r="H5986" s="12" t="inlineStr">
        <is>
          <t>LNG 11: tank 2, Chart HS 50000 (51,780 gal)</t>
        </is>
      </c>
      <c r="I5986" s="12" t="inlineStr">
        <is>
          <t>Instrumentation</t>
        </is>
      </c>
      <c r="J5986" s="12" t="inlineStr">
        <is>
          <t>Instrumentation ITC / PLTC, IS, #18 shielded pairs, blue jacket</t>
        </is>
      </c>
      <c r="K5986" s="12" t="inlineStr">
        <is>
          <t>ITC|1 pr|16</t>
        </is>
      </c>
      <c r="L5986" s="12" t="inlineStr">
        <is>
          <t>1 pr</t>
        </is>
      </c>
      <c r="M5986" s="12" t="inlineStr">
        <is>
          <t>16</t>
        </is>
      </c>
      <c r="N5986" s="12" t="n">
        <v>4</v>
      </c>
      <c r="O5986" s="12" t="n">
        <v>1</v>
      </c>
      <c r="P5986" s="12" t="n"/>
      <c r="Q5986" s="12" t="n"/>
      <c r="R5986" s="12" t="n"/>
      <c r="S5986" s="12" t="inlineStr">
        <is>
          <t>Tray / conduit</t>
        </is>
      </c>
      <c r="T5986" s="15" t="n">
        <v>77</v>
      </c>
      <c r="U5986" s="15" t="n">
        <v>10</v>
      </c>
      <c r="V5986" s="15">
        <f>ROUNDUP((T5986+U5986+2*'Read Me'!$B$13)*(1+'Read Me'!$B$12),-1)</f>
        <v/>
      </c>
      <c r="W5986" s="15">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K-I-0104</t>
        </is>
      </c>
      <c r="B5987" s="12" t="inlineStr">
        <is>
          <t>K</t>
        </is>
      </c>
      <c r="C5987" s="12" t="inlineStr">
        <is>
          <t>Fuel supply (adjacent market)</t>
        </is>
      </c>
      <c r="D5987" s="12" t="inlineStr">
        <is>
          <t>Home run JB-LNG-T2-AI01 to the control / marshalling room</t>
        </is>
      </c>
      <c r="E5987" s="12" t="inlineStr"/>
      <c r="F5987" s="12" t="inlineStr">
        <is>
          <t>LNG 17: LNG e-house (13.8 kV / 480 V)</t>
        </is>
      </c>
      <c r="G5987" s="12" t="inlineStr">
        <is>
          <t>JB-LNG-T2-AI01</t>
        </is>
      </c>
      <c r="H5987" s="12" t="inlineStr">
        <is>
          <t>LNG 11: tank 2, Chart HS 50000 (51,780 gal)</t>
        </is>
      </c>
      <c r="I5987" s="12" t="inlineStr">
        <is>
          <t>Instrumentation</t>
        </is>
      </c>
      <c r="J5987" s="12" t="inlineStr">
        <is>
          <t>Instrumentation ITC / PLTC, IS, #18 shielded pairs, blue jacket</t>
        </is>
      </c>
      <c r="K5987" s="12" t="inlineStr">
        <is>
          <t>ITC|24 pr|18</t>
        </is>
      </c>
      <c r="L5987" s="12" t="inlineStr">
        <is>
          <t>24 pr</t>
        </is>
      </c>
      <c r="M5987" s="12" t="inlineStr">
        <is>
          <t>18</t>
        </is>
      </c>
      <c r="N5987" s="12" t="n">
        <v>1</v>
      </c>
      <c r="O5987" s="12" t="n">
        <v>1</v>
      </c>
      <c r="P5987" s="12" t="n"/>
      <c r="Q5987" s="12" t="n"/>
      <c r="R5987" s="12" t="n"/>
      <c r="S5987" s="12" t="inlineStr">
        <is>
          <t>Duct bank</t>
        </is>
      </c>
      <c r="T5987" s="15" t="n">
        <v>230</v>
      </c>
      <c r="U5987" s="15" t="n">
        <v>32</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K-I-0105</t>
        </is>
      </c>
      <c r="B5988" s="12" t="inlineStr">
        <is>
          <t>K</t>
        </is>
      </c>
      <c r="C5988" s="12" t="inlineStr">
        <is>
          <t>Fuel supply (adjacent market)</t>
        </is>
      </c>
      <c r="D5988" s="12" t="inlineStr">
        <is>
          <t>Discrete device to JB JB-LNG-T2-DI01: 4 x 1 pr (field cables)</t>
        </is>
      </c>
      <c r="E5988" s="12" t="inlineStr">
        <is>
          <t>LNG-T2</t>
        </is>
      </c>
      <c r="F5988" s="12" t="inlineStr">
        <is>
          <t>LNG 11: tank 2, Chart HS 50000 (51,780 gal)</t>
        </is>
      </c>
      <c r="G5988" s="12" t="inlineStr">
        <is>
          <t>JB-LNG-T2-DI01</t>
        </is>
      </c>
      <c r="H5988" s="12" t="inlineStr">
        <is>
          <t>LNG 11: tank 2, Chart HS 50000 (51,780 gal)</t>
        </is>
      </c>
      <c r="I5988" s="12" t="inlineStr">
        <is>
          <t>Instrumentation</t>
        </is>
      </c>
      <c r="J5988" s="12" t="inlineStr">
        <is>
          <t>Instrumentation ITC / PLTC, IS, #18 shielded pairs, blue jacket</t>
        </is>
      </c>
      <c r="K5988" s="12" t="inlineStr">
        <is>
          <t>ITC|1 pr|16</t>
        </is>
      </c>
      <c r="L5988" s="12" t="inlineStr">
        <is>
          <t>1 pr</t>
        </is>
      </c>
      <c r="M5988" s="12" t="inlineStr">
        <is>
          <t>16</t>
        </is>
      </c>
      <c r="N5988" s="12" t="n">
        <v>4</v>
      </c>
      <c r="O5988" s="12" t="n">
        <v>1</v>
      </c>
      <c r="P5988" s="12" t="n"/>
      <c r="Q5988" s="12" t="n"/>
      <c r="R5988" s="12" t="n"/>
      <c r="S5988" s="12" t="inlineStr">
        <is>
          <t>Tray / conduit</t>
        </is>
      </c>
      <c r="T5988" s="15" t="n">
        <v>77</v>
      </c>
      <c r="U5988" s="15" t="n">
        <v>10</v>
      </c>
      <c r="V5988" s="15">
        <f>ROUNDUP((T5988+U5988+2*'Read Me'!$B$13)*(1+'Read Me'!$B$12),-1)</f>
        <v/>
      </c>
      <c r="W5988" s="15">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K-I-0106</t>
        </is>
      </c>
      <c r="B5989" s="12" t="inlineStr">
        <is>
          <t>K</t>
        </is>
      </c>
      <c r="C5989" s="12" t="inlineStr">
        <is>
          <t>Fuel supply (adjacent market)</t>
        </is>
      </c>
      <c r="D5989" s="12" t="inlineStr">
        <is>
          <t>Home run JB-LNG-T2-DI01 to the control / marshalling room</t>
        </is>
      </c>
      <c r="E5989" s="12" t="inlineStr"/>
      <c r="F5989" s="12" t="inlineStr">
        <is>
          <t>LNG 17: LNG e-house (13.8 kV / 480 V)</t>
        </is>
      </c>
      <c r="G5989" s="12" t="inlineStr">
        <is>
          <t>JB-LNG-T2-DI01</t>
        </is>
      </c>
      <c r="H5989" s="12" t="inlineStr">
        <is>
          <t>LNG 11: tank 2, Chart HS 50000 (51,780 gal)</t>
        </is>
      </c>
      <c r="I5989" s="12" t="inlineStr">
        <is>
          <t>Instrumentation</t>
        </is>
      </c>
      <c r="J5989" s="12" t="inlineStr">
        <is>
          <t>Instrumentation ITC / PLTC, IS, #18 shielded pairs, blue jacket</t>
        </is>
      </c>
      <c r="K5989" s="12" t="inlineStr">
        <is>
          <t>ITC|24 pr|18</t>
        </is>
      </c>
      <c r="L5989" s="12" t="inlineStr">
        <is>
          <t>24 pr</t>
        </is>
      </c>
      <c r="M5989" s="12" t="inlineStr">
        <is>
          <t>18</t>
        </is>
      </c>
      <c r="N5989" s="12" t="n">
        <v>1</v>
      </c>
      <c r="O5989" s="12" t="n">
        <v>1</v>
      </c>
      <c r="P5989" s="12" t="n"/>
      <c r="Q5989" s="12" t="n"/>
      <c r="R5989" s="12" t="n"/>
      <c r="S5989" s="12" t="inlineStr">
        <is>
          <t>Duct bank</t>
        </is>
      </c>
      <c r="T5989" s="15" t="n">
        <v>230</v>
      </c>
      <c r="U5989" s="15" t="n">
        <v>32</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K-I-0107</t>
        </is>
      </c>
      <c r="B5990" s="12" t="inlineStr">
        <is>
          <t>K</t>
        </is>
      </c>
      <c r="C5990" s="12" t="inlineStr">
        <is>
          <t>Fuel supply (adjacent market)</t>
        </is>
      </c>
      <c r="D5990" s="12" t="inlineStr">
        <is>
          <t>Analog instrument to JB JB-LNG-T3-AI01: 4 x 1 pr (field cables)</t>
        </is>
      </c>
      <c r="E5990" s="12" t="inlineStr">
        <is>
          <t>LNG-T3</t>
        </is>
      </c>
      <c r="F5990" s="12" t="inlineStr">
        <is>
          <t>LNG 11: tank 3, Chart HS 50000 (51,780 gal)</t>
        </is>
      </c>
      <c r="G5990" s="12" t="inlineStr">
        <is>
          <t>JB-LNG-T3-AI01</t>
        </is>
      </c>
      <c r="H5990" s="12" t="inlineStr">
        <is>
          <t>LNG 11: tank 3, Chart HS 50000 (51,780 gal)</t>
        </is>
      </c>
      <c r="I5990" s="12" t="inlineStr">
        <is>
          <t>Instrumentation</t>
        </is>
      </c>
      <c r="J5990" s="12" t="inlineStr">
        <is>
          <t>Instrumentation ITC / PLTC, IS, #18 shielded pairs, blue jacket</t>
        </is>
      </c>
      <c r="K5990" s="12" t="inlineStr">
        <is>
          <t>ITC|1 pr|16</t>
        </is>
      </c>
      <c r="L5990" s="12" t="inlineStr">
        <is>
          <t>1 pr</t>
        </is>
      </c>
      <c r="M5990" s="12" t="inlineStr">
        <is>
          <t>16</t>
        </is>
      </c>
      <c r="N5990" s="12" t="n">
        <v>4</v>
      </c>
      <c r="O5990" s="12" t="n">
        <v>1</v>
      </c>
      <c r="P5990" s="12" t="n"/>
      <c r="Q5990" s="12" t="n"/>
      <c r="R5990" s="12" t="n"/>
      <c r="S5990" s="12" t="inlineStr">
        <is>
          <t>Tray / conduit</t>
        </is>
      </c>
      <c r="T5990" s="15" t="n">
        <v>77</v>
      </c>
      <c r="U5990" s="15" t="n">
        <v>10</v>
      </c>
      <c r="V5990" s="15">
        <f>ROUNDUP((T5990+U5990+2*'Read Me'!$B$13)*(1+'Read Me'!$B$12),-1)</f>
        <v/>
      </c>
      <c r="W5990" s="15">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K-I-0108</t>
        </is>
      </c>
      <c r="B5991" s="12" t="inlineStr">
        <is>
          <t>K</t>
        </is>
      </c>
      <c r="C5991" s="12" t="inlineStr">
        <is>
          <t>Fuel supply (adjacent market)</t>
        </is>
      </c>
      <c r="D5991" s="12" t="inlineStr">
        <is>
          <t>Home run JB-LNG-T3-AI01 to the control / marshalling room</t>
        </is>
      </c>
      <c r="E5991" s="12" t="inlineStr"/>
      <c r="F5991" s="12" t="inlineStr">
        <is>
          <t>LNG 17: LNG e-house (13.8 kV / 480 V)</t>
        </is>
      </c>
      <c r="G5991" s="12" t="inlineStr">
        <is>
          <t>JB-LNG-T3-AI01</t>
        </is>
      </c>
      <c r="H5991" s="12" t="inlineStr">
        <is>
          <t>LNG 11: tank 3, Chart HS 50000 (51,780 gal)</t>
        </is>
      </c>
      <c r="I5991" s="12" t="inlineStr">
        <is>
          <t>Instrumentation</t>
        </is>
      </c>
      <c r="J5991" s="12" t="inlineStr">
        <is>
          <t>Instrumentation ITC / PLTC, IS, #18 shielded pairs, blue jacket</t>
        </is>
      </c>
      <c r="K5991" s="12" t="inlineStr">
        <is>
          <t>ITC|24 pr|18</t>
        </is>
      </c>
      <c r="L5991" s="12" t="inlineStr">
        <is>
          <t>24 pr</t>
        </is>
      </c>
      <c r="M5991" s="12" t="inlineStr">
        <is>
          <t>18</t>
        </is>
      </c>
      <c r="N5991" s="12" t="n">
        <v>1</v>
      </c>
      <c r="O5991" s="12" t="n">
        <v>1</v>
      </c>
      <c r="P5991" s="12" t="n"/>
      <c r="Q5991" s="12" t="n"/>
      <c r="R5991" s="12" t="n"/>
      <c r="S5991" s="12" t="inlineStr">
        <is>
          <t>Duct bank</t>
        </is>
      </c>
      <c r="T5991" s="15" t="n">
        <v>250</v>
      </c>
      <c r="U5991" s="15" t="n">
        <v>32</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K-I-0109</t>
        </is>
      </c>
      <c r="B5992" s="12" t="inlineStr">
        <is>
          <t>K</t>
        </is>
      </c>
      <c r="C5992" s="12" t="inlineStr">
        <is>
          <t>Fuel supply (adjacent market)</t>
        </is>
      </c>
      <c r="D5992" s="12" t="inlineStr">
        <is>
          <t>Discrete device to JB JB-LNG-T3-DI01: 4 x 1 pr (field cables)</t>
        </is>
      </c>
      <c r="E5992" s="12" t="inlineStr">
        <is>
          <t>LNG-T3</t>
        </is>
      </c>
      <c r="F5992" s="12" t="inlineStr">
        <is>
          <t>LNG 11: tank 3, Chart HS 50000 (51,780 gal)</t>
        </is>
      </c>
      <c r="G5992" s="12" t="inlineStr">
        <is>
          <t>JB-LNG-T3-DI01</t>
        </is>
      </c>
      <c r="H5992" s="12" t="inlineStr">
        <is>
          <t>LNG 11: tank 3, Chart HS 50000 (51,780 gal)</t>
        </is>
      </c>
      <c r="I5992" s="12" t="inlineStr">
        <is>
          <t>Instrumentation</t>
        </is>
      </c>
      <c r="J5992" s="12" t="inlineStr">
        <is>
          <t>Instrumentation ITC / PLTC, IS, #18 shielded pairs, blue jacket</t>
        </is>
      </c>
      <c r="K5992" s="12" t="inlineStr">
        <is>
          <t>ITC|1 pr|16</t>
        </is>
      </c>
      <c r="L5992" s="12" t="inlineStr">
        <is>
          <t>1 pr</t>
        </is>
      </c>
      <c r="M5992" s="12" t="inlineStr">
        <is>
          <t>16</t>
        </is>
      </c>
      <c r="N5992" s="12" t="n">
        <v>4</v>
      </c>
      <c r="O5992" s="12" t="n">
        <v>1</v>
      </c>
      <c r="P5992" s="12" t="n"/>
      <c r="Q5992" s="12" t="n"/>
      <c r="R5992" s="12" t="n"/>
      <c r="S5992" s="12" t="inlineStr">
        <is>
          <t>Tray / conduit</t>
        </is>
      </c>
      <c r="T5992" s="15" t="n">
        <v>77</v>
      </c>
      <c r="U5992" s="15" t="n">
        <v>10</v>
      </c>
      <c r="V5992" s="15">
        <f>ROUNDUP((T5992+U5992+2*'Read Me'!$B$13)*(1+'Read Me'!$B$12),-1)</f>
        <v/>
      </c>
      <c r="W5992" s="15">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K-I-0110</t>
        </is>
      </c>
      <c r="B5993" s="12" t="inlineStr">
        <is>
          <t>K</t>
        </is>
      </c>
      <c r="C5993" s="12" t="inlineStr">
        <is>
          <t>Fuel supply (adjacent market)</t>
        </is>
      </c>
      <c r="D5993" s="12" t="inlineStr">
        <is>
          <t>Home run JB-LNG-T3-DI01 to the control / marshalling room</t>
        </is>
      </c>
      <c r="E5993" s="12" t="inlineStr"/>
      <c r="F5993" s="12" t="inlineStr">
        <is>
          <t>LNG 17: LNG e-house (13.8 kV / 480 V)</t>
        </is>
      </c>
      <c r="G5993" s="12" t="inlineStr">
        <is>
          <t>JB-LNG-T3-DI01</t>
        </is>
      </c>
      <c r="H5993" s="12" t="inlineStr">
        <is>
          <t>LNG 11: tank 3, Chart HS 50000 (51,780 gal)</t>
        </is>
      </c>
      <c r="I5993" s="12" t="inlineStr">
        <is>
          <t>Instrumentation</t>
        </is>
      </c>
      <c r="J5993" s="12" t="inlineStr">
        <is>
          <t>Instrumentation ITC / PLTC, IS, #18 shielded pairs, blue jacket</t>
        </is>
      </c>
      <c r="K5993" s="12" t="inlineStr">
        <is>
          <t>ITC|24 pr|18</t>
        </is>
      </c>
      <c r="L5993" s="12" t="inlineStr">
        <is>
          <t>24 pr</t>
        </is>
      </c>
      <c r="M5993" s="12" t="inlineStr">
        <is>
          <t>18</t>
        </is>
      </c>
      <c r="N5993" s="12" t="n">
        <v>1</v>
      </c>
      <c r="O5993" s="12" t="n">
        <v>1</v>
      </c>
      <c r="P5993" s="12" t="n"/>
      <c r="Q5993" s="12" t="n"/>
      <c r="R5993" s="12" t="n"/>
      <c r="S5993" s="12" t="inlineStr">
        <is>
          <t>Duct bank</t>
        </is>
      </c>
      <c r="T5993" s="15" t="n">
        <v>250</v>
      </c>
      <c r="U5993" s="15" t="n">
        <v>32</v>
      </c>
      <c r="V5993" s="15">
        <f>ROUNDUP((T5993+U5993+2*'Read Me'!$B$13)*(1+'Read Me'!$B$12),-1)</f>
        <v/>
      </c>
      <c r="W5993" s="15">
        <f>V5993*N5993*O5993</f>
        <v/>
      </c>
      <c r="X5993" s="12">
        <f>IF(LEFT(I5993,2)="MV",2*N5993*IF(L5993="1/C",O5993,1),0)</f>
        <v/>
      </c>
      <c r="Y5993" s="12">
        <f>IF(OR(LEFT(K5993,4)="LVAX",LEFT(K5993,6)="MV15AX",LEFT(K5993,4)="CTAX",LEFT(K5993,2)="W|"),2*N5993*O5993,0)</f>
        <v/>
      </c>
      <c r="Z5993" s="12" t="inlineStr"/>
      <c r="AA5993" s="12">
        <f>N5993*O5993</f>
        <v/>
      </c>
    </row>
    <row r="5994">
      <c r="A5994" s="12" t="inlineStr">
        <is>
          <t>K-I-0111</t>
        </is>
      </c>
      <c r="B5994" s="12" t="inlineStr">
        <is>
          <t>K</t>
        </is>
      </c>
      <c r="C5994" s="12" t="inlineStr">
        <is>
          <t>Fuel supply (adjacent market)</t>
        </is>
      </c>
      <c r="D5994" s="12" t="inlineStr">
        <is>
          <t>Analog instrument to JB JB-LNG-T4-AI01: 4 x 1 pr (field cables)</t>
        </is>
      </c>
      <c r="E5994" s="12" t="inlineStr">
        <is>
          <t>LNG-T4</t>
        </is>
      </c>
      <c r="F5994" s="12" t="inlineStr">
        <is>
          <t>LNG 11: tank 4, Chart HS 50000 (51,780 gal)</t>
        </is>
      </c>
      <c r="G5994" s="12" t="inlineStr">
        <is>
          <t>JB-LNG-T4-AI01</t>
        </is>
      </c>
      <c r="H5994" s="12" t="inlineStr">
        <is>
          <t>LNG 11: tank 4, Chart HS 50000 (51,780 gal)</t>
        </is>
      </c>
      <c r="I5994" s="12" t="inlineStr">
        <is>
          <t>Instrumentation</t>
        </is>
      </c>
      <c r="J5994" s="12" t="inlineStr">
        <is>
          <t>Instrumentation ITC / PLTC, IS, #18 shielded pairs, blue jacket</t>
        </is>
      </c>
      <c r="K5994" s="12" t="inlineStr">
        <is>
          <t>ITC|1 pr|16</t>
        </is>
      </c>
      <c r="L5994" s="12" t="inlineStr">
        <is>
          <t>1 pr</t>
        </is>
      </c>
      <c r="M5994" s="12" t="inlineStr">
        <is>
          <t>16</t>
        </is>
      </c>
      <c r="N5994" s="12" t="n">
        <v>4</v>
      </c>
      <c r="O5994" s="12" t="n">
        <v>1</v>
      </c>
      <c r="P5994" s="12" t="n"/>
      <c r="Q5994" s="12" t="n"/>
      <c r="R5994" s="12" t="n"/>
      <c r="S5994" s="12" t="inlineStr">
        <is>
          <t>Tray / conduit</t>
        </is>
      </c>
      <c r="T5994" s="15" t="n">
        <v>77</v>
      </c>
      <c r="U5994" s="15" t="n">
        <v>10</v>
      </c>
      <c r="V5994" s="15">
        <f>ROUNDUP((T5994+U5994+2*'Read Me'!$B$13)*(1+'Read Me'!$B$12),-1)</f>
        <v/>
      </c>
      <c r="W5994" s="15">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K-I-0112</t>
        </is>
      </c>
      <c r="B5995" s="12" t="inlineStr">
        <is>
          <t>K</t>
        </is>
      </c>
      <c r="C5995" s="12" t="inlineStr">
        <is>
          <t>Fuel supply (adjacent market)</t>
        </is>
      </c>
      <c r="D5995" s="12" t="inlineStr">
        <is>
          <t>Home run JB-LNG-T4-AI01 to the control / marshalling room</t>
        </is>
      </c>
      <c r="E5995" s="12" t="inlineStr"/>
      <c r="F5995" s="12" t="inlineStr">
        <is>
          <t>LNG 17: LNG e-house (13.8 kV / 480 V)</t>
        </is>
      </c>
      <c r="G5995" s="12" t="inlineStr">
        <is>
          <t>JB-LNG-T4-AI01</t>
        </is>
      </c>
      <c r="H5995" s="12" t="inlineStr">
        <is>
          <t>LNG 11: tank 4, Chart HS 50000 (51,780 gal)</t>
        </is>
      </c>
      <c r="I5995" s="12" t="inlineStr">
        <is>
          <t>Instrumentation</t>
        </is>
      </c>
      <c r="J5995" s="12" t="inlineStr">
        <is>
          <t>Instrumentation ITC / PLTC, IS, #18 shielded pairs, blue jacket</t>
        </is>
      </c>
      <c r="K5995" s="12" t="inlineStr">
        <is>
          <t>ITC|24 pr|18</t>
        </is>
      </c>
      <c r="L5995" s="12" t="inlineStr">
        <is>
          <t>24 pr</t>
        </is>
      </c>
      <c r="M5995" s="12" t="inlineStr">
        <is>
          <t>18</t>
        </is>
      </c>
      <c r="N5995" s="12" t="n">
        <v>1</v>
      </c>
      <c r="O5995" s="12" t="n">
        <v>1</v>
      </c>
      <c r="P5995" s="12" t="n"/>
      <c r="Q5995" s="12" t="n"/>
      <c r="R5995" s="12" t="n"/>
      <c r="S5995" s="12" t="inlineStr">
        <is>
          <t>Duct bank</t>
        </is>
      </c>
      <c r="T5995" s="15" t="n">
        <v>270</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c r="AA5995" s="12">
        <f>N5995*O5995</f>
        <v/>
      </c>
    </row>
    <row r="5996">
      <c r="A5996" s="12" t="inlineStr">
        <is>
          <t>K-I-0113</t>
        </is>
      </c>
      <c r="B5996" s="12" t="inlineStr">
        <is>
          <t>K</t>
        </is>
      </c>
      <c r="C5996" s="12" t="inlineStr">
        <is>
          <t>Fuel supply (adjacent market)</t>
        </is>
      </c>
      <c r="D5996" s="12" t="inlineStr">
        <is>
          <t>Discrete device to JB JB-LNG-T4-DI01: 4 x 1 pr (field cables)</t>
        </is>
      </c>
      <c r="E5996" s="12" t="inlineStr">
        <is>
          <t>LNG-T4</t>
        </is>
      </c>
      <c r="F5996" s="12" t="inlineStr">
        <is>
          <t>LNG 11: tank 4, Chart HS 50000 (51,780 gal)</t>
        </is>
      </c>
      <c r="G5996" s="12" t="inlineStr">
        <is>
          <t>JB-LNG-T4-DI01</t>
        </is>
      </c>
      <c r="H5996" s="12" t="inlineStr">
        <is>
          <t>LNG 11: tank 4, Chart HS 50000 (51,780 gal)</t>
        </is>
      </c>
      <c r="I5996" s="12" t="inlineStr">
        <is>
          <t>Instrumentation</t>
        </is>
      </c>
      <c r="J5996" s="12" t="inlineStr">
        <is>
          <t>Instrumentation ITC / PLTC, IS, #18 shielded pairs, blue jacket</t>
        </is>
      </c>
      <c r="K5996" s="12" t="inlineStr">
        <is>
          <t>ITC|1 pr|16</t>
        </is>
      </c>
      <c r="L5996" s="12" t="inlineStr">
        <is>
          <t>1 pr</t>
        </is>
      </c>
      <c r="M5996" s="12" t="inlineStr">
        <is>
          <t>16</t>
        </is>
      </c>
      <c r="N5996" s="12" t="n">
        <v>4</v>
      </c>
      <c r="O5996" s="12" t="n">
        <v>1</v>
      </c>
      <c r="P5996" s="12" t="n"/>
      <c r="Q5996" s="12" t="n"/>
      <c r="R5996" s="12" t="n"/>
      <c r="S5996" s="12" t="inlineStr">
        <is>
          <t>Tray / conduit</t>
        </is>
      </c>
      <c r="T5996" s="15" t="n">
        <v>77</v>
      </c>
      <c r="U5996" s="15" t="n">
        <v>10</v>
      </c>
      <c r="V5996" s="15">
        <f>ROUNDUP((T5996+U5996+2*'Read Me'!$B$13)*(1+'Read Me'!$B$12),-1)</f>
        <v/>
      </c>
      <c r="W5996" s="15">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K-I-0114</t>
        </is>
      </c>
      <c r="B5997" s="12" t="inlineStr">
        <is>
          <t>K</t>
        </is>
      </c>
      <c r="C5997" s="12" t="inlineStr">
        <is>
          <t>Fuel supply (adjacent market)</t>
        </is>
      </c>
      <c r="D5997" s="12" t="inlineStr">
        <is>
          <t>Home run JB-LNG-T4-DI01 to the control / marshalling room</t>
        </is>
      </c>
      <c r="E5997" s="12" t="inlineStr"/>
      <c r="F5997" s="12" t="inlineStr">
        <is>
          <t>LNG 17: LNG e-house (13.8 kV / 480 V)</t>
        </is>
      </c>
      <c r="G5997" s="12" t="inlineStr">
        <is>
          <t>JB-LNG-T4-DI01</t>
        </is>
      </c>
      <c r="H5997" s="12" t="inlineStr">
        <is>
          <t>LNG 11: tank 4, Chart HS 50000 (51,780 gal)</t>
        </is>
      </c>
      <c r="I5997" s="12" t="inlineStr">
        <is>
          <t>Instrumentation</t>
        </is>
      </c>
      <c r="J5997" s="12" t="inlineStr">
        <is>
          <t>Instrumentation ITC / PLTC, IS, #18 shielded pairs, blue jacket</t>
        </is>
      </c>
      <c r="K5997" s="12" t="inlineStr">
        <is>
          <t>ITC|24 pr|18</t>
        </is>
      </c>
      <c r="L5997" s="12" t="inlineStr">
        <is>
          <t>24 pr</t>
        </is>
      </c>
      <c r="M5997" s="12" t="inlineStr">
        <is>
          <t>18</t>
        </is>
      </c>
      <c r="N5997" s="12" t="n">
        <v>1</v>
      </c>
      <c r="O5997" s="12" t="n">
        <v>1</v>
      </c>
      <c r="P5997" s="12" t="n"/>
      <c r="Q5997" s="12" t="n"/>
      <c r="R5997" s="12" t="n"/>
      <c r="S5997" s="12" t="inlineStr">
        <is>
          <t>Duct bank</t>
        </is>
      </c>
      <c r="T5997" s="15" t="n">
        <v>270</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c r="AA5997" s="12">
        <f>N5997*O5997</f>
        <v/>
      </c>
    </row>
    <row r="5998">
      <c r="A5998" s="12" t="inlineStr">
        <is>
          <t>K-I-0115</t>
        </is>
      </c>
      <c r="B5998" s="12" t="inlineStr">
        <is>
          <t>K</t>
        </is>
      </c>
      <c r="C5998" s="12" t="inlineStr">
        <is>
          <t>Fuel supply (adjacent market)</t>
        </is>
      </c>
      <c r="D5998" s="12" t="inlineStr">
        <is>
          <t>Analog instrument to JB JB-LNG-T5-AI01: 4 x 1 pr (field cables)</t>
        </is>
      </c>
      <c r="E5998" s="12" t="inlineStr">
        <is>
          <t>LNG-T5</t>
        </is>
      </c>
      <c r="F5998" s="12" t="inlineStr">
        <is>
          <t>LNG 11: tank 5, Chart HS 50000 (51,780 gal)</t>
        </is>
      </c>
      <c r="G5998" s="12" t="inlineStr">
        <is>
          <t>JB-LNG-T5-AI01</t>
        </is>
      </c>
      <c r="H5998" s="12" t="inlineStr">
        <is>
          <t>LNG 11: tank 5, Chart HS 50000 (51,780 gal)</t>
        </is>
      </c>
      <c r="I5998" s="12" t="inlineStr">
        <is>
          <t>Instrumentation</t>
        </is>
      </c>
      <c r="J5998" s="12" t="inlineStr">
        <is>
          <t>Instrumentation ITC / PLTC, IS, #18 shielded pairs, blue jacket</t>
        </is>
      </c>
      <c r="K5998" s="12" t="inlineStr">
        <is>
          <t>ITC|1 pr|16</t>
        </is>
      </c>
      <c r="L5998" s="12" t="inlineStr">
        <is>
          <t>1 pr</t>
        </is>
      </c>
      <c r="M5998" s="12" t="inlineStr">
        <is>
          <t>16</t>
        </is>
      </c>
      <c r="N5998" s="12" t="n">
        <v>4</v>
      </c>
      <c r="O5998" s="12" t="n">
        <v>1</v>
      </c>
      <c r="P5998" s="12" t="n"/>
      <c r="Q5998" s="12" t="n"/>
      <c r="R5998" s="12" t="n"/>
      <c r="S5998" s="12" t="inlineStr">
        <is>
          <t>Tray / conduit</t>
        </is>
      </c>
      <c r="T5998" s="15" t="n">
        <v>77</v>
      </c>
      <c r="U5998" s="15" t="n">
        <v>10</v>
      </c>
      <c r="V5998" s="15">
        <f>ROUNDUP((T5998+U5998+2*'Read Me'!$B$13)*(1+'Read Me'!$B$12),-1)</f>
        <v/>
      </c>
      <c r="W5998" s="15">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K-I-0116</t>
        </is>
      </c>
      <c r="B5999" s="12" t="inlineStr">
        <is>
          <t>K</t>
        </is>
      </c>
      <c r="C5999" s="12" t="inlineStr">
        <is>
          <t>Fuel supply (adjacent market)</t>
        </is>
      </c>
      <c r="D5999" s="12" t="inlineStr">
        <is>
          <t>Home run JB-LNG-T5-AI01 to the control / marshalling room</t>
        </is>
      </c>
      <c r="E5999" s="12" t="inlineStr"/>
      <c r="F5999" s="12" t="inlineStr">
        <is>
          <t>LNG 17: LNG e-house (13.8 kV / 480 V)</t>
        </is>
      </c>
      <c r="G5999" s="12" t="inlineStr">
        <is>
          <t>JB-LNG-T5-AI01</t>
        </is>
      </c>
      <c r="H5999" s="12" t="inlineStr">
        <is>
          <t>LNG 11: tank 5, Chart HS 50000 (51,780 gal)</t>
        </is>
      </c>
      <c r="I5999" s="12" t="inlineStr">
        <is>
          <t>Instrumentation</t>
        </is>
      </c>
      <c r="J5999" s="12" t="inlineStr">
        <is>
          <t>Instrumentation ITC / PLTC, IS, #18 shielded pairs, blue jacket</t>
        </is>
      </c>
      <c r="K5999" s="12" t="inlineStr">
        <is>
          <t>ITC|24 pr|18</t>
        </is>
      </c>
      <c r="L5999" s="12" t="inlineStr">
        <is>
          <t>24 pr</t>
        </is>
      </c>
      <c r="M5999" s="12" t="inlineStr">
        <is>
          <t>18</t>
        </is>
      </c>
      <c r="N5999" s="12" t="n">
        <v>1</v>
      </c>
      <c r="O5999" s="12" t="n">
        <v>1</v>
      </c>
      <c r="P5999" s="12" t="n"/>
      <c r="Q5999" s="12" t="n"/>
      <c r="R5999" s="12" t="n"/>
      <c r="S5999" s="12" t="inlineStr">
        <is>
          <t>Duct bank</t>
        </is>
      </c>
      <c r="T5999" s="15" t="n">
        <v>290</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c r="AA5999" s="12">
        <f>N5999*O5999</f>
        <v/>
      </c>
    </row>
    <row r="6000">
      <c r="A6000" s="12" t="inlineStr">
        <is>
          <t>K-I-0117</t>
        </is>
      </c>
      <c r="B6000" s="12" t="inlineStr">
        <is>
          <t>K</t>
        </is>
      </c>
      <c r="C6000" s="12" t="inlineStr">
        <is>
          <t>Fuel supply (adjacent market)</t>
        </is>
      </c>
      <c r="D6000" s="12" t="inlineStr">
        <is>
          <t>Discrete device to JB JB-LNG-T5-DI01: 4 x 1 pr (field cables)</t>
        </is>
      </c>
      <c r="E6000" s="12" t="inlineStr">
        <is>
          <t>LNG-T5</t>
        </is>
      </c>
      <c r="F6000" s="12" t="inlineStr">
        <is>
          <t>LNG 11: tank 5, Chart HS 50000 (51,780 gal)</t>
        </is>
      </c>
      <c r="G6000" s="12" t="inlineStr">
        <is>
          <t>JB-LNG-T5-DI01</t>
        </is>
      </c>
      <c r="H6000" s="12" t="inlineStr">
        <is>
          <t>LNG 11: tank 5, Chart HS 50000 (51,780 gal)</t>
        </is>
      </c>
      <c r="I6000" s="12" t="inlineStr">
        <is>
          <t>Instrumentation</t>
        </is>
      </c>
      <c r="J6000" s="12" t="inlineStr">
        <is>
          <t>Instrumentation ITC / PLTC, IS, #18 shielded pairs, blue jacket</t>
        </is>
      </c>
      <c r="K6000" s="12" t="inlineStr">
        <is>
          <t>ITC|1 pr|16</t>
        </is>
      </c>
      <c r="L6000" s="12" t="inlineStr">
        <is>
          <t>1 pr</t>
        </is>
      </c>
      <c r="M6000" s="12" t="inlineStr">
        <is>
          <t>16</t>
        </is>
      </c>
      <c r="N6000" s="12" t="n">
        <v>4</v>
      </c>
      <c r="O6000" s="12" t="n">
        <v>1</v>
      </c>
      <c r="P6000" s="12" t="n"/>
      <c r="Q6000" s="12" t="n"/>
      <c r="R6000" s="12" t="n"/>
      <c r="S6000" s="12" t="inlineStr">
        <is>
          <t>Tray / conduit</t>
        </is>
      </c>
      <c r="T6000" s="15" t="n">
        <v>77</v>
      </c>
      <c r="U6000" s="15" t="n">
        <v>10</v>
      </c>
      <c r="V6000" s="15">
        <f>ROUNDUP((T6000+U6000+2*'Read Me'!$B$13)*(1+'Read Me'!$B$12),-1)</f>
        <v/>
      </c>
      <c r="W6000" s="15">
        <f>V6000*N6000*O6000</f>
        <v/>
      </c>
      <c r="X6000" s="12">
        <f>IF(LEFT(I6000,2)="MV",2*N6000*IF(L6000="1/C",O6000,1),0)</f>
        <v/>
      </c>
      <c r="Y6000" s="12">
        <f>IF(OR(LEFT(K6000,4)="LVAX",LEFT(K6000,6)="MV15AX",LEFT(K6000,4)="CTAX",LEFT(K6000,2)="W|"),2*N6000*O6000,0)</f>
        <v/>
      </c>
      <c r="Z6000" s="12" t="inlineStr">
        <is>
          <t>device-to-JB field wiring, one cable per device</t>
        </is>
      </c>
      <c r="AA6000" s="12">
        <f>N6000*O6000</f>
        <v/>
      </c>
    </row>
    <row r="6001">
      <c r="A6001" s="12" t="inlineStr">
        <is>
          <t>K-I-0118</t>
        </is>
      </c>
      <c r="B6001" s="12" t="inlineStr">
        <is>
          <t>K</t>
        </is>
      </c>
      <c r="C6001" s="12" t="inlineStr">
        <is>
          <t>Fuel supply (adjacent market)</t>
        </is>
      </c>
      <c r="D6001" s="12" t="inlineStr">
        <is>
          <t>Home run JB-LNG-T5-DI01 to the control / marshalling room</t>
        </is>
      </c>
      <c r="E6001" s="12" t="inlineStr"/>
      <c r="F6001" s="12" t="inlineStr">
        <is>
          <t>LNG 17: LNG e-house (13.8 kV / 480 V)</t>
        </is>
      </c>
      <c r="G6001" s="12" t="inlineStr">
        <is>
          <t>JB-LNG-T5-DI01</t>
        </is>
      </c>
      <c r="H6001" s="12" t="inlineStr">
        <is>
          <t>LNG 11: tank 5, Chart HS 50000 (51,780 gal)</t>
        </is>
      </c>
      <c r="I6001" s="12" t="inlineStr">
        <is>
          <t>Instrumentation</t>
        </is>
      </c>
      <c r="J6001" s="12" t="inlineStr">
        <is>
          <t>Instrumentation ITC / PLTC, IS, #18 shielded pairs, blue jacket</t>
        </is>
      </c>
      <c r="K6001" s="12" t="inlineStr">
        <is>
          <t>ITC|24 pr|18</t>
        </is>
      </c>
      <c r="L6001" s="12" t="inlineStr">
        <is>
          <t>24 pr</t>
        </is>
      </c>
      <c r="M6001" s="12" t="inlineStr">
        <is>
          <t>18</t>
        </is>
      </c>
      <c r="N6001" s="12" t="n">
        <v>1</v>
      </c>
      <c r="O6001" s="12" t="n">
        <v>1</v>
      </c>
      <c r="P6001" s="12" t="n"/>
      <c r="Q6001" s="12" t="n"/>
      <c r="R6001" s="12" t="n"/>
      <c r="S6001" s="12" t="inlineStr">
        <is>
          <t>Duct bank</t>
        </is>
      </c>
      <c r="T6001" s="15" t="n">
        <v>290</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c r="AA6001" s="12">
        <f>N6001*O6001</f>
        <v/>
      </c>
    </row>
    <row r="6002">
      <c r="A6002" s="12" t="inlineStr">
        <is>
          <t>K-I-0119</t>
        </is>
      </c>
      <c r="B6002" s="12" t="inlineStr">
        <is>
          <t>K</t>
        </is>
      </c>
      <c r="C6002" s="12" t="inlineStr">
        <is>
          <t>Fuel supply (adjacent market)</t>
        </is>
      </c>
      <c r="D6002" s="12" t="inlineStr">
        <is>
          <t>Analog instrument to JB JB-LNG-T6-AI01: 4 x 1 pr (field cables)</t>
        </is>
      </c>
      <c r="E6002" s="12" t="inlineStr">
        <is>
          <t>LNG-T6</t>
        </is>
      </c>
      <c r="F6002" s="12" t="inlineStr">
        <is>
          <t>LNG 11: tank 6, Chart HS 50000 (51,780 gal)</t>
        </is>
      </c>
      <c r="G6002" s="12" t="inlineStr">
        <is>
          <t>JB-LNG-T6-AI01</t>
        </is>
      </c>
      <c r="H6002" s="12" t="inlineStr">
        <is>
          <t>LNG 11: tank 6, Chart HS 50000 (51,780 gal)</t>
        </is>
      </c>
      <c r="I6002" s="12" t="inlineStr">
        <is>
          <t>Instrumentation</t>
        </is>
      </c>
      <c r="J6002" s="12" t="inlineStr">
        <is>
          <t>Instrumentation ITC / PLTC, IS, #18 shielded pairs, blue jacket</t>
        </is>
      </c>
      <c r="K6002" s="12" t="inlineStr">
        <is>
          <t>ITC|1 pr|16</t>
        </is>
      </c>
      <c r="L6002" s="12" t="inlineStr">
        <is>
          <t>1 pr</t>
        </is>
      </c>
      <c r="M6002" s="12" t="inlineStr">
        <is>
          <t>16</t>
        </is>
      </c>
      <c r="N6002" s="12" t="n">
        <v>4</v>
      </c>
      <c r="O6002" s="12" t="n">
        <v>1</v>
      </c>
      <c r="P6002" s="12" t="n"/>
      <c r="Q6002" s="12" t="n"/>
      <c r="R6002" s="12" t="n"/>
      <c r="S6002" s="12" t="inlineStr">
        <is>
          <t>Tray / conduit</t>
        </is>
      </c>
      <c r="T6002" s="15" t="n">
        <v>77</v>
      </c>
      <c r="U6002" s="15" t="n">
        <v>10</v>
      </c>
      <c r="V6002" s="15">
        <f>ROUNDUP((T6002+U6002+2*'Read Me'!$B$13)*(1+'Read Me'!$B$12),-1)</f>
        <v/>
      </c>
      <c r="W6002" s="15">
        <f>V6002*N6002*O6002</f>
        <v/>
      </c>
      <c r="X6002" s="12">
        <f>IF(LEFT(I6002,2)="MV",2*N6002*IF(L6002="1/C",O6002,1),0)</f>
        <v/>
      </c>
      <c r="Y6002" s="12">
        <f>IF(OR(LEFT(K6002,4)="LVAX",LEFT(K6002,6)="MV15AX",LEFT(K6002,4)="CTAX",LEFT(K6002,2)="W|"),2*N6002*O6002,0)</f>
        <v/>
      </c>
      <c r="Z6002" s="12" t="inlineStr">
        <is>
          <t>device-to-JB field wiring, one cable per device</t>
        </is>
      </c>
      <c r="AA6002" s="12">
        <f>N6002*O6002</f>
        <v/>
      </c>
    </row>
    <row r="6003">
      <c r="A6003" s="12" t="inlineStr">
        <is>
          <t>K-I-0120</t>
        </is>
      </c>
      <c r="B6003" s="12" t="inlineStr">
        <is>
          <t>K</t>
        </is>
      </c>
      <c r="C6003" s="12" t="inlineStr">
        <is>
          <t>Fuel supply (adjacent market)</t>
        </is>
      </c>
      <c r="D6003" s="12" t="inlineStr">
        <is>
          <t>Home run JB-LNG-T6-AI01 to the control / marshalling room</t>
        </is>
      </c>
      <c r="E6003" s="12" t="inlineStr"/>
      <c r="F6003" s="12" t="inlineStr">
        <is>
          <t>LNG 17: LNG e-house (13.8 kV / 480 V)</t>
        </is>
      </c>
      <c r="G6003" s="12" t="inlineStr">
        <is>
          <t>JB-LNG-T6-AI01</t>
        </is>
      </c>
      <c r="H6003" s="12" t="inlineStr">
        <is>
          <t>LNG 11: tank 6, Chart HS 50000 (51,780 gal)</t>
        </is>
      </c>
      <c r="I6003" s="12" t="inlineStr">
        <is>
          <t>Instrumentation</t>
        </is>
      </c>
      <c r="J6003" s="12" t="inlineStr">
        <is>
          <t>Instrumentation ITC / PLTC, IS, #18 shielded pairs, blue jacket</t>
        </is>
      </c>
      <c r="K6003" s="12" t="inlineStr">
        <is>
          <t>ITC|24 pr|18</t>
        </is>
      </c>
      <c r="L6003" s="12" t="inlineStr">
        <is>
          <t>24 pr</t>
        </is>
      </c>
      <c r="M6003" s="12" t="inlineStr">
        <is>
          <t>18</t>
        </is>
      </c>
      <c r="N6003" s="12" t="n">
        <v>1</v>
      </c>
      <c r="O6003" s="12" t="n">
        <v>1</v>
      </c>
      <c r="P6003" s="12" t="n"/>
      <c r="Q6003" s="12" t="n"/>
      <c r="R6003" s="12" t="n"/>
      <c r="S6003" s="12" t="inlineStr">
        <is>
          <t>Duct bank</t>
        </is>
      </c>
      <c r="T6003" s="15" t="n">
        <v>310</v>
      </c>
      <c r="U6003" s="15" t="n">
        <v>32</v>
      </c>
      <c r="V6003" s="15">
        <f>ROUNDUP((T6003+U6003+2*'Read Me'!$B$13)*(1+'Read Me'!$B$12),-1)</f>
        <v/>
      </c>
      <c r="W6003" s="15">
        <f>V6003*N6003*O6003</f>
        <v/>
      </c>
      <c r="X6003" s="12">
        <f>IF(LEFT(I6003,2)="MV",2*N6003*IF(L6003="1/C",O6003,1),0)</f>
        <v/>
      </c>
      <c r="Y6003" s="12">
        <f>IF(OR(LEFT(K6003,4)="LVAX",LEFT(K6003,6)="MV15AX",LEFT(K6003,4)="CTAX",LEFT(K6003,2)="W|"),2*N6003*O6003,0)</f>
        <v/>
      </c>
      <c r="Z6003" s="12" t="inlineStr"/>
      <c r="AA6003" s="12">
        <f>N6003*O6003</f>
        <v/>
      </c>
    </row>
    <row r="6004">
      <c r="A6004" s="12" t="inlineStr">
        <is>
          <t>K-I-0121</t>
        </is>
      </c>
      <c r="B6004" s="12" t="inlineStr">
        <is>
          <t>K</t>
        </is>
      </c>
      <c r="C6004" s="12" t="inlineStr">
        <is>
          <t>Fuel supply (adjacent market)</t>
        </is>
      </c>
      <c r="D6004" s="12" t="inlineStr">
        <is>
          <t>Discrete device to JB JB-LNG-T6-DI01: 4 x 1 pr (field cables)</t>
        </is>
      </c>
      <c r="E6004" s="12" t="inlineStr">
        <is>
          <t>LNG-T6</t>
        </is>
      </c>
      <c r="F6004" s="12" t="inlineStr">
        <is>
          <t>LNG 11: tank 6, Chart HS 50000 (51,780 gal)</t>
        </is>
      </c>
      <c r="G6004" s="12" t="inlineStr">
        <is>
          <t>JB-LNG-T6-DI01</t>
        </is>
      </c>
      <c r="H6004" s="12" t="inlineStr">
        <is>
          <t>LNG 11: tank 6, Chart HS 50000 (51,780 gal)</t>
        </is>
      </c>
      <c r="I6004" s="12" t="inlineStr">
        <is>
          <t>Instrumentation</t>
        </is>
      </c>
      <c r="J6004" s="12" t="inlineStr">
        <is>
          <t>Instrumentation ITC / PLTC, IS, #18 shielded pairs, blue jacket</t>
        </is>
      </c>
      <c r="K6004" s="12" t="inlineStr">
        <is>
          <t>ITC|1 pr|16</t>
        </is>
      </c>
      <c r="L6004" s="12" t="inlineStr">
        <is>
          <t>1 pr</t>
        </is>
      </c>
      <c r="M6004" s="12" t="inlineStr">
        <is>
          <t>16</t>
        </is>
      </c>
      <c r="N6004" s="12" t="n">
        <v>4</v>
      </c>
      <c r="O6004" s="12" t="n">
        <v>1</v>
      </c>
      <c r="P6004" s="12" t="n"/>
      <c r="Q6004" s="12" t="n"/>
      <c r="R6004" s="12" t="n"/>
      <c r="S6004" s="12" t="inlineStr">
        <is>
          <t>Tray / conduit</t>
        </is>
      </c>
      <c r="T6004" s="15" t="n">
        <v>77</v>
      </c>
      <c r="U6004" s="15" t="n">
        <v>10</v>
      </c>
      <c r="V6004" s="15">
        <f>ROUNDUP((T6004+U6004+2*'Read Me'!$B$13)*(1+'Read Me'!$B$12),-1)</f>
        <v/>
      </c>
      <c r="W6004" s="15">
        <f>V6004*N6004*O6004</f>
        <v/>
      </c>
      <c r="X6004" s="12">
        <f>IF(LEFT(I6004,2)="MV",2*N6004*IF(L6004="1/C",O6004,1),0)</f>
        <v/>
      </c>
      <c r="Y6004" s="12">
        <f>IF(OR(LEFT(K6004,4)="LVAX",LEFT(K6004,6)="MV15AX",LEFT(K6004,4)="CTAX",LEFT(K6004,2)="W|"),2*N6004*O6004,0)</f>
        <v/>
      </c>
      <c r="Z6004" s="12" t="inlineStr">
        <is>
          <t>device-to-JB field wiring, one cable per device</t>
        </is>
      </c>
      <c r="AA6004" s="12">
        <f>N6004*O6004</f>
        <v/>
      </c>
    </row>
    <row r="6005">
      <c r="A6005" s="12" t="inlineStr">
        <is>
          <t>K-I-0122</t>
        </is>
      </c>
      <c r="B6005" s="12" t="inlineStr">
        <is>
          <t>K</t>
        </is>
      </c>
      <c r="C6005" s="12" t="inlineStr">
        <is>
          <t>Fuel supply (adjacent market)</t>
        </is>
      </c>
      <c r="D6005" s="12" t="inlineStr">
        <is>
          <t>Home run JB-LNG-T6-DI01 to the control / marshalling room</t>
        </is>
      </c>
      <c r="E6005" s="12" t="inlineStr"/>
      <c r="F6005" s="12" t="inlineStr">
        <is>
          <t>LNG 17: LNG e-house (13.8 kV / 480 V)</t>
        </is>
      </c>
      <c r="G6005" s="12" t="inlineStr">
        <is>
          <t>JB-LNG-T6-DI01</t>
        </is>
      </c>
      <c r="H6005" s="12" t="inlineStr">
        <is>
          <t>LNG 11: tank 6, Chart HS 50000 (51,780 gal)</t>
        </is>
      </c>
      <c r="I6005" s="12" t="inlineStr">
        <is>
          <t>Instrumentation</t>
        </is>
      </c>
      <c r="J6005" s="12" t="inlineStr">
        <is>
          <t>Instrumentation ITC / PLTC, IS, #18 shielded pairs, blue jacket</t>
        </is>
      </c>
      <c r="K6005" s="12" t="inlineStr">
        <is>
          <t>ITC|24 pr|18</t>
        </is>
      </c>
      <c r="L6005" s="12" t="inlineStr">
        <is>
          <t>24 pr</t>
        </is>
      </c>
      <c r="M6005" s="12" t="inlineStr">
        <is>
          <t>18</t>
        </is>
      </c>
      <c r="N6005" s="12" t="n">
        <v>1</v>
      </c>
      <c r="O6005" s="12" t="n">
        <v>1</v>
      </c>
      <c r="P6005" s="12" t="n"/>
      <c r="Q6005" s="12" t="n"/>
      <c r="R6005" s="12" t="n"/>
      <c r="S6005" s="12" t="inlineStr">
        <is>
          <t>Duct bank</t>
        </is>
      </c>
      <c r="T6005" s="15" t="n">
        <v>310</v>
      </c>
      <c r="U6005" s="15" t="n">
        <v>32</v>
      </c>
      <c r="V6005" s="15">
        <f>ROUNDUP((T6005+U6005+2*'Read Me'!$B$13)*(1+'Read Me'!$B$12),-1)</f>
        <v/>
      </c>
      <c r="W6005" s="15">
        <f>V6005*N6005*O6005</f>
        <v/>
      </c>
      <c r="X6005" s="12">
        <f>IF(LEFT(I6005,2)="MV",2*N6005*IF(L6005="1/C",O6005,1),0)</f>
        <v/>
      </c>
      <c r="Y6005" s="12">
        <f>IF(OR(LEFT(K6005,4)="LVAX",LEFT(K6005,6)="MV15AX",LEFT(K6005,4)="CTAX",LEFT(K6005,2)="W|"),2*N6005*O6005,0)</f>
        <v/>
      </c>
      <c r="Z6005" s="12" t="inlineStr"/>
      <c r="AA6005" s="12">
        <f>N6005*O6005</f>
        <v/>
      </c>
    </row>
    <row r="6006">
      <c r="A6006" s="12" t="inlineStr">
        <is>
          <t>K-I-0123</t>
        </is>
      </c>
      <c r="B6006" s="12" t="inlineStr">
        <is>
          <t>K</t>
        </is>
      </c>
      <c r="C6006" s="12" t="inlineStr">
        <is>
          <t>Fuel supply (adjacent market)</t>
        </is>
      </c>
      <c r="D6006" s="12" t="inlineStr">
        <is>
          <t>Analog instrument to JB JB-LNG-T7-AI01: 4 x 1 pr (field cables)</t>
        </is>
      </c>
      <c r="E6006" s="12" t="inlineStr">
        <is>
          <t>LNG-T7</t>
        </is>
      </c>
      <c r="F6006" s="12" t="inlineStr">
        <is>
          <t>LNG 11: tank 7, Chart HS 50000 (51,780 gal)</t>
        </is>
      </c>
      <c r="G6006" s="12" t="inlineStr">
        <is>
          <t>JB-LNG-T7-AI01</t>
        </is>
      </c>
      <c r="H6006" s="12" t="inlineStr">
        <is>
          <t>LNG 11: tank 7, Chart HS 50000 (51,780 gal)</t>
        </is>
      </c>
      <c r="I6006" s="12" t="inlineStr">
        <is>
          <t>Instrumentation</t>
        </is>
      </c>
      <c r="J6006" s="12" t="inlineStr">
        <is>
          <t>Instrumentation ITC / PLTC, IS, #18 shielded pairs, blue jacket</t>
        </is>
      </c>
      <c r="K6006" s="12" t="inlineStr">
        <is>
          <t>ITC|1 pr|16</t>
        </is>
      </c>
      <c r="L6006" s="12" t="inlineStr">
        <is>
          <t>1 pr</t>
        </is>
      </c>
      <c r="M6006" s="12" t="inlineStr">
        <is>
          <t>16</t>
        </is>
      </c>
      <c r="N6006" s="12" t="n">
        <v>4</v>
      </c>
      <c r="O6006" s="12" t="n">
        <v>1</v>
      </c>
      <c r="P6006" s="12" t="n"/>
      <c r="Q6006" s="12" t="n"/>
      <c r="R6006" s="12" t="n"/>
      <c r="S6006" s="12" t="inlineStr">
        <is>
          <t>Tray / conduit</t>
        </is>
      </c>
      <c r="T6006" s="15" t="n">
        <v>77</v>
      </c>
      <c r="U6006" s="15" t="n">
        <v>10</v>
      </c>
      <c r="V6006" s="15">
        <f>ROUNDUP((T6006+U6006+2*'Read Me'!$B$13)*(1+'Read Me'!$B$12),-1)</f>
        <v/>
      </c>
      <c r="W6006" s="15">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K-I-0124</t>
        </is>
      </c>
      <c r="B6007" s="12" t="inlineStr">
        <is>
          <t>K</t>
        </is>
      </c>
      <c r="C6007" s="12" t="inlineStr">
        <is>
          <t>Fuel supply (adjacent market)</t>
        </is>
      </c>
      <c r="D6007" s="12" t="inlineStr">
        <is>
          <t>Home run JB-LNG-T7-AI01 to the control / marshalling room</t>
        </is>
      </c>
      <c r="E6007" s="12" t="inlineStr"/>
      <c r="F6007" s="12" t="inlineStr">
        <is>
          <t>LNG 17: LNG e-house (13.8 kV / 480 V)</t>
        </is>
      </c>
      <c r="G6007" s="12" t="inlineStr">
        <is>
          <t>JB-LNG-T7-AI01</t>
        </is>
      </c>
      <c r="H6007" s="12" t="inlineStr">
        <is>
          <t>LNG 11: tank 7, Chart HS 50000 (51,780 gal)</t>
        </is>
      </c>
      <c r="I6007" s="12" t="inlineStr">
        <is>
          <t>Instrumentation</t>
        </is>
      </c>
      <c r="J6007" s="12" t="inlineStr">
        <is>
          <t>Instrumentation ITC / PLTC, IS, #18 shielded pairs, blue jacket</t>
        </is>
      </c>
      <c r="K6007" s="12" t="inlineStr">
        <is>
          <t>ITC|24 pr|18</t>
        </is>
      </c>
      <c r="L6007" s="12" t="inlineStr">
        <is>
          <t>24 pr</t>
        </is>
      </c>
      <c r="M6007" s="12" t="inlineStr">
        <is>
          <t>18</t>
        </is>
      </c>
      <c r="N6007" s="12" t="n">
        <v>1</v>
      </c>
      <c r="O6007" s="12" t="n">
        <v>1</v>
      </c>
      <c r="P6007" s="12" t="n"/>
      <c r="Q6007" s="12" t="n"/>
      <c r="R6007" s="12" t="n"/>
      <c r="S6007" s="12" t="inlineStr">
        <is>
          <t>Duct bank</t>
        </is>
      </c>
      <c r="T6007" s="15" t="n">
        <v>330</v>
      </c>
      <c r="U6007" s="15" t="n">
        <v>32</v>
      </c>
      <c r="V6007" s="15">
        <f>ROUNDUP((T6007+U6007+2*'Read Me'!$B$13)*(1+'Read Me'!$B$12),-1)</f>
        <v/>
      </c>
      <c r="W6007" s="15">
        <f>V6007*N6007*O6007</f>
        <v/>
      </c>
      <c r="X6007" s="12">
        <f>IF(LEFT(I6007,2)="MV",2*N6007*IF(L6007="1/C",O6007,1),0)</f>
        <v/>
      </c>
      <c r="Y6007" s="12">
        <f>IF(OR(LEFT(K6007,4)="LVAX",LEFT(K6007,6)="MV15AX",LEFT(K6007,4)="CTAX",LEFT(K6007,2)="W|"),2*N6007*O6007,0)</f>
        <v/>
      </c>
      <c r="Z6007" s="12" t="inlineStr"/>
      <c r="AA6007" s="12">
        <f>N6007*O6007</f>
        <v/>
      </c>
    </row>
    <row r="6008">
      <c r="A6008" s="12" t="inlineStr">
        <is>
          <t>K-I-0125</t>
        </is>
      </c>
      <c r="B6008" s="12" t="inlineStr">
        <is>
          <t>K</t>
        </is>
      </c>
      <c r="C6008" s="12" t="inlineStr">
        <is>
          <t>Fuel supply (adjacent market)</t>
        </is>
      </c>
      <c r="D6008" s="12" t="inlineStr">
        <is>
          <t>Discrete device to JB JB-LNG-T7-DI01: 4 x 1 pr (field cables)</t>
        </is>
      </c>
      <c r="E6008" s="12" t="inlineStr">
        <is>
          <t>LNG-T7</t>
        </is>
      </c>
      <c r="F6008" s="12" t="inlineStr">
        <is>
          <t>LNG 11: tank 7, Chart HS 50000 (51,780 gal)</t>
        </is>
      </c>
      <c r="G6008" s="12" t="inlineStr">
        <is>
          <t>JB-LNG-T7-DI01</t>
        </is>
      </c>
      <c r="H6008" s="12" t="inlineStr">
        <is>
          <t>LNG 11: tank 7, Chart HS 50000 (51,780 gal)</t>
        </is>
      </c>
      <c r="I6008" s="12" t="inlineStr">
        <is>
          <t>Instrumentation</t>
        </is>
      </c>
      <c r="J6008" s="12" t="inlineStr">
        <is>
          <t>Instrumentation ITC / PLTC, IS, #18 shielded pairs, blue jacket</t>
        </is>
      </c>
      <c r="K6008" s="12" t="inlineStr">
        <is>
          <t>ITC|1 pr|16</t>
        </is>
      </c>
      <c r="L6008" s="12" t="inlineStr">
        <is>
          <t>1 pr</t>
        </is>
      </c>
      <c r="M6008" s="12" t="inlineStr">
        <is>
          <t>16</t>
        </is>
      </c>
      <c r="N6008" s="12" t="n">
        <v>4</v>
      </c>
      <c r="O6008" s="12" t="n">
        <v>1</v>
      </c>
      <c r="P6008" s="12" t="n"/>
      <c r="Q6008" s="12" t="n"/>
      <c r="R6008" s="12" t="n"/>
      <c r="S6008" s="12" t="inlineStr">
        <is>
          <t>Tray / conduit</t>
        </is>
      </c>
      <c r="T6008" s="15" t="n">
        <v>77</v>
      </c>
      <c r="U6008" s="15" t="n">
        <v>10</v>
      </c>
      <c r="V6008" s="15">
        <f>ROUNDUP((T6008+U6008+2*'Read Me'!$B$13)*(1+'Read Me'!$B$12),-1)</f>
        <v/>
      </c>
      <c r="W6008" s="15">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K-I-0126</t>
        </is>
      </c>
      <c r="B6009" s="12" t="inlineStr">
        <is>
          <t>K</t>
        </is>
      </c>
      <c r="C6009" s="12" t="inlineStr">
        <is>
          <t>Fuel supply (adjacent market)</t>
        </is>
      </c>
      <c r="D6009" s="12" t="inlineStr">
        <is>
          <t>Home run JB-LNG-T7-DI01 to the control / marshalling room</t>
        </is>
      </c>
      <c r="E6009" s="12" t="inlineStr"/>
      <c r="F6009" s="12" t="inlineStr">
        <is>
          <t>LNG 17: LNG e-house (13.8 kV / 480 V)</t>
        </is>
      </c>
      <c r="G6009" s="12" t="inlineStr">
        <is>
          <t>JB-LNG-T7-DI01</t>
        </is>
      </c>
      <c r="H6009" s="12" t="inlineStr">
        <is>
          <t>LNG 11: tank 7, Chart HS 50000 (51,780 gal)</t>
        </is>
      </c>
      <c r="I6009" s="12" t="inlineStr">
        <is>
          <t>Instrumentation</t>
        </is>
      </c>
      <c r="J6009" s="12" t="inlineStr">
        <is>
          <t>Instrumentation ITC / PLTC, IS, #18 shielded pairs, blue jacket</t>
        </is>
      </c>
      <c r="K6009" s="12" t="inlineStr">
        <is>
          <t>ITC|24 pr|18</t>
        </is>
      </c>
      <c r="L6009" s="12" t="inlineStr">
        <is>
          <t>24 pr</t>
        </is>
      </c>
      <c r="M6009" s="12" t="inlineStr">
        <is>
          <t>18</t>
        </is>
      </c>
      <c r="N6009" s="12" t="n">
        <v>1</v>
      </c>
      <c r="O6009" s="12" t="n">
        <v>1</v>
      </c>
      <c r="P6009" s="12" t="n"/>
      <c r="Q6009" s="12" t="n"/>
      <c r="R6009" s="12" t="n"/>
      <c r="S6009" s="12" t="inlineStr">
        <is>
          <t>Duct bank</t>
        </is>
      </c>
      <c r="T6009" s="15" t="n">
        <v>330</v>
      </c>
      <c r="U6009" s="15" t="n">
        <v>32</v>
      </c>
      <c r="V6009" s="15">
        <f>ROUNDUP((T6009+U6009+2*'Read Me'!$B$13)*(1+'Read Me'!$B$12),-1)</f>
        <v/>
      </c>
      <c r="W6009" s="15">
        <f>V6009*N6009*O6009</f>
        <v/>
      </c>
      <c r="X6009" s="12">
        <f>IF(LEFT(I6009,2)="MV",2*N6009*IF(L6009="1/C",O6009,1),0)</f>
        <v/>
      </c>
      <c r="Y6009" s="12">
        <f>IF(OR(LEFT(K6009,4)="LVAX",LEFT(K6009,6)="MV15AX",LEFT(K6009,4)="CTAX",LEFT(K6009,2)="W|"),2*N6009*O6009,0)</f>
        <v/>
      </c>
      <c r="Z6009" s="12" t="inlineStr"/>
      <c r="AA6009" s="12">
        <f>N6009*O6009</f>
        <v/>
      </c>
    </row>
    <row r="6010">
      <c r="A6010" s="12" t="inlineStr">
        <is>
          <t>K-I-0127</t>
        </is>
      </c>
      <c r="B6010" s="12" t="inlineStr">
        <is>
          <t>K</t>
        </is>
      </c>
      <c r="C6010" s="12" t="inlineStr">
        <is>
          <t>Fuel supply (adjacent market)</t>
        </is>
      </c>
      <c r="D6010" s="12" t="inlineStr">
        <is>
          <t>Analog instrument to JB JB-LNG-T8-AI01: 4 x 1 pr (field cables)</t>
        </is>
      </c>
      <c r="E6010" s="12" t="inlineStr">
        <is>
          <t>LNG-T8</t>
        </is>
      </c>
      <c r="F6010" s="12" t="inlineStr">
        <is>
          <t>LNG 11: tank 8, Chart HS 50000 (51,780 gal)</t>
        </is>
      </c>
      <c r="G6010" s="12" t="inlineStr">
        <is>
          <t>JB-LNG-T8-AI01</t>
        </is>
      </c>
      <c r="H6010" s="12" t="inlineStr">
        <is>
          <t>LNG 11: tank 8, Chart HS 50000 (51,780 gal)</t>
        </is>
      </c>
      <c r="I6010" s="12" t="inlineStr">
        <is>
          <t>Instrumentation</t>
        </is>
      </c>
      <c r="J6010" s="12" t="inlineStr">
        <is>
          <t>Instrumentation ITC / PLTC, IS, #18 shielded pairs, blue jacket</t>
        </is>
      </c>
      <c r="K6010" s="12" t="inlineStr">
        <is>
          <t>ITC|1 pr|16</t>
        </is>
      </c>
      <c r="L6010" s="12" t="inlineStr">
        <is>
          <t>1 pr</t>
        </is>
      </c>
      <c r="M6010" s="12" t="inlineStr">
        <is>
          <t>16</t>
        </is>
      </c>
      <c r="N6010" s="12" t="n">
        <v>4</v>
      </c>
      <c r="O6010" s="12" t="n">
        <v>1</v>
      </c>
      <c r="P6010" s="12" t="n"/>
      <c r="Q6010" s="12" t="n"/>
      <c r="R6010" s="12" t="n"/>
      <c r="S6010" s="12" t="inlineStr">
        <is>
          <t>Tray / conduit</t>
        </is>
      </c>
      <c r="T6010" s="15" t="n">
        <v>77</v>
      </c>
      <c r="U6010" s="15" t="n">
        <v>10</v>
      </c>
      <c r="V6010" s="15">
        <f>ROUNDUP((T6010+U6010+2*'Read Me'!$B$13)*(1+'Read Me'!$B$12),-1)</f>
        <v/>
      </c>
      <c r="W6010" s="15">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K-I-0128</t>
        </is>
      </c>
      <c r="B6011" s="12" t="inlineStr">
        <is>
          <t>K</t>
        </is>
      </c>
      <c r="C6011" s="12" t="inlineStr">
        <is>
          <t>Fuel supply (adjacent market)</t>
        </is>
      </c>
      <c r="D6011" s="12" t="inlineStr">
        <is>
          <t>Home run JB-LNG-T8-AI01 to the control / marshalling room</t>
        </is>
      </c>
      <c r="E6011" s="12" t="inlineStr"/>
      <c r="F6011" s="12" t="inlineStr">
        <is>
          <t>LNG 17: LNG e-house (13.8 kV / 480 V)</t>
        </is>
      </c>
      <c r="G6011" s="12" t="inlineStr">
        <is>
          <t>JB-LNG-T8-AI01</t>
        </is>
      </c>
      <c r="H6011" s="12" t="inlineStr">
        <is>
          <t>LNG 11: tank 8, Chart HS 50000 (51,780 gal)</t>
        </is>
      </c>
      <c r="I6011" s="12" t="inlineStr">
        <is>
          <t>Instrumentation</t>
        </is>
      </c>
      <c r="J6011" s="12" t="inlineStr">
        <is>
          <t>Instrumentation ITC / PLTC, IS, #18 shielded pairs, blue jacket</t>
        </is>
      </c>
      <c r="K6011" s="12" t="inlineStr">
        <is>
          <t>ITC|24 pr|18</t>
        </is>
      </c>
      <c r="L6011" s="12" t="inlineStr">
        <is>
          <t>24 pr</t>
        </is>
      </c>
      <c r="M6011" s="12" t="inlineStr">
        <is>
          <t>18</t>
        </is>
      </c>
      <c r="N6011" s="12" t="n">
        <v>1</v>
      </c>
      <c r="O6011" s="12" t="n">
        <v>1</v>
      </c>
      <c r="P6011" s="12" t="n"/>
      <c r="Q6011" s="12" t="n"/>
      <c r="R6011" s="12" t="n"/>
      <c r="S6011" s="12" t="inlineStr">
        <is>
          <t>Duct bank</t>
        </is>
      </c>
      <c r="T6011" s="15" t="n">
        <v>350</v>
      </c>
      <c r="U6011" s="15" t="n">
        <v>32</v>
      </c>
      <c r="V6011" s="15">
        <f>ROUNDUP((T6011+U6011+2*'Read Me'!$B$13)*(1+'Read Me'!$B$12),-1)</f>
        <v/>
      </c>
      <c r="W6011" s="15">
        <f>V6011*N6011*O6011</f>
        <v/>
      </c>
      <c r="X6011" s="12">
        <f>IF(LEFT(I6011,2)="MV",2*N6011*IF(L6011="1/C",O6011,1),0)</f>
        <v/>
      </c>
      <c r="Y6011" s="12">
        <f>IF(OR(LEFT(K6011,4)="LVAX",LEFT(K6011,6)="MV15AX",LEFT(K6011,4)="CTAX",LEFT(K6011,2)="W|"),2*N6011*O6011,0)</f>
        <v/>
      </c>
      <c r="Z6011" s="12" t="inlineStr"/>
      <c r="AA6011" s="12">
        <f>N6011*O6011</f>
        <v/>
      </c>
    </row>
    <row r="6012">
      <c r="A6012" s="12" t="inlineStr">
        <is>
          <t>K-I-0129</t>
        </is>
      </c>
      <c r="B6012" s="12" t="inlineStr">
        <is>
          <t>K</t>
        </is>
      </c>
      <c r="C6012" s="12" t="inlineStr">
        <is>
          <t>Fuel supply (adjacent market)</t>
        </is>
      </c>
      <c r="D6012" s="12" t="inlineStr">
        <is>
          <t>Discrete device to JB JB-LNG-T8-DI01: 4 x 1 pr (field cables)</t>
        </is>
      </c>
      <c r="E6012" s="12" t="inlineStr">
        <is>
          <t>LNG-T8</t>
        </is>
      </c>
      <c r="F6012" s="12" t="inlineStr">
        <is>
          <t>LNG 11: tank 8, Chart HS 50000 (51,780 gal)</t>
        </is>
      </c>
      <c r="G6012" s="12" t="inlineStr">
        <is>
          <t>JB-LNG-T8-DI01</t>
        </is>
      </c>
      <c r="H6012" s="12" t="inlineStr">
        <is>
          <t>LNG 11: tank 8, Chart HS 50000 (51,780 gal)</t>
        </is>
      </c>
      <c r="I6012" s="12" t="inlineStr">
        <is>
          <t>Instrumentation</t>
        </is>
      </c>
      <c r="J6012" s="12" t="inlineStr">
        <is>
          <t>Instrumentation ITC / PLTC, IS, #18 shielded pairs, blue jacket</t>
        </is>
      </c>
      <c r="K6012" s="12" t="inlineStr">
        <is>
          <t>ITC|1 pr|16</t>
        </is>
      </c>
      <c r="L6012" s="12" t="inlineStr">
        <is>
          <t>1 pr</t>
        </is>
      </c>
      <c r="M6012" s="12" t="inlineStr">
        <is>
          <t>16</t>
        </is>
      </c>
      <c r="N6012" s="12" t="n">
        <v>4</v>
      </c>
      <c r="O6012" s="12" t="n">
        <v>1</v>
      </c>
      <c r="P6012" s="12" t="n"/>
      <c r="Q6012" s="12" t="n"/>
      <c r="R6012" s="12" t="n"/>
      <c r="S6012" s="12" t="inlineStr">
        <is>
          <t>Tray / conduit</t>
        </is>
      </c>
      <c r="T6012" s="15" t="n">
        <v>77</v>
      </c>
      <c r="U6012" s="15" t="n">
        <v>10</v>
      </c>
      <c r="V6012" s="15">
        <f>ROUNDUP((T6012+U6012+2*'Read Me'!$B$13)*(1+'Read Me'!$B$12),-1)</f>
        <v/>
      </c>
      <c r="W6012" s="15">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K-I-0130</t>
        </is>
      </c>
      <c r="B6013" s="12" t="inlineStr">
        <is>
          <t>K</t>
        </is>
      </c>
      <c r="C6013" s="12" t="inlineStr">
        <is>
          <t>Fuel supply (adjacent market)</t>
        </is>
      </c>
      <c r="D6013" s="12" t="inlineStr">
        <is>
          <t>Home run JB-LNG-T8-DI01 to the control / marshalling room</t>
        </is>
      </c>
      <c r="E6013" s="12" t="inlineStr"/>
      <c r="F6013" s="12" t="inlineStr">
        <is>
          <t>LNG 17: LNG e-house (13.8 kV / 480 V)</t>
        </is>
      </c>
      <c r="G6013" s="12" t="inlineStr">
        <is>
          <t>JB-LNG-T8-DI01</t>
        </is>
      </c>
      <c r="H6013" s="12" t="inlineStr">
        <is>
          <t>LNG 11: tank 8, Chart HS 50000 (51,780 gal)</t>
        </is>
      </c>
      <c r="I6013" s="12" t="inlineStr">
        <is>
          <t>Instrumentation</t>
        </is>
      </c>
      <c r="J6013" s="12" t="inlineStr">
        <is>
          <t>Instrumentation ITC / PLTC, IS, #18 shielded pairs, blue jacket</t>
        </is>
      </c>
      <c r="K6013" s="12" t="inlineStr">
        <is>
          <t>ITC|24 pr|18</t>
        </is>
      </c>
      <c r="L6013" s="12" t="inlineStr">
        <is>
          <t>24 pr</t>
        </is>
      </c>
      <c r="M6013" s="12" t="inlineStr">
        <is>
          <t>18</t>
        </is>
      </c>
      <c r="N6013" s="12" t="n">
        <v>1</v>
      </c>
      <c r="O6013" s="12" t="n">
        <v>1</v>
      </c>
      <c r="P6013" s="12" t="n"/>
      <c r="Q6013" s="12" t="n"/>
      <c r="R6013" s="12" t="n"/>
      <c r="S6013" s="12" t="inlineStr">
        <is>
          <t>Duct bank</t>
        </is>
      </c>
      <c r="T6013" s="15" t="n">
        <v>350</v>
      </c>
      <c r="U6013" s="15" t="n">
        <v>32</v>
      </c>
      <c r="V6013" s="15">
        <f>ROUNDUP((T6013+U6013+2*'Read Me'!$B$13)*(1+'Read Me'!$B$12),-1)</f>
        <v/>
      </c>
      <c r="W6013" s="15">
        <f>V6013*N6013*O6013</f>
        <v/>
      </c>
      <c r="X6013" s="12">
        <f>IF(LEFT(I6013,2)="MV",2*N6013*IF(L6013="1/C",O6013,1),0)</f>
        <v/>
      </c>
      <c r="Y6013" s="12">
        <f>IF(OR(LEFT(K6013,4)="LVAX",LEFT(K6013,6)="MV15AX",LEFT(K6013,4)="CTAX",LEFT(K6013,2)="W|"),2*N6013*O6013,0)</f>
        <v/>
      </c>
      <c r="Z6013" s="12" t="inlineStr"/>
      <c r="AA6013" s="12">
        <f>N6013*O6013</f>
        <v/>
      </c>
    </row>
    <row r="6014">
      <c r="A6014" s="12" t="inlineStr">
        <is>
          <t>K-I-0131</t>
        </is>
      </c>
      <c r="B6014" s="12" t="inlineStr">
        <is>
          <t>K</t>
        </is>
      </c>
      <c r="C6014" s="12" t="inlineStr">
        <is>
          <t>Fuel supply (adjacent market)</t>
        </is>
      </c>
      <c r="D6014" s="12" t="inlineStr">
        <is>
          <t>Analog instrument to JB JB-LNG 12: spill impo-AI01: 12 x 1 pr (field cables)</t>
        </is>
      </c>
      <c r="E6014" s="12" t="inlineStr"/>
      <c r="F6014" s="12" t="inlineStr">
        <is>
          <t>LNG 12: spill impoundment (NFPA 59A, to verify)</t>
        </is>
      </c>
      <c r="G6014" s="12" t="inlineStr">
        <is>
          <t>JB-LNG 12: spill impo-AI01</t>
        </is>
      </c>
      <c r="H6014" s="12" t="inlineStr">
        <is>
          <t>LNG 12: spill impoundment (NFPA 59A, to verify)</t>
        </is>
      </c>
      <c r="I6014" s="12" t="inlineStr">
        <is>
          <t>Instrumentation</t>
        </is>
      </c>
      <c r="J6014" s="12" t="inlineStr">
        <is>
          <t>Instrumentation ITC / PLTC, IS, #18 shielded pairs, blue jacket</t>
        </is>
      </c>
      <c r="K6014" s="12" t="inlineStr">
        <is>
          <t>ITC|1 pr|16</t>
        </is>
      </c>
      <c r="L6014" s="12" t="inlineStr">
        <is>
          <t>1 pr</t>
        </is>
      </c>
      <c r="M6014" s="12" t="inlineStr">
        <is>
          <t>16</t>
        </is>
      </c>
      <c r="N6014" s="12" t="n">
        <v>12</v>
      </c>
      <c r="O6014" s="12" t="n">
        <v>1</v>
      </c>
      <c r="P6014" s="12" t="n"/>
      <c r="Q6014" s="12" t="n"/>
      <c r="R6014" s="12" t="n"/>
      <c r="S6014" s="12" t="inlineStr">
        <is>
          <t>Tray / conduit</t>
        </is>
      </c>
      <c r="T6014" s="15" t="n">
        <v>170</v>
      </c>
      <c r="U6014" s="15" t="n">
        <v>10</v>
      </c>
      <c r="V6014" s="15">
        <f>ROUNDUP((T6014+U6014+2*'Read Me'!$B$13)*(1+'Read Me'!$B$12),-1)</f>
        <v/>
      </c>
      <c r="W6014" s="15">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K-I-0132</t>
        </is>
      </c>
      <c r="B6015" s="12" t="inlineStr">
        <is>
          <t>K</t>
        </is>
      </c>
      <c r="C6015" s="12" t="inlineStr">
        <is>
          <t>Fuel supply (adjacent market)</t>
        </is>
      </c>
      <c r="D6015" s="12" t="inlineStr">
        <is>
          <t>Home run JB-LNG 12: spill impo-AI01 to the control / marshalling room</t>
        </is>
      </c>
      <c r="E6015" s="12" t="inlineStr"/>
      <c r="F6015" s="12" t="inlineStr">
        <is>
          <t>LNG 17: LNG e-house (13.8 kV / 480 V)</t>
        </is>
      </c>
      <c r="G6015" s="12" t="inlineStr">
        <is>
          <t>JB-LNG 12: spill impo-AI01</t>
        </is>
      </c>
      <c r="H6015" s="12" t="inlineStr">
        <is>
          <t>LNG 12: spill impoundment (NFPA 59A, to verify)</t>
        </is>
      </c>
      <c r="I6015" s="12" t="inlineStr">
        <is>
          <t>Instrumentation</t>
        </is>
      </c>
      <c r="J6015" s="12" t="inlineStr">
        <is>
          <t>Instrumentation ITC / PLTC, IS, #18 shielded pairs, blue jacket</t>
        </is>
      </c>
      <c r="K6015" s="12" t="inlineStr">
        <is>
          <t>ITC|24 pr|18</t>
        </is>
      </c>
      <c r="L6015" s="12" t="inlineStr">
        <is>
          <t>24 pr</t>
        </is>
      </c>
      <c r="M6015" s="12" t="inlineStr">
        <is>
          <t>18</t>
        </is>
      </c>
      <c r="N6015" s="12" t="n">
        <v>1</v>
      </c>
      <c r="O6015" s="12" t="n">
        <v>1</v>
      </c>
      <c r="P6015" s="12" t="n"/>
      <c r="Q6015" s="12" t="n"/>
      <c r="R6015" s="12" t="n"/>
      <c r="S6015" s="12" t="inlineStr">
        <is>
          <t>Duct bank</t>
        </is>
      </c>
      <c r="T6015" s="15" t="n">
        <v>230</v>
      </c>
      <c r="U6015" s="15" t="n">
        <v>32</v>
      </c>
      <c r="V6015" s="15">
        <f>ROUNDUP((T6015+U6015+2*'Read Me'!$B$13)*(1+'Read Me'!$B$12),-1)</f>
        <v/>
      </c>
      <c r="W6015" s="15">
        <f>V6015*N6015*O6015</f>
        <v/>
      </c>
      <c r="X6015" s="12">
        <f>IF(LEFT(I6015,2)="MV",2*N6015*IF(L6015="1/C",O6015,1),0)</f>
        <v/>
      </c>
      <c r="Y6015" s="12">
        <f>IF(OR(LEFT(K6015,4)="LVAX",LEFT(K6015,6)="MV15AX",LEFT(K6015,4)="CTAX",LEFT(K6015,2)="W|"),2*N6015*O6015,0)</f>
        <v/>
      </c>
      <c r="Z6015" s="12" t="inlineStr"/>
      <c r="AA6015" s="12">
        <f>N6015*O6015</f>
        <v/>
      </c>
    </row>
    <row r="6016">
      <c r="A6016" s="12" t="inlineStr">
        <is>
          <t>K-I-0133</t>
        </is>
      </c>
      <c r="B6016" s="12" t="inlineStr">
        <is>
          <t>K</t>
        </is>
      </c>
      <c r="C6016" s="12" t="inlineStr">
        <is>
          <t>Fuel supply (adjacent market)</t>
        </is>
      </c>
      <c r="D6016" s="12" t="inlineStr">
        <is>
          <t>Discrete device to JB JB-LNG 12: spill impo-DI01: 12 x 1 pr (field cables)</t>
        </is>
      </c>
      <c r="E6016" s="12" t="inlineStr"/>
      <c r="F6016" s="12" t="inlineStr">
        <is>
          <t>LNG 12: spill impoundment (NFPA 59A, to verify)</t>
        </is>
      </c>
      <c r="G6016" s="12" t="inlineStr">
        <is>
          <t>JB-LNG 12: spill impo-DI01</t>
        </is>
      </c>
      <c r="H6016" s="12" t="inlineStr">
        <is>
          <t>LNG 12: spill impoundment (NFPA 59A, to verify)</t>
        </is>
      </c>
      <c r="I6016" s="12" t="inlineStr">
        <is>
          <t>Instrumentation</t>
        </is>
      </c>
      <c r="J6016" s="12" t="inlineStr">
        <is>
          <t>Instrumentation ITC / PLTC, IS, #18 shielded pairs, blue jacket</t>
        </is>
      </c>
      <c r="K6016" s="12" t="inlineStr">
        <is>
          <t>ITC|1 pr|16</t>
        </is>
      </c>
      <c r="L6016" s="12" t="inlineStr">
        <is>
          <t>1 pr</t>
        </is>
      </c>
      <c r="M6016" s="12" t="inlineStr">
        <is>
          <t>16</t>
        </is>
      </c>
      <c r="N6016" s="12" t="n">
        <v>12</v>
      </c>
      <c r="O6016" s="12" t="n">
        <v>1</v>
      </c>
      <c r="P6016" s="12" t="n"/>
      <c r="Q6016" s="12" t="n"/>
      <c r="R6016" s="12" t="n"/>
      <c r="S6016" s="12" t="inlineStr">
        <is>
          <t>Tray / conduit</t>
        </is>
      </c>
      <c r="T6016" s="15" t="n">
        <v>170</v>
      </c>
      <c r="U6016" s="15" t="n">
        <v>10</v>
      </c>
      <c r="V6016" s="15">
        <f>ROUNDUP((T6016+U6016+2*'Read Me'!$B$13)*(1+'Read Me'!$B$12),-1)</f>
        <v/>
      </c>
      <c r="W6016" s="15">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K-I-0134</t>
        </is>
      </c>
      <c r="B6017" s="12" t="inlineStr">
        <is>
          <t>K</t>
        </is>
      </c>
      <c r="C6017" s="12" t="inlineStr">
        <is>
          <t>Fuel supply (adjacent market)</t>
        </is>
      </c>
      <c r="D6017" s="12" t="inlineStr">
        <is>
          <t>Home run JB-LNG 12: spill impo-DI01 to the control / marshalling room</t>
        </is>
      </c>
      <c r="E6017" s="12" t="inlineStr"/>
      <c r="F6017" s="12" t="inlineStr">
        <is>
          <t>LNG 17: LNG e-house (13.8 kV / 480 V)</t>
        </is>
      </c>
      <c r="G6017" s="12" t="inlineStr">
        <is>
          <t>JB-LNG 12: spill impo-DI01</t>
        </is>
      </c>
      <c r="H6017" s="12" t="inlineStr">
        <is>
          <t>LNG 12: spill impoundment (NFPA 59A, to verify)</t>
        </is>
      </c>
      <c r="I6017" s="12" t="inlineStr">
        <is>
          <t>Instrumentation</t>
        </is>
      </c>
      <c r="J6017" s="12" t="inlineStr">
        <is>
          <t>Instrumentation ITC / PLTC, IS, #18 shielded pairs, blue jacket</t>
        </is>
      </c>
      <c r="K6017" s="12" t="inlineStr">
        <is>
          <t>ITC|24 pr|18</t>
        </is>
      </c>
      <c r="L6017" s="12" t="inlineStr">
        <is>
          <t>24 pr</t>
        </is>
      </c>
      <c r="M6017" s="12" t="inlineStr">
        <is>
          <t>18</t>
        </is>
      </c>
      <c r="N6017" s="12" t="n">
        <v>1</v>
      </c>
      <c r="O6017" s="12" t="n">
        <v>1</v>
      </c>
      <c r="P6017" s="12" t="n"/>
      <c r="Q6017" s="12" t="n"/>
      <c r="R6017" s="12" t="n"/>
      <c r="S6017" s="12" t="inlineStr">
        <is>
          <t>Duct bank</t>
        </is>
      </c>
      <c r="T6017" s="15" t="n">
        <v>230</v>
      </c>
      <c r="U6017" s="15" t="n">
        <v>32</v>
      </c>
      <c r="V6017" s="15">
        <f>ROUNDUP((T6017+U6017+2*'Read Me'!$B$13)*(1+'Read Me'!$B$12),-1)</f>
        <v/>
      </c>
      <c r="W6017" s="15">
        <f>V6017*N6017*O6017</f>
        <v/>
      </c>
      <c r="X6017" s="12">
        <f>IF(LEFT(I6017,2)="MV",2*N6017*IF(L6017="1/C",O6017,1),0)</f>
        <v/>
      </c>
      <c r="Y6017" s="12">
        <f>IF(OR(LEFT(K6017,4)="LVAX",LEFT(K6017,6)="MV15AX",LEFT(K6017,4)="CTAX",LEFT(K6017,2)="W|"),2*N6017*O6017,0)</f>
        <v/>
      </c>
      <c r="Z6017" s="12" t="inlineStr"/>
      <c r="AA6017" s="12">
        <f>N6017*O6017</f>
        <v/>
      </c>
    </row>
    <row r="6018">
      <c r="A6018" s="12" t="inlineStr">
        <is>
          <t>K-I-0135</t>
        </is>
      </c>
      <c r="B6018" s="12" t="inlineStr">
        <is>
          <t>K</t>
        </is>
      </c>
      <c r="C6018" s="12" t="inlineStr">
        <is>
          <t>Fuel supply (adjacent market)</t>
        </is>
      </c>
      <c r="D6018" s="12" t="inlineStr">
        <is>
          <t>Analog instrument to JB JB-LNG 13: send-out p-AI01: 12 x 1 pr (field cables)</t>
        </is>
      </c>
      <c r="E6018" s="12" t="inlineStr"/>
      <c r="F6018" s="12" t="inlineStr">
        <is>
          <t>LNG 13: send-out pumps 2 x 100%</t>
        </is>
      </c>
      <c r="G6018" s="12" t="inlineStr">
        <is>
          <t>JB-LNG 13: send-out p-AI01</t>
        </is>
      </c>
      <c r="H6018" s="12" t="inlineStr">
        <is>
          <t>LNG 13: send-out pumps 2 x 100%</t>
        </is>
      </c>
      <c r="I6018" s="12" t="inlineStr">
        <is>
          <t>Instrumentation</t>
        </is>
      </c>
      <c r="J6018" s="12" t="inlineStr">
        <is>
          <t>Instrumentation ITC / PLTC, IS, #18 shielded pairs, blue jacket</t>
        </is>
      </c>
      <c r="K6018" s="12" t="inlineStr">
        <is>
          <t>ITC|1 pr|16</t>
        </is>
      </c>
      <c r="L6018" s="12" t="inlineStr">
        <is>
          <t>1 pr</t>
        </is>
      </c>
      <c r="M6018" s="12" t="inlineStr">
        <is>
          <t>16</t>
        </is>
      </c>
      <c r="N6018" s="12" t="n">
        <v>12</v>
      </c>
      <c r="O6018" s="12" t="n">
        <v>1</v>
      </c>
      <c r="P6018" s="12" t="n"/>
      <c r="Q6018" s="12" t="n"/>
      <c r="R6018" s="12" t="n"/>
      <c r="S6018" s="12" t="inlineStr">
        <is>
          <t>Tray / conduit</t>
        </is>
      </c>
      <c r="T6018" s="15" t="n">
        <v>63</v>
      </c>
      <c r="U6018" s="15" t="n">
        <v>10</v>
      </c>
      <c r="V6018" s="15">
        <f>ROUNDUP((T6018+U6018+2*'Read Me'!$B$13)*(1+'Read Me'!$B$12),-1)</f>
        <v/>
      </c>
      <c r="W6018" s="15">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K-I-0136</t>
        </is>
      </c>
      <c r="B6019" s="12" t="inlineStr">
        <is>
          <t>K</t>
        </is>
      </c>
      <c r="C6019" s="12" t="inlineStr">
        <is>
          <t>Fuel supply (adjacent market)</t>
        </is>
      </c>
      <c r="D6019" s="12" t="inlineStr">
        <is>
          <t>Home run JB-LNG 13: send-out p-AI01 to the control / marshalling room</t>
        </is>
      </c>
      <c r="E6019" s="12" t="inlineStr"/>
      <c r="F6019" s="12" t="inlineStr">
        <is>
          <t>LNG 17: LNG e-house (13.8 kV / 480 V)</t>
        </is>
      </c>
      <c r="G6019" s="12" t="inlineStr">
        <is>
          <t>JB-LNG 13: send-out p-AI01</t>
        </is>
      </c>
      <c r="H6019" s="12" t="inlineStr">
        <is>
          <t>LNG 13: send-out pumps 2 x 100%</t>
        </is>
      </c>
      <c r="I6019" s="12" t="inlineStr">
        <is>
          <t>Instrumentation</t>
        </is>
      </c>
      <c r="J6019" s="12" t="inlineStr">
        <is>
          <t>Instrumentation ITC / PLTC, IS, #18 shielded pairs, blue jacket</t>
        </is>
      </c>
      <c r="K6019" s="12" t="inlineStr">
        <is>
          <t>ITC|24 pr|18</t>
        </is>
      </c>
      <c r="L6019" s="12" t="inlineStr">
        <is>
          <t>24 pr</t>
        </is>
      </c>
      <c r="M6019" s="12" t="inlineStr">
        <is>
          <t>18</t>
        </is>
      </c>
      <c r="N6019" s="12" t="n">
        <v>1</v>
      </c>
      <c r="O6019" s="12" t="n">
        <v>1</v>
      </c>
      <c r="P6019" s="12" t="n"/>
      <c r="Q6019" s="12" t="n"/>
      <c r="R6019" s="12" t="n"/>
      <c r="S6019" s="12" t="inlineStr">
        <is>
          <t>Duct bank</t>
        </is>
      </c>
      <c r="T6019" s="15" t="n">
        <v>110</v>
      </c>
      <c r="U6019" s="15" t="n">
        <v>32</v>
      </c>
      <c r="V6019" s="15">
        <f>ROUNDUP((T6019+U6019+2*'Read Me'!$B$13)*(1+'Read Me'!$B$12),-1)</f>
        <v/>
      </c>
      <c r="W6019" s="15">
        <f>V6019*N6019*O6019</f>
        <v/>
      </c>
      <c r="X6019" s="12">
        <f>IF(LEFT(I6019,2)="MV",2*N6019*IF(L6019="1/C",O6019,1),0)</f>
        <v/>
      </c>
      <c r="Y6019" s="12">
        <f>IF(OR(LEFT(K6019,4)="LVAX",LEFT(K6019,6)="MV15AX",LEFT(K6019,4)="CTAX",LEFT(K6019,2)="W|"),2*N6019*O6019,0)</f>
        <v/>
      </c>
      <c r="Z6019" s="12" t="inlineStr"/>
      <c r="AA6019" s="12">
        <f>N6019*O6019</f>
        <v/>
      </c>
    </row>
    <row r="6020">
      <c r="A6020" s="12" t="inlineStr">
        <is>
          <t>K-I-0137</t>
        </is>
      </c>
      <c r="B6020" s="12" t="inlineStr">
        <is>
          <t>K</t>
        </is>
      </c>
      <c r="C6020" s="12" t="inlineStr">
        <is>
          <t>Fuel supply (adjacent market)</t>
        </is>
      </c>
      <c r="D6020" s="12" t="inlineStr">
        <is>
          <t>Discrete device to JB JB-LNG 13: send-out p-DI01: 12 x 1 pr (field cables)</t>
        </is>
      </c>
      <c r="E6020" s="12" t="inlineStr"/>
      <c r="F6020" s="12" t="inlineStr">
        <is>
          <t>LNG 13: send-out pumps 2 x 100%</t>
        </is>
      </c>
      <c r="G6020" s="12" t="inlineStr">
        <is>
          <t>JB-LNG 13: send-out p-DI01</t>
        </is>
      </c>
      <c r="H6020" s="12" t="inlineStr">
        <is>
          <t>LNG 13: send-out pumps 2 x 100%</t>
        </is>
      </c>
      <c r="I6020" s="12" t="inlineStr">
        <is>
          <t>Instrumentation</t>
        </is>
      </c>
      <c r="J6020" s="12" t="inlineStr">
        <is>
          <t>Instrumentation ITC / PLTC, IS, #18 shielded pairs, blue jacket</t>
        </is>
      </c>
      <c r="K6020" s="12" t="inlineStr">
        <is>
          <t>ITC|1 pr|16</t>
        </is>
      </c>
      <c r="L6020" s="12" t="inlineStr">
        <is>
          <t>1 pr</t>
        </is>
      </c>
      <c r="M6020" s="12" t="inlineStr">
        <is>
          <t>16</t>
        </is>
      </c>
      <c r="N6020" s="12" t="n">
        <v>12</v>
      </c>
      <c r="O6020" s="12" t="n">
        <v>1</v>
      </c>
      <c r="P6020" s="12" t="n"/>
      <c r="Q6020" s="12" t="n"/>
      <c r="R6020" s="12" t="n"/>
      <c r="S6020" s="12" t="inlineStr">
        <is>
          <t>Tray / conduit</t>
        </is>
      </c>
      <c r="T6020" s="15" t="n">
        <v>63</v>
      </c>
      <c r="U6020" s="15" t="n">
        <v>10</v>
      </c>
      <c r="V6020" s="15">
        <f>ROUNDUP((T6020+U6020+2*'Read Me'!$B$13)*(1+'Read Me'!$B$12),-1)</f>
        <v/>
      </c>
      <c r="W6020" s="15">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K-I-0138</t>
        </is>
      </c>
      <c r="B6021" s="12" t="inlineStr">
        <is>
          <t>K</t>
        </is>
      </c>
      <c r="C6021" s="12" t="inlineStr">
        <is>
          <t>Fuel supply (adjacent market)</t>
        </is>
      </c>
      <c r="D6021" s="12" t="inlineStr">
        <is>
          <t>Home run JB-LNG 13: send-out p-DI01 to the control / marshalling room</t>
        </is>
      </c>
      <c r="E6021" s="12" t="inlineStr"/>
      <c r="F6021" s="12" t="inlineStr">
        <is>
          <t>LNG 17: LNG e-house (13.8 kV / 480 V)</t>
        </is>
      </c>
      <c r="G6021" s="12" t="inlineStr">
        <is>
          <t>JB-LNG 13: send-out p-DI01</t>
        </is>
      </c>
      <c r="H6021" s="12" t="inlineStr">
        <is>
          <t>LNG 13: send-out pumps 2 x 100%</t>
        </is>
      </c>
      <c r="I6021" s="12" t="inlineStr">
        <is>
          <t>Instrumentation</t>
        </is>
      </c>
      <c r="J6021" s="12" t="inlineStr">
        <is>
          <t>Instrumentation ITC / PLTC, IS, #18 shielded pairs, blue jacket</t>
        </is>
      </c>
      <c r="K6021" s="12" t="inlineStr">
        <is>
          <t>ITC|24 pr|18</t>
        </is>
      </c>
      <c r="L6021" s="12" t="inlineStr">
        <is>
          <t>24 pr</t>
        </is>
      </c>
      <c r="M6021" s="12" t="inlineStr">
        <is>
          <t>18</t>
        </is>
      </c>
      <c r="N6021" s="12" t="n">
        <v>1</v>
      </c>
      <c r="O6021" s="12" t="n">
        <v>1</v>
      </c>
      <c r="P6021" s="12" t="n"/>
      <c r="Q6021" s="12" t="n"/>
      <c r="R6021" s="12" t="n"/>
      <c r="S6021" s="12" t="inlineStr">
        <is>
          <t>Duct bank</t>
        </is>
      </c>
      <c r="T6021" s="15" t="n">
        <v>110</v>
      </c>
      <c r="U6021" s="15" t="n">
        <v>32</v>
      </c>
      <c r="V6021" s="15">
        <f>ROUNDUP((T6021+U6021+2*'Read Me'!$B$13)*(1+'Read Me'!$B$12),-1)</f>
        <v/>
      </c>
      <c r="W6021" s="15">
        <f>V6021*N6021*O6021</f>
        <v/>
      </c>
      <c r="X6021" s="12">
        <f>IF(LEFT(I6021,2)="MV",2*N6021*IF(L6021="1/C",O6021,1),0)</f>
        <v/>
      </c>
      <c r="Y6021" s="12">
        <f>IF(OR(LEFT(K6021,4)="LVAX",LEFT(K6021,6)="MV15AX",LEFT(K6021,4)="CTAX",LEFT(K6021,2)="W|"),2*N6021*O6021,0)</f>
        <v/>
      </c>
      <c r="Z6021" s="12" t="inlineStr"/>
      <c r="AA6021" s="12">
        <f>N6021*O6021</f>
        <v/>
      </c>
    </row>
    <row r="6022">
      <c r="A6022" s="12" t="inlineStr">
        <is>
          <t>K-I-0139</t>
        </is>
      </c>
      <c r="B6022" s="12" t="inlineStr">
        <is>
          <t>K</t>
        </is>
      </c>
      <c r="C6022" s="12" t="inlineStr">
        <is>
          <t>Fuel supply (adjacent market)</t>
        </is>
      </c>
      <c r="D6022" s="12" t="inlineStr">
        <is>
          <t>Analog instrument to JB JB-LNG 14: vaporizers-AI01: 12 x 1 pr (field cables)</t>
        </is>
      </c>
      <c r="E6022" s="12" t="inlineStr"/>
      <c r="F6022" s="12" t="inlineStr">
        <is>
          <t>LNG 14: vaporizers + glycol heater</t>
        </is>
      </c>
      <c r="G6022" s="12" t="inlineStr">
        <is>
          <t>JB-LNG 14: vaporizers-AI01</t>
        </is>
      </c>
      <c r="H6022" s="12" t="inlineStr">
        <is>
          <t>LNG 14: vaporizers + glycol heater</t>
        </is>
      </c>
      <c r="I6022" s="12" t="inlineStr">
        <is>
          <t>Instrumentation</t>
        </is>
      </c>
      <c r="J6022" s="12" t="inlineStr">
        <is>
          <t>Instrumentation ITC / PLTC, IS, #18 shielded pairs, blue jacket</t>
        </is>
      </c>
      <c r="K6022" s="12" t="inlineStr">
        <is>
          <t>ITC|1 pr|16</t>
        </is>
      </c>
      <c r="L6022" s="12" t="inlineStr">
        <is>
          <t>1 pr</t>
        </is>
      </c>
      <c r="M6022" s="12" t="inlineStr">
        <is>
          <t>16</t>
        </is>
      </c>
      <c r="N6022" s="12" t="n">
        <v>12</v>
      </c>
      <c r="O6022" s="12" t="n">
        <v>1</v>
      </c>
      <c r="P6022" s="12" t="n"/>
      <c r="Q6022" s="12" t="n"/>
      <c r="R6022" s="12" t="n"/>
      <c r="S6022" s="12" t="inlineStr">
        <is>
          <t>Tray / conduit</t>
        </is>
      </c>
      <c r="T6022" s="15" t="n">
        <v>122</v>
      </c>
      <c r="U6022" s="15" t="n">
        <v>10</v>
      </c>
      <c r="V6022" s="15">
        <f>ROUNDUP((T6022+U6022+2*'Read Me'!$B$13)*(1+'Read Me'!$B$12),-1)</f>
        <v/>
      </c>
      <c r="W6022" s="15">
        <f>V6022*N6022*O6022</f>
        <v/>
      </c>
      <c r="X6022" s="12">
        <f>IF(LEFT(I6022,2)="MV",2*N6022*IF(L6022="1/C",O6022,1),0)</f>
        <v/>
      </c>
      <c r="Y6022" s="12">
        <f>IF(OR(LEFT(K6022,4)="LVAX",LEFT(K6022,6)="MV15AX",LEFT(K6022,4)="CTAX",LEFT(K6022,2)="W|"),2*N6022*O6022,0)</f>
        <v/>
      </c>
      <c r="Z6022" s="12" t="inlineStr">
        <is>
          <t>device-to-JB field wiring, one cable per device</t>
        </is>
      </c>
      <c r="AA6022" s="12">
        <f>N6022*O6022</f>
        <v/>
      </c>
    </row>
    <row r="6023">
      <c r="A6023" s="12" t="inlineStr">
        <is>
          <t>K-I-0140</t>
        </is>
      </c>
      <c r="B6023" s="12" t="inlineStr">
        <is>
          <t>K</t>
        </is>
      </c>
      <c r="C6023" s="12" t="inlineStr">
        <is>
          <t>Fuel supply (adjacent market)</t>
        </is>
      </c>
      <c r="D6023" s="12" t="inlineStr">
        <is>
          <t>Home run JB-LNG 14: vaporizers-AI01 to the control / marshalling room</t>
        </is>
      </c>
      <c r="E6023" s="12" t="inlineStr"/>
      <c r="F6023" s="12" t="inlineStr">
        <is>
          <t>LNG 17: LNG e-house (13.8 kV / 480 V)</t>
        </is>
      </c>
      <c r="G6023" s="12" t="inlineStr">
        <is>
          <t>JB-LNG 14: vaporizers-AI01</t>
        </is>
      </c>
      <c r="H6023" s="12" t="inlineStr">
        <is>
          <t>LNG 14: vaporizers + glycol heater</t>
        </is>
      </c>
      <c r="I6023" s="12" t="inlineStr">
        <is>
          <t>Instrumentation</t>
        </is>
      </c>
      <c r="J6023" s="12" t="inlineStr">
        <is>
          <t>Instrumentation ITC / PLTC, IS, #18 shielded pairs, blue jacket</t>
        </is>
      </c>
      <c r="K6023" s="12" t="inlineStr">
        <is>
          <t>ITC|24 pr|18</t>
        </is>
      </c>
      <c r="L6023" s="12" t="inlineStr">
        <is>
          <t>24 pr</t>
        </is>
      </c>
      <c r="M6023" s="12" t="inlineStr">
        <is>
          <t>18</t>
        </is>
      </c>
      <c r="N6023" s="12" t="n">
        <v>1</v>
      </c>
      <c r="O6023" s="12" t="n">
        <v>1</v>
      </c>
      <c r="P6023" s="12" t="n"/>
      <c r="Q6023" s="12" t="n"/>
      <c r="R6023" s="12" t="n"/>
      <c r="S6023" s="12" t="inlineStr">
        <is>
          <t>Duct bank</t>
        </is>
      </c>
      <c r="T6023" s="15" t="n">
        <v>259</v>
      </c>
      <c r="U6023" s="15" t="n">
        <v>32</v>
      </c>
      <c r="V6023" s="15">
        <f>ROUNDUP((T6023+U6023+2*'Read Me'!$B$13)*(1+'Read Me'!$B$12),-1)</f>
        <v/>
      </c>
      <c r="W6023" s="15">
        <f>V6023*N6023*O6023</f>
        <v/>
      </c>
      <c r="X6023" s="12">
        <f>IF(LEFT(I6023,2)="MV",2*N6023*IF(L6023="1/C",O6023,1),0)</f>
        <v/>
      </c>
      <c r="Y6023" s="12">
        <f>IF(OR(LEFT(K6023,4)="LVAX",LEFT(K6023,6)="MV15AX",LEFT(K6023,4)="CTAX",LEFT(K6023,2)="W|"),2*N6023*O6023,0)</f>
        <v/>
      </c>
      <c r="Z6023" s="12" t="inlineStr"/>
      <c r="AA6023" s="12">
        <f>N6023*O6023</f>
        <v/>
      </c>
    </row>
    <row r="6024">
      <c r="A6024" s="12" t="inlineStr">
        <is>
          <t>K-I-0141</t>
        </is>
      </c>
      <c r="B6024" s="12" t="inlineStr">
        <is>
          <t>K</t>
        </is>
      </c>
      <c r="C6024" s="12" t="inlineStr">
        <is>
          <t>Fuel supply (adjacent market)</t>
        </is>
      </c>
      <c r="D6024" s="12" t="inlineStr">
        <is>
          <t>Discrete device to JB JB-LNG 14: vaporizers-DI01: 12 x 1 pr (field cables)</t>
        </is>
      </c>
      <c r="E6024" s="12" t="inlineStr"/>
      <c r="F6024" s="12" t="inlineStr">
        <is>
          <t>LNG 14: vaporizers + glycol heater</t>
        </is>
      </c>
      <c r="G6024" s="12" t="inlineStr">
        <is>
          <t>JB-LNG 14: vaporizers-DI01</t>
        </is>
      </c>
      <c r="H6024" s="12" t="inlineStr">
        <is>
          <t>LNG 14: vaporizers + glycol heater</t>
        </is>
      </c>
      <c r="I6024" s="12" t="inlineStr">
        <is>
          <t>Instrumentation</t>
        </is>
      </c>
      <c r="J6024" s="12" t="inlineStr">
        <is>
          <t>Instrumentation ITC / PLTC, IS, #18 shielded pairs, blue jacket</t>
        </is>
      </c>
      <c r="K6024" s="12" t="inlineStr">
        <is>
          <t>ITC|1 pr|16</t>
        </is>
      </c>
      <c r="L6024" s="12" t="inlineStr">
        <is>
          <t>1 pr</t>
        </is>
      </c>
      <c r="M6024" s="12" t="inlineStr">
        <is>
          <t>16</t>
        </is>
      </c>
      <c r="N6024" s="12" t="n">
        <v>12</v>
      </c>
      <c r="O6024" s="12" t="n">
        <v>1</v>
      </c>
      <c r="P6024" s="12" t="n"/>
      <c r="Q6024" s="12" t="n"/>
      <c r="R6024" s="12" t="n"/>
      <c r="S6024" s="12" t="inlineStr">
        <is>
          <t>Tray / conduit</t>
        </is>
      </c>
      <c r="T6024" s="15" t="n">
        <v>122</v>
      </c>
      <c r="U6024" s="15" t="n">
        <v>10</v>
      </c>
      <c r="V6024" s="15">
        <f>ROUNDUP((T6024+U6024+2*'Read Me'!$B$13)*(1+'Read Me'!$B$12),-1)</f>
        <v/>
      </c>
      <c r="W6024" s="15">
        <f>V6024*N6024*O6024</f>
        <v/>
      </c>
      <c r="X6024" s="12">
        <f>IF(LEFT(I6024,2)="MV",2*N6024*IF(L6024="1/C",O6024,1),0)</f>
        <v/>
      </c>
      <c r="Y6024" s="12">
        <f>IF(OR(LEFT(K6024,4)="LVAX",LEFT(K6024,6)="MV15AX",LEFT(K6024,4)="CTAX",LEFT(K6024,2)="W|"),2*N6024*O6024,0)</f>
        <v/>
      </c>
      <c r="Z6024" s="12" t="inlineStr">
        <is>
          <t>device-to-JB field wiring, one cable per device</t>
        </is>
      </c>
      <c r="AA6024" s="12">
        <f>N6024*O6024</f>
        <v/>
      </c>
    </row>
    <row r="6025">
      <c r="A6025" s="12" t="inlineStr">
        <is>
          <t>K-I-0142</t>
        </is>
      </c>
      <c r="B6025" s="12" t="inlineStr">
        <is>
          <t>K</t>
        </is>
      </c>
      <c r="C6025" s="12" t="inlineStr">
        <is>
          <t>Fuel supply (adjacent market)</t>
        </is>
      </c>
      <c r="D6025" s="12" t="inlineStr">
        <is>
          <t>Home run JB-LNG 14: vaporizers-DI01 to the control / marshalling room</t>
        </is>
      </c>
      <c r="E6025" s="12" t="inlineStr"/>
      <c r="F6025" s="12" t="inlineStr">
        <is>
          <t>LNG 17: LNG e-house (13.8 kV / 480 V)</t>
        </is>
      </c>
      <c r="G6025" s="12" t="inlineStr">
        <is>
          <t>JB-LNG 14: vaporizers-DI01</t>
        </is>
      </c>
      <c r="H6025" s="12" t="inlineStr">
        <is>
          <t>LNG 14: vaporizers + glycol heater</t>
        </is>
      </c>
      <c r="I6025" s="12" t="inlineStr">
        <is>
          <t>Instrumentation</t>
        </is>
      </c>
      <c r="J6025" s="12" t="inlineStr">
        <is>
          <t>Instrumentation ITC / PLTC, IS, #18 shielded pairs, blue jacket</t>
        </is>
      </c>
      <c r="K6025" s="12" t="inlineStr">
        <is>
          <t>ITC|24 pr|18</t>
        </is>
      </c>
      <c r="L6025" s="12" t="inlineStr">
        <is>
          <t>24 pr</t>
        </is>
      </c>
      <c r="M6025" s="12" t="inlineStr">
        <is>
          <t>18</t>
        </is>
      </c>
      <c r="N6025" s="12" t="n">
        <v>1</v>
      </c>
      <c r="O6025" s="12" t="n">
        <v>1</v>
      </c>
      <c r="P6025" s="12" t="n"/>
      <c r="Q6025" s="12" t="n"/>
      <c r="R6025" s="12" t="n"/>
      <c r="S6025" s="12" t="inlineStr">
        <is>
          <t>Duct bank</t>
        </is>
      </c>
      <c r="T6025" s="15" t="n">
        <v>259</v>
      </c>
      <c r="U6025" s="15" t="n">
        <v>32</v>
      </c>
      <c r="V6025" s="15">
        <f>ROUNDUP((T6025+U6025+2*'Read Me'!$B$13)*(1+'Read Me'!$B$12),-1)</f>
        <v/>
      </c>
      <c r="W6025" s="15">
        <f>V6025*N6025*O6025</f>
        <v/>
      </c>
      <c r="X6025" s="12">
        <f>IF(LEFT(I6025,2)="MV",2*N6025*IF(L6025="1/C",O6025,1),0)</f>
        <v/>
      </c>
      <c r="Y6025" s="12">
        <f>IF(OR(LEFT(K6025,4)="LVAX",LEFT(K6025,6)="MV15AX",LEFT(K6025,4)="CTAX",LEFT(K6025,2)="W|"),2*N6025*O6025,0)</f>
        <v/>
      </c>
      <c r="Z6025" s="12" t="inlineStr"/>
      <c r="AA6025" s="12">
        <f>N6025*O6025</f>
        <v/>
      </c>
    </row>
    <row r="6026">
      <c r="A6026" s="12" t="inlineStr">
        <is>
          <t>K-I-0143</t>
        </is>
      </c>
      <c r="B6026" s="12" t="inlineStr">
        <is>
          <t>K</t>
        </is>
      </c>
      <c r="C6026" s="12" t="inlineStr">
        <is>
          <t>Fuel supply (adjacent market)</t>
        </is>
      </c>
      <c r="D6026" s="12" t="inlineStr">
        <is>
          <t>Analog instrument to JB JB-LNG 15: boil-off g-AI01: 12 x 1 pr (field cables)</t>
        </is>
      </c>
      <c r="E6026" s="12" t="inlineStr"/>
      <c r="F6026" s="12" t="inlineStr">
        <is>
          <t>LNG 15: boil-off gas compressor</t>
        </is>
      </c>
      <c r="G6026" s="12" t="inlineStr">
        <is>
          <t>JB-LNG 15: boil-off g-AI01</t>
        </is>
      </c>
      <c r="H6026" s="12" t="inlineStr">
        <is>
          <t>LNG 15: boil-off gas compressor</t>
        </is>
      </c>
      <c r="I6026" s="12" t="inlineStr">
        <is>
          <t>Instrumentation</t>
        </is>
      </c>
      <c r="J6026" s="12" t="inlineStr">
        <is>
          <t>Instrumentation ITC / PLTC, IS, #18 shielded pairs, blue jacket</t>
        </is>
      </c>
      <c r="K6026" s="12" t="inlineStr">
        <is>
          <t>ITC|1 pr|16</t>
        </is>
      </c>
      <c r="L6026" s="12" t="inlineStr">
        <is>
          <t>1 pr</t>
        </is>
      </c>
      <c r="M6026" s="12" t="inlineStr">
        <is>
          <t>16</t>
        </is>
      </c>
      <c r="N6026" s="12" t="n">
        <v>12</v>
      </c>
      <c r="O6026" s="12" t="n">
        <v>1</v>
      </c>
      <c r="P6026" s="12" t="n"/>
      <c r="Q6026" s="12" t="n"/>
      <c r="R6026" s="12" t="n"/>
      <c r="S6026" s="12" t="inlineStr">
        <is>
          <t>Tray / conduit</t>
        </is>
      </c>
      <c r="T6026" s="15" t="n">
        <v>67</v>
      </c>
      <c r="U6026" s="15" t="n">
        <v>10</v>
      </c>
      <c r="V6026" s="15">
        <f>ROUNDUP((T6026+U6026+2*'Read Me'!$B$13)*(1+'Read Me'!$B$12),-1)</f>
        <v/>
      </c>
      <c r="W6026" s="15">
        <f>V6026*N6026*O6026</f>
        <v/>
      </c>
      <c r="X6026" s="12">
        <f>IF(LEFT(I6026,2)="MV",2*N6026*IF(L6026="1/C",O6026,1),0)</f>
        <v/>
      </c>
      <c r="Y6026" s="12">
        <f>IF(OR(LEFT(K6026,4)="LVAX",LEFT(K6026,6)="MV15AX",LEFT(K6026,4)="CTAX",LEFT(K6026,2)="W|"),2*N6026*O6026,0)</f>
        <v/>
      </c>
      <c r="Z6026" s="12" t="inlineStr">
        <is>
          <t>device-to-JB field wiring, one cable per device</t>
        </is>
      </c>
      <c r="AA6026" s="12">
        <f>N6026*O6026</f>
        <v/>
      </c>
    </row>
    <row r="6027">
      <c r="A6027" s="12" t="inlineStr">
        <is>
          <t>K-I-0144</t>
        </is>
      </c>
      <c r="B6027" s="12" t="inlineStr">
        <is>
          <t>K</t>
        </is>
      </c>
      <c r="C6027" s="12" t="inlineStr">
        <is>
          <t>Fuel supply (adjacent market)</t>
        </is>
      </c>
      <c r="D6027" s="12" t="inlineStr">
        <is>
          <t>Home run JB-LNG 15: boil-off g-AI01 to the control / marshalling room</t>
        </is>
      </c>
      <c r="E6027" s="12" t="inlineStr"/>
      <c r="F6027" s="12" t="inlineStr">
        <is>
          <t>LNG 17: LNG e-house (13.8 kV / 480 V)</t>
        </is>
      </c>
      <c r="G6027" s="12" t="inlineStr">
        <is>
          <t>JB-LNG 15: boil-off g-AI01</t>
        </is>
      </c>
      <c r="H6027" s="12" t="inlineStr">
        <is>
          <t>LNG 15: boil-off gas compressor</t>
        </is>
      </c>
      <c r="I6027" s="12" t="inlineStr">
        <is>
          <t>Instrumentation</t>
        </is>
      </c>
      <c r="J6027" s="12" t="inlineStr">
        <is>
          <t>Instrumentation ITC / PLTC, IS, #18 shielded pairs, blue jacket</t>
        </is>
      </c>
      <c r="K6027" s="12" t="inlineStr">
        <is>
          <t>ITC|24 pr|18</t>
        </is>
      </c>
      <c r="L6027" s="12" t="inlineStr">
        <is>
          <t>24 pr</t>
        </is>
      </c>
      <c r="M6027" s="12" t="inlineStr">
        <is>
          <t>18</t>
        </is>
      </c>
      <c r="N6027" s="12" t="n">
        <v>1</v>
      </c>
      <c r="O6027" s="12" t="n">
        <v>1</v>
      </c>
      <c r="P6027" s="12" t="n"/>
      <c r="Q6027" s="12" t="n"/>
      <c r="R6027" s="12" t="n"/>
      <c r="S6027" s="12" t="inlineStr">
        <is>
          <t>Duct bank</t>
        </is>
      </c>
      <c r="T6027" s="15" t="n">
        <v>25</v>
      </c>
      <c r="U6027" s="15" t="n">
        <v>54</v>
      </c>
      <c r="V6027" s="15">
        <f>ROUNDUP((T6027+U6027+2*'Read Me'!$B$13)*(1+'Read Me'!$B$12),-1)</f>
        <v/>
      </c>
      <c r="W6027" s="15">
        <f>V6027*N6027*O6027</f>
        <v/>
      </c>
      <c r="X6027" s="12">
        <f>IF(LEFT(I6027,2)="MV",2*N6027*IF(L6027="1/C",O6027,1),0)</f>
        <v/>
      </c>
      <c r="Y6027" s="12">
        <f>IF(OR(LEFT(K6027,4)="LVAX",LEFT(K6027,6)="MV15AX",LEFT(K6027,4)="CTAX",LEFT(K6027,2)="W|"),2*N6027*O6027,0)</f>
        <v/>
      </c>
      <c r="Z6027" s="12" t="inlineStr"/>
      <c r="AA6027" s="12">
        <f>N6027*O6027</f>
        <v/>
      </c>
    </row>
    <row r="6028">
      <c r="A6028" s="12" t="inlineStr">
        <is>
          <t>K-I-0145</t>
        </is>
      </c>
      <c r="B6028" s="12" t="inlineStr">
        <is>
          <t>K</t>
        </is>
      </c>
      <c r="C6028" s="12" t="inlineStr">
        <is>
          <t>Fuel supply (adjacent market)</t>
        </is>
      </c>
      <c r="D6028" s="12" t="inlineStr">
        <is>
          <t>Discrete device to JB JB-LNG 15: boil-off g-DI01: 12 x 1 pr (field cables)</t>
        </is>
      </c>
      <c r="E6028" s="12" t="inlineStr"/>
      <c r="F6028" s="12" t="inlineStr">
        <is>
          <t>LNG 15: boil-off gas compressor</t>
        </is>
      </c>
      <c r="G6028" s="12" t="inlineStr">
        <is>
          <t>JB-LNG 15: boil-off g-DI01</t>
        </is>
      </c>
      <c r="H6028" s="12" t="inlineStr">
        <is>
          <t>LNG 15: boil-off gas compressor</t>
        </is>
      </c>
      <c r="I6028" s="12" t="inlineStr">
        <is>
          <t>Instrumentation</t>
        </is>
      </c>
      <c r="J6028" s="12" t="inlineStr">
        <is>
          <t>Instrumentation ITC / PLTC, IS, #18 shielded pairs, blue jacket</t>
        </is>
      </c>
      <c r="K6028" s="12" t="inlineStr">
        <is>
          <t>ITC|1 pr|16</t>
        </is>
      </c>
      <c r="L6028" s="12" t="inlineStr">
        <is>
          <t>1 pr</t>
        </is>
      </c>
      <c r="M6028" s="12" t="inlineStr">
        <is>
          <t>16</t>
        </is>
      </c>
      <c r="N6028" s="12" t="n">
        <v>12</v>
      </c>
      <c r="O6028" s="12" t="n">
        <v>1</v>
      </c>
      <c r="P6028" s="12" t="n"/>
      <c r="Q6028" s="12" t="n"/>
      <c r="R6028" s="12" t="n"/>
      <c r="S6028" s="12" t="inlineStr">
        <is>
          <t>Tray / conduit</t>
        </is>
      </c>
      <c r="T6028" s="15" t="n">
        <v>67</v>
      </c>
      <c r="U6028" s="15" t="n">
        <v>10</v>
      </c>
      <c r="V6028" s="15">
        <f>ROUNDUP((T6028+U6028+2*'Read Me'!$B$13)*(1+'Read Me'!$B$12),-1)</f>
        <v/>
      </c>
      <c r="W6028" s="15">
        <f>V6028*N6028*O6028</f>
        <v/>
      </c>
      <c r="X6028" s="12">
        <f>IF(LEFT(I6028,2)="MV",2*N6028*IF(L6028="1/C",O6028,1),0)</f>
        <v/>
      </c>
      <c r="Y6028" s="12">
        <f>IF(OR(LEFT(K6028,4)="LVAX",LEFT(K6028,6)="MV15AX",LEFT(K6028,4)="CTAX",LEFT(K6028,2)="W|"),2*N6028*O6028,0)</f>
        <v/>
      </c>
      <c r="Z6028" s="12" t="inlineStr">
        <is>
          <t>device-to-JB field wiring, one cable per device</t>
        </is>
      </c>
      <c r="AA6028" s="12">
        <f>N6028*O6028</f>
        <v/>
      </c>
    </row>
    <row r="6029">
      <c r="A6029" s="12" t="inlineStr">
        <is>
          <t>K-I-0146</t>
        </is>
      </c>
      <c r="B6029" s="12" t="inlineStr">
        <is>
          <t>K</t>
        </is>
      </c>
      <c r="C6029" s="12" t="inlineStr">
        <is>
          <t>Fuel supply (adjacent market)</t>
        </is>
      </c>
      <c r="D6029" s="12" t="inlineStr">
        <is>
          <t>Home run JB-LNG 15: boil-off g-DI01 to the control / marshalling room</t>
        </is>
      </c>
      <c r="E6029" s="12" t="inlineStr"/>
      <c r="F6029" s="12" t="inlineStr">
        <is>
          <t>LNG 17: LNG e-house (13.8 kV / 480 V)</t>
        </is>
      </c>
      <c r="G6029" s="12" t="inlineStr">
        <is>
          <t>JB-LNG 15: boil-off g-DI01</t>
        </is>
      </c>
      <c r="H6029" s="12" t="inlineStr">
        <is>
          <t>LNG 15: boil-off gas compressor</t>
        </is>
      </c>
      <c r="I6029" s="12" t="inlineStr">
        <is>
          <t>Instrumentation</t>
        </is>
      </c>
      <c r="J6029" s="12" t="inlineStr">
        <is>
          <t>Instrumentation ITC / PLTC, IS, #18 shielded pairs, blue jacket</t>
        </is>
      </c>
      <c r="K6029" s="12" t="inlineStr">
        <is>
          <t>ITC|24 pr|18</t>
        </is>
      </c>
      <c r="L6029" s="12" t="inlineStr">
        <is>
          <t>24 pr</t>
        </is>
      </c>
      <c r="M6029" s="12" t="inlineStr">
        <is>
          <t>18</t>
        </is>
      </c>
      <c r="N6029" s="12" t="n">
        <v>1</v>
      </c>
      <c r="O6029" s="12" t="n">
        <v>1</v>
      </c>
      <c r="P6029" s="12" t="n"/>
      <c r="Q6029" s="12" t="n"/>
      <c r="R6029" s="12" t="n"/>
      <c r="S6029" s="12" t="inlineStr">
        <is>
          <t>Duct bank</t>
        </is>
      </c>
      <c r="T6029" s="15" t="n">
        <v>25</v>
      </c>
      <c r="U6029" s="15" t="n">
        <v>54</v>
      </c>
      <c r="V6029" s="15">
        <f>ROUNDUP((T6029+U6029+2*'Read Me'!$B$13)*(1+'Read Me'!$B$12),-1)</f>
        <v/>
      </c>
      <c r="W6029" s="15">
        <f>V6029*N6029*O6029</f>
        <v/>
      </c>
      <c r="X6029" s="12">
        <f>IF(LEFT(I6029,2)="MV",2*N6029*IF(L6029="1/C",O6029,1),0)</f>
        <v/>
      </c>
      <c r="Y6029" s="12">
        <f>IF(OR(LEFT(K6029,4)="LVAX",LEFT(K6029,6)="MV15AX",LEFT(K6029,4)="CTAX",LEFT(K6029,2)="W|"),2*N6029*O6029,0)</f>
        <v/>
      </c>
      <c r="Z6029" s="12" t="inlineStr"/>
      <c r="AA6029" s="12">
        <f>N6029*O6029</f>
        <v/>
      </c>
    </row>
    <row r="6030">
      <c r="A6030" s="12" t="inlineStr">
        <is>
          <t>K-I-0147</t>
        </is>
      </c>
      <c r="B6030" s="12" t="inlineStr">
        <is>
          <t>K</t>
        </is>
      </c>
      <c r="C6030" s="12" t="inlineStr">
        <is>
          <t>Fuel supply (adjacent market)</t>
        </is>
      </c>
      <c r="D6030" s="12" t="inlineStr">
        <is>
          <t>Analog instrument to JB JB-LNG 16: send-out m-AI01: 12 x 1 pr (field cables)</t>
        </is>
      </c>
      <c r="E6030" s="12" t="inlineStr"/>
      <c r="F6030" s="12" t="inlineStr">
        <is>
          <t>LNG 16: send-out metering + pressure control</t>
        </is>
      </c>
      <c r="G6030" s="12" t="inlineStr">
        <is>
          <t>JB-LNG 16: send-out m-AI01</t>
        </is>
      </c>
      <c r="H6030" s="12" t="inlineStr">
        <is>
          <t>LNG 16: send-out metering + pressure control</t>
        </is>
      </c>
      <c r="I6030" s="12" t="inlineStr">
        <is>
          <t>Instrumentation</t>
        </is>
      </c>
      <c r="J6030" s="12" t="inlineStr">
        <is>
          <t>Instrumentation ITC / PLTC, IS, #18 shielded pairs, blue jacket</t>
        </is>
      </c>
      <c r="K6030" s="12" t="inlineStr">
        <is>
          <t>ITC|1 pr|16</t>
        </is>
      </c>
      <c r="L6030" s="12" t="inlineStr">
        <is>
          <t>1 pr</t>
        </is>
      </c>
      <c r="M6030" s="12" t="inlineStr">
        <is>
          <t>16</t>
        </is>
      </c>
      <c r="N6030" s="12" t="n">
        <v>12</v>
      </c>
      <c r="O6030" s="12" t="n">
        <v>1</v>
      </c>
      <c r="P6030" s="12" t="n"/>
      <c r="Q6030" s="12" t="n"/>
      <c r="R6030" s="12" t="n"/>
      <c r="S6030" s="12" t="inlineStr">
        <is>
          <t>Tray / conduit</t>
        </is>
      </c>
      <c r="T6030" s="15" t="n">
        <v>74</v>
      </c>
      <c r="U6030" s="15" t="n">
        <v>10</v>
      </c>
      <c r="V6030" s="15">
        <f>ROUNDUP((T6030+U6030+2*'Read Me'!$B$13)*(1+'Read Me'!$B$12),-1)</f>
        <v/>
      </c>
      <c r="W6030" s="15">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K-I-0148</t>
        </is>
      </c>
      <c r="B6031" s="12" t="inlineStr">
        <is>
          <t>K</t>
        </is>
      </c>
      <c r="C6031" s="12" t="inlineStr">
        <is>
          <t>Fuel supply (adjacent market)</t>
        </is>
      </c>
      <c r="D6031" s="12" t="inlineStr">
        <is>
          <t>Home run JB-LNG 16: send-out m-AI01 to the control / marshalling room</t>
        </is>
      </c>
      <c r="E6031" s="12" t="inlineStr"/>
      <c r="F6031" s="12" t="inlineStr">
        <is>
          <t>LNG 17: LNG e-house (13.8 kV / 480 V)</t>
        </is>
      </c>
      <c r="G6031" s="12" t="inlineStr">
        <is>
          <t>JB-LNG 16: send-out m-AI01</t>
        </is>
      </c>
      <c r="H6031" s="12" t="inlineStr">
        <is>
          <t>LNG 16: send-out metering + pressure control</t>
        </is>
      </c>
      <c r="I6031" s="12" t="inlineStr">
        <is>
          <t>Instrumentation</t>
        </is>
      </c>
      <c r="J6031" s="12" t="inlineStr">
        <is>
          <t>Instrumentation ITC / PLTC, IS, #18 shielded pairs, blue jacket</t>
        </is>
      </c>
      <c r="K6031" s="12" t="inlineStr">
        <is>
          <t>ITC|24 pr|18</t>
        </is>
      </c>
      <c r="L6031" s="12" t="inlineStr">
        <is>
          <t>24 pr</t>
        </is>
      </c>
      <c r="M6031" s="12" t="inlineStr">
        <is>
          <t>18</t>
        </is>
      </c>
      <c r="N6031" s="12" t="n">
        <v>1</v>
      </c>
      <c r="O6031" s="12" t="n">
        <v>1</v>
      </c>
      <c r="P6031" s="12" t="n"/>
      <c r="Q6031" s="12" t="n"/>
      <c r="R6031" s="12" t="n"/>
      <c r="S6031" s="12" t="inlineStr">
        <is>
          <t>Duct bank</t>
        </is>
      </c>
      <c r="T6031" s="15" t="n">
        <v>20</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c r="AA6031" s="12">
        <f>N6031*O6031</f>
        <v/>
      </c>
    </row>
    <row r="6032">
      <c r="A6032" s="12" t="inlineStr">
        <is>
          <t>K-I-0149</t>
        </is>
      </c>
      <c r="B6032" s="12" t="inlineStr">
        <is>
          <t>K</t>
        </is>
      </c>
      <c r="C6032" s="12" t="inlineStr">
        <is>
          <t>Fuel supply (adjacent market)</t>
        </is>
      </c>
      <c r="D6032" s="12" t="inlineStr">
        <is>
          <t>Discrete device to JB JB-LNG 16: send-out m-DI01: 12 x 1 pr (field cables)</t>
        </is>
      </c>
      <c r="E6032" s="12" t="inlineStr"/>
      <c r="F6032" s="12" t="inlineStr">
        <is>
          <t>LNG 16: send-out metering + pressure control</t>
        </is>
      </c>
      <c r="G6032" s="12" t="inlineStr">
        <is>
          <t>JB-LNG 16: send-out m-DI01</t>
        </is>
      </c>
      <c r="H6032" s="12" t="inlineStr">
        <is>
          <t>LNG 16: send-out metering + pressure control</t>
        </is>
      </c>
      <c r="I6032" s="12" t="inlineStr">
        <is>
          <t>Instrumentation</t>
        </is>
      </c>
      <c r="J6032" s="12" t="inlineStr">
        <is>
          <t>Instrumentation ITC / PLTC, IS, #18 shielded pairs, blue jacket</t>
        </is>
      </c>
      <c r="K6032" s="12" t="inlineStr">
        <is>
          <t>ITC|1 pr|16</t>
        </is>
      </c>
      <c r="L6032" s="12" t="inlineStr">
        <is>
          <t>1 pr</t>
        </is>
      </c>
      <c r="M6032" s="12" t="inlineStr">
        <is>
          <t>16</t>
        </is>
      </c>
      <c r="N6032" s="12" t="n">
        <v>12</v>
      </c>
      <c r="O6032" s="12" t="n">
        <v>1</v>
      </c>
      <c r="P6032" s="12" t="n"/>
      <c r="Q6032" s="12" t="n"/>
      <c r="R6032" s="12" t="n"/>
      <c r="S6032" s="12" t="inlineStr">
        <is>
          <t>Tray / conduit</t>
        </is>
      </c>
      <c r="T6032" s="15" t="n">
        <v>74</v>
      </c>
      <c r="U6032" s="15" t="n">
        <v>10</v>
      </c>
      <c r="V6032" s="15">
        <f>ROUNDUP((T6032+U6032+2*'Read Me'!$B$13)*(1+'Read Me'!$B$12),-1)</f>
        <v/>
      </c>
      <c r="W6032" s="15">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K-I-0150</t>
        </is>
      </c>
      <c r="B6033" s="12" t="inlineStr">
        <is>
          <t>K</t>
        </is>
      </c>
      <c r="C6033" s="12" t="inlineStr">
        <is>
          <t>Fuel supply (adjacent market)</t>
        </is>
      </c>
      <c r="D6033" s="12" t="inlineStr">
        <is>
          <t>Home run JB-LNG 16: send-out m-DI01 to the control / marshalling room</t>
        </is>
      </c>
      <c r="E6033" s="12" t="inlineStr"/>
      <c r="F6033" s="12" t="inlineStr">
        <is>
          <t>LNG 17: LNG e-house (13.8 kV / 480 V)</t>
        </is>
      </c>
      <c r="G6033" s="12" t="inlineStr">
        <is>
          <t>JB-LNG 16: send-out m-DI01</t>
        </is>
      </c>
      <c r="H6033" s="12" t="inlineStr">
        <is>
          <t>LNG 16: send-out metering + pressure control</t>
        </is>
      </c>
      <c r="I6033" s="12" t="inlineStr">
        <is>
          <t>Instrumentation</t>
        </is>
      </c>
      <c r="J6033" s="12" t="inlineStr">
        <is>
          <t>Instrumentation ITC / PLTC, IS, #18 shielded pairs, blue jacket</t>
        </is>
      </c>
      <c r="K6033" s="12" t="inlineStr">
        <is>
          <t>ITC|24 pr|18</t>
        </is>
      </c>
      <c r="L6033" s="12" t="inlineStr">
        <is>
          <t>24 pr</t>
        </is>
      </c>
      <c r="M6033" s="12" t="inlineStr">
        <is>
          <t>18</t>
        </is>
      </c>
      <c r="N6033" s="12" t="n">
        <v>1</v>
      </c>
      <c r="O6033" s="12" t="n">
        <v>1</v>
      </c>
      <c r="P6033" s="12" t="n"/>
      <c r="Q6033" s="12" t="n"/>
      <c r="R6033" s="12" t="n"/>
      <c r="S6033" s="12" t="inlineStr">
        <is>
          <t>Duct bank</t>
        </is>
      </c>
      <c r="T6033" s="15" t="n">
        <v>20</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K-I-0151</t>
        </is>
      </c>
      <c r="B6034" s="12" t="inlineStr">
        <is>
          <t>K</t>
        </is>
      </c>
      <c r="C6034" s="12" t="inlineStr">
        <is>
          <t>Fuel supply (adjacent market)</t>
        </is>
      </c>
      <c r="D6034" s="12" t="inlineStr">
        <is>
          <t>Analog instrument to JB JB-LNG 17: LNG e-hous-AI01: 12 x 1 pr (field cables)</t>
        </is>
      </c>
      <c r="E6034" s="12" t="inlineStr"/>
      <c r="F6034" s="12" t="inlineStr">
        <is>
          <t>LNG 17: LNG e-house (13.8 kV / 480 V)</t>
        </is>
      </c>
      <c r="G6034" s="12" t="inlineStr">
        <is>
          <t>JB-LNG 17: LNG e-hous-AI01</t>
        </is>
      </c>
      <c r="H6034" s="12" t="inlineStr">
        <is>
          <t>LNG 17: LNG e-house (13.8 kV / 480 V)</t>
        </is>
      </c>
      <c r="I6034" s="12" t="inlineStr">
        <is>
          <t>Instrumentation</t>
        </is>
      </c>
      <c r="J6034" s="12" t="inlineStr">
        <is>
          <t>Instrumentation ITC / PLTC, IS, #18 shielded pairs, blue jacket</t>
        </is>
      </c>
      <c r="K6034" s="12" t="inlineStr">
        <is>
          <t>ITC|1 pr|16</t>
        </is>
      </c>
      <c r="L6034" s="12" t="inlineStr">
        <is>
          <t>1 pr</t>
        </is>
      </c>
      <c r="M6034" s="12" t="inlineStr">
        <is>
          <t>16</t>
        </is>
      </c>
      <c r="N6034" s="12" t="n">
        <v>12</v>
      </c>
      <c r="O6034" s="12" t="n">
        <v>1</v>
      </c>
      <c r="P6034" s="12" t="n"/>
      <c r="Q6034" s="12" t="n"/>
      <c r="R6034" s="12" t="n"/>
      <c r="S6034" s="12" t="inlineStr">
        <is>
          <t>Tray / conduit</t>
        </is>
      </c>
      <c r="T6034" s="15" t="n">
        <v>58</v>
      </c>
      <c r="U6034" s="15" t="n">
        <v>10</v>
      </c>
      <c r="V6034" s="15">
        <f>ROUNDUP((T6034+U6034+2*'Read Me'!$B$13)*(1+'Read Me'!$B$12),-1)</f>
        <v/>
      </c>
      <c r="W6034" s="15">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K-I-0152</t>
        </is>
      </c>
      <c r="B6035" s="12" t="inlineStr">
        <is>
          <t>K</t>
        </is>
      </c>
      <c r="C6035" s="12" t="inlineStr">
        <is>
          <t>Fuel supply (adjacent market)</t>
        </is>
      </c>
      <c r="D6035" s="12" t="inlineStr">
        <is>
          <t>Home run JB-LNG 17: LNG e-hous-AI01 to the control / marshalling room</t>
        </is>
      </c>
      <c r="E6035" s="12" t="inlineStr"/>
      <c r="F6035" s="12" t="inlineStr">
        <is>
          <t>LNG 17: LNG e-house (13.8 kV / 480 V)</t>
        </is>
      </c>
      <c r="G6035" s="12" t="inlineStr">
        <is>
          <t>JB-LNG 17: LNG e-hous-AI01</t>
        </is>
      </c>
      <c r="H6035" s="12" t="inlineStr">
        <is>
          <t>LNG 17: LNG e-house (13.8 kV / 480 V)</t>
        </is>
      </c>
      <c r="I6035" s="12" t="inlineStr">
        <is>
          <t>Instrumentation</t>
        </is>
      </c>
      <c r="J6035" s="12" t="inlineStr">
        <is>
          <t>Instrumentation ITC / PLTC, IS, #18 shielded pairs, blue jacket</t>
        </is>
      </c>
      <c r="K6035" s="12" t="inlineStr">
        <is>
          <t>ITC|24 pr|18</t>
        </is>
      </c>
      <c r="L6035" s="12" t="inlineStr">
        <is>
          <t>24 pr</t>
        </is>
      </c>
      <c r="M6035" s="12" t="inlineStr">
        <is>
          <t>18</t>
        </is>
      </c>
      <c r="N6035" s="12" t="n">
        <v>1</v>
      </c>
      <c r="O6035" s="12" t="n">
        <v>1</v>
      </c>
      <c r="P6035" s="12" t="n"/>
      <c r="Q6035" s="12" t="n"/>
      <c r="R6035" s="12" t="n"/>
      <c r="S6035" s="12" t="inlineStr">
        <is>
          <t>Tray</t>
        </is>
      </c>
      <c r="T6035" s="15" t="n">
        <v>0</v>
      </c>
      <c r="U6035" s="15" t="n">
        <v>32</v>
      </c>
      <c r="V6035" s="15">
        <f>ROUNDUP((T6035+U6035+2*'Read Me'!$B$13)*(1+'Read Me'!$B$12),-1)</f>
        <v/>
      </c>
      <c r="W6035" s="15">
        <f>V6035*N6035*O6035</f>
        <v/>
      </c>
      <c r="X6035" s="12">
        <f>IF(LEFT(I6035,2)="MV",2*N6035*IF(L6035="1/C",O6035,1),0)</f>
        <v/>
      </c>
      <c r="Y6035" s="12">
        <f>IF(OR(LEFT(K6035,4)="LVAX",LEFT(K6035,6)="MV15AX",LEFT(K6035,4)="CTAX",LEFT(K6035,2)="W|"),2*N6035*O6035,0)</f>
        <v/>
      </c>
      <c r="Z6035" s="12" t="inlineStr"/>
      <c r="AA6035" s="12">
        <f>N6035*O6035</f>
        <v/>
      </c>
    </row>
    <row r="6036">
      <c r="A6036" s="12" t="inlineStr">
        <is>
          <t>K-I-0153</t>
        </is>
      </c>
      <c r="B6036" s="12" t="inlineStr">
        <is>
          <t>K</t>
        </is>
      </c>
      <c r="C6036" s="12" t="inlineStr">
        <is>
          <t>Fuel supply (adjacent market)</t>
        </is>
      </c>
      <c r="D6036" s="12" t="inlineStr">
        <is>
          <t>Discrete device to JB JB-LNG 17: LNG e-hous-DI01: 12 x 1 pr (field cables)</t>
        </is>
      </c>
      <c r="E6036" s="12" t="inlineStr"/>
      <c r="F6036" s="12" t="inlineStr">
        <is>
          <t>LNG 17: LNG e-house (13.8 kV / 480 V)</t>
        </is>
      </c>
      <c r="G6036" s="12" t="inlineStr">
        <is>
          <t>JB-LNG 17: LNG e-hous-DI01</t>
        </is>
      </c>
      <c r="H6036" s="12" t="inlineStr">
        <is>
          <t>LNG 17: LNG e-house (13.8 kV / 480 V)</t>
        </is>
      </c>
      <c r="I6036" s="12" t="inlineStr">
        <is>
          <t>Instrumentation</t>
        </is>
      </c>
      <c r="J6036" s="12" t="inlineStr">
        <is>
          <t>Instrumentation ITC / PLTC, IS, #18 shielded pairs, blue jacket</t>
        </is>
      </c>
      <c r="K6036" s="12" t="inlineStr">
        <is>
          <t>ITC|1 pr|16</t>
        </is>
      </c>
      <c r="L6036" s="12" t="inlineStr">
        <is>
          <t>1 pr</t>
        </is>
      </c>
      <c r="M6036" s="12" t="inlineStr">
        <is>
          <t>16</t>
        </is>
      </c>
      <c r="N6036" s="12" t="n">
        <v>12</v>
      </c>
      <c r="O6036" s="12" t="n">
        <v>1</v>
      </c>
      <c r="P6036" s="12" t="n"/>
      <c r="Q6036" s="12" t="n"/>
      <c r="R6036" s="12" t="n"/>
      <c r="S6036" s="12" t="inlineStr">
        <is>
          <t>Tray / conduit</t>
        </is>
      </c>
      <c r="T6036" s="15" t="n">
        <v>58</v>
      </c>
      <c r="U6036" s="15" t="n">
        <v>10</v>
      </c>
      <c r="V6036" s="15">
        <f>ROUNDUP((T6036+U6036+2*'Read Me'!$B$13)*(1+'Read Me'!$B$12),-1)</f>
        <v/>
      </c>
      <c r="W6036" s="15">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K-I-0154</t>
        </is>
      </c>
      <c r="B6037" s="12" t="inlineStr">
        <is>
          <t>K</t>
        </is>
      </c>
      <c r="C6037" s="12" t="inlineStr">
        <is>
          <t>Fuel supply (adjacent market)</t>
        </is>
      </c>
      <c r="D6037" s="12" t="inlineStr">
        <is>
          <t>Home run JB-LNG 17: LNG e-hous-DI01 to the control / marshalling room</t>
        </is>
      </c>
      <c r="E6037" s="12" t="inlineStr"/>
      <c r="F6037" s="12" t="inlineStr">
        <is>
          <t>LNG 17: LNG e-house (13.8 kV / 480 V)</t>
        </is>
      </c>
      <c r="G6037" s="12" t="inlineStr">
        <is>
          <t>JB-LNG 17: LNG e-hous-DI01</t>
        </is>
      </c>
      <c r="H6037" s="12" t="inlineStr">
        <is>
          <t>LNG 17: LNG e-house (13.8 kV / 480 V)</t>
        </is>
      </c>
      <c r="I6037" s="12" t="inlineStr">
        <is>
          <t>Instrumentation</t>
        </is>
      </c>
      <c r="J6037" s="12" t="inlineStr">
        <is>
          <t>Instrumentation ITC / PLTC, IS, #18 shielded pairs, blue jacket</t>
        </is>
      </c>
      <c r="K6037" s="12" t="inlineStr">
        <is>
          <t>ITC|24 pr|18</t>
        </is>
      </c>
      <c r="L6037" s="12" t="inlineStr">
        <is>
          <t>24 pr</t>
        </is>
      </c>
      <c r="M6037" s="12" t="inlineStr">
        <is>
          <t>18</t>
        </is>
      </c>
      <c r="N6037" s="12" t="n">
        <v>1</v>
      </c>
      <c r="O6037" s="12" t="n">
        <v>1</v>
      </c>
      <c r="P6037" s="12" t="n"/>
      <c r="Q6037" s="12" t="n"/>
      <c r="R6037" s="12" t="n"/>
      <c r="S6037" s="12" t="inlineStr">
        <is>
          <t>Tray</t>
        </is>
      </c>
      <c r="T6037" s="15" t="n">
        <v>0</v>
      </c>
      <c r="U6037" s="15" t="n">
        <v>32</v>
      </c>
      <c r="V6037" s="15">
        <f>ROUNDUP((T6037+U6037+2*'Read Me'!$B$13)*(1+'Read Me'!$B$12),-1)</f>
        <v/>
      </c>
      <c r="W6037" s="15">
        <f>V6037*N6037*O6037</f>
        <v/>
      </c>
      <c r="X6037" s="12">
        <f>IF(LEFT(I6037,2)="MV",2*N6037*IF(L6037="1/C",O6037,1),0)</f>
        <v/>
      </c>
      <c r="Y6037" s="12">
        <f>IF(OR(LEFT(K6037,4)="LVAX",LEFT(K6037,6)="MV15AX",LEFT(K6037,4)="CTAX",LEFT(K6037,2)="W|"),2*N6037*O6037,0)</f>
        <v/>
      </c>
      <c r="Z6037" s="12" t="inlineStr"/>
      <c r="AA6037" s="12">
        <f>N6037*O6037</f>
        <v/>
      </c>
    </row>
    <row r="6038">
      <c r="A6038" s="12" t="inlineStr">
        <is>
          <t>K-I-0155</t>
        </is>
      </c>
      <c r="B6038" s="12" t="inlineStr">
        <is>
          <t>K</t>
        </is>
      </c>
      <c r="C6038" s="12" t="inlineStr">
        <is>
          <t>Fuel supply (adjacent market)</t>
        </is>
      </c>
      <c r="D6038" s="12" t="inlineStr">
        <is>
          <t>Analog instrument to JB JB-LNG 18: vent stack-AI01: 12 x 1 pr (field cables)</t>
        </is>
      </c>
      <c r="E6038" s="12" t="inlineStr"/>
      <c r="F6038" s="12" t="inlineStr">
        <is>
          <t>LNG 18: vent stack</t>
        </is>
      </c>
      <c r="G6038" s="12" t="inlineStr">
        <is>
          <t>JB-LNG 18: vent stack-AI01</t>
        </is>
      </c>
      <c r="H6038" s="12" t="inlineStr">
        <is>
          <t>LNG 18: vent stack</t>
        </is>
      </c>
      <c r="I6038" s="12" t="inlineStr">
        <is>
          <t>Instrumentation</t>
        </is>
      </c>
      <c r="J6038" s="12" t="inlineStr">
        <is>
          <t>Instrumentation ITC / PLTC, IS, #18 shielded pairs, blue jacket</t>
        </is>
      </c>
      <c r="K6038" s="12" t="inlineStr">
        <is>
          <t>ITC|1 pr|16</t>
        </is>
      </c>
      <c r="L6038" s="12" t="inlineStr">
        <is>
          <t>1 pr</t>
        </is>
      </c>
      <c r="M6038" s="12" t="inlineStr">
        <is>
          <t>16</t>
        </is>
      </c>
      <c r="N6038" s="12" t="n">
        <v>12</v>
      </c>
      <c r="O6038" s="12" t="n">
        <v>1</v>
      </c>
      <c r="P6038" s="12" t="n"/>
      <c r="Q6038" s="12" t="n"/>
      <c r="R6038" s="12" t="n"/>
      <c r="S6038" s="12" t="inlineStr">
        <is>
          <t>Tray / conduit</t>
        </is>
      </c>
      <c r="T6038" s="15" t="n">
        <v>55</v>
      </c>
      <c r="U6038" s="15" t="n">
        <v>10</v>
      </c>
      <c r="V6038" s="15">
        <f>ROUNDUP((T6038+U6038+2*'Read Me'!$B$13)*(1+'Read Me'!$B$12),-1)</f>
        <v/>
      </c>
      <c r="W6038" s="15">
        <f>V6038*N6038*O6038</f>
        <v/>
      </c>
      <c r="X6038" s="12">
        <f>IF(LEFT(I6038,2)="MV",2*N6038*IF(L6038="1/C",O6038,1),0)</f>
        <v/>
      </c>
      <c r="Y6038" s="12">
        <f>IF(OR(LEFT(K6038,4)="LVAX",LEFT(K6038,6)="MV15AX",LEFT(K6038,4)="CTAX",LEFT(K6038,2)="W|"),2*N6038*O6038,0)</f>
        <v/>
      </c>
      <c r="Z6038" s="12" t="inlineStr">
        <is>
          <t>device-to-JB field wiring, one cable per device</t>
        </is>
      </c>
      <c r="AA6038" s="12">
        <f>N6038*O6038</f>
        <v/>
      </c>
    </row>
    <row r="6039">
      <c r="A6039" s="12" t="inlineStr">
        <is>
          <t>K-I-0156</t>
        </is>
      </c>
      <c r="B6039" s="12" t="inlineStr">
        <is>
          <t>K</t>
        </is>
      </c>
      <c r="C6039" s="12" t="inlineStr">
        <is>
          <t>Fuel supply (adjacent market)</t>
        </is>
      </c>
      <c r="D6039" s="12" t="inlineStr">
        <is>
          <t>Home run JB-LNG 18: vent stack-AI01 to the control / marshalling room</t>
        </is>
      </c>
      <c r="E6039" s="12" t="inlineStr"/>
      <c r="F6039" s="12" t="inlineStr">
        <is>
          <t>LNG 17: LNG e-house (13.8 kV / 480 V)</t>
        </is>
      </c>
      <c r="G6039" s="12" t="inlineStr">
        <is>
          <t>JB-LNG 18: vent stack-AI01</t>
        </is>
      </c>
      <c r="H6039" s="12" t="inlineStr">
        <is>
          <t>LNG 18: vent stack</t>
        </is>
      </c>
      <c r="I6039" s="12" t="inlineStr">
        <is>
          <t>Instrumentation</t>
        </is>
      </c>
      <c r="J6039" s="12" t="inlineStr">
        <is>
          <t>Instrumentation ITC / PLTC, IS, #18 shielded pairs, blue jacket</t>
        </is>
      </c>
      <c r="K6039" s="12" t="inlineStr">
        <is>
          <t>ITC|24 pr|18</t>
        </is>
      </c>
      <c r="L6039" s="12" t="inlineStr">
        <is>
          <t>24 pr</t>
        </is>
      </c>
      <c r="M6039" s="12" t="inlineStr">
        <is>
          <t>18</t>
        </is>
      </c>
      <c r="N6039" s="12" t="n">
        <v>1</v>
      </c>
      <c r="O6039" s="12" t="n">
        <v>1</v>
      </c>
      <c r="P6039" s="12" t="n"/>
      <c r="Q6039" s="12" t="n"/>
      <c r="R6039" s="12" t="n"/>
      <c r="S6039" s="12" t="inlineStr">
        <is>
          <t>Duct bank</t>
        </is>
      </c>
      <c r="T6039" s="15" t="n">
        <v>25</v>
      </c>
      <c r="U6039" s="15" t="n">
        <v>117</v>
      </c>
      <c r="V6039" s="15">
        <f>ROUNDUP((T6039+U6039+2*'Read Me'!$B$13)*(1+'Read Me'!$B$12),-1)</f>
        <v/>
      </c>
      <c r="W6039" s="15">
        <f>V6039*N6039*O6039</f>
        <v/>
      </c>
      <c r="X6039" s="12">
        <f>IF(LEFT(I6039,2)="MV",2*N6039*IF(L6039="1/C",O6039,1),0)</f>
        <v/>
      </c>
      <c r="Y6039" s="12">
        <f>IF(OR(LEFT(K6039,4)="LVAX",LEFT(K6039,6)="MV15AX",LEFT(K6039,4)="CTAX",LEFT(K6039,2)="W|"),2*N6039*O6039,0)</f>
        <v/>
      </c>
      <c r="Z6039" s="12" t="inlineStr"/>
      <c r="AA6039" s="12">
        <f>N6039*O6039</f>
        <v/>
      </c>
    </row>
    <row r="6040">
      <c r="A6040" s="12" t="inlineStr">
        <is>
          <t>K-I-0157</t>
        </is>
      </c>
      <c r="B6040" s="12" t="inlineStr">
        <is>
          <t>K</t>
        </is>
      </c>
      <c r="C6040" s="12" t="inlineStr">
        <is>
          <t>Fuel supply (adjacent market)</t>
        </is>
      </c>
      <c r="D6040" s="12" t="inlineStr">
        <is>
          <t>Discrete device to JB JB-LNG 18: vent stack-DI01: 12 x 1 pr (field cables)</t>
        </is>
      </c>
      <c r="E6040" s="12" t="inlineStr"/>
      <c r="F6040" s="12" t="inlineStr">
        <is>
          <t>LNG 18: vent stack</t>
        </is>
      </c>
      <c r="G6040" s="12" t="inlineStr">
        <is>
          <t>JB-LNG 18: vent stack-DI01</t>
        </is>
      </c>
      <c r="H6040" s="12" t="inlineStr">
        <is>
          <t>LNG 18: vent stack</t>
        </is>
      </c>
      <c r="I6040" s="12" t="inlineStr">
        <is>
          <t>Instrumentation</t>
        </is>
      </c>
      <c r="J6040" s="12" t="inlineStr">
        <is>
          <t>Instrumentation ITC / PLTC, IS, #18 shielded pairs, blue jacket</t>
        </is>
      </c>
      <c r="K6040" s="12" t="inlineStr">
        <is>
          <t>ITC|1 pr|16</t>
        </is>
      </c>
      <c r="L6040" s="12" t="inlineStr">
        <is>
          <t>1 pr</t>
        </is>
      </c>
      <c r="M6040" s="12" t="inlineStr">
        <is>
          <t>16</t>
        </is>
      </c>
      <c r="N6040" s="12" t="n">
        <v>12</v>
      </c>
      <c r="O6040" s="12" t="n">
        <v>1</v>
      </c>
      <c r="P6040" s="12" t="n"/>
      <c r="Q6040" s="12" t="n"/>
      <c r="R6040" s="12" t="n"/>
      <c r="S6040" s="12" t="inlineStr">
        <is>
          <t>Tray / conduit</t>
        </is>
      </c>
      <c r="T6040" s="15" t="n">
        <v>55</v>
      </c>
      <c r="U6040" s="15" t="n">
        <v>10</v>
      </c>
      <c r="V6040" s="15">
        <f>ROUNDUP((T6040+U6040+2*'Read Me'!$B$13)*(1+'Read Me'!$B$12),-1)</f>
        <v/>
      </c>
      <c r="W6040" s="15">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K-I-0158</t>
        </is>
      </c>
      <c r="B6041" s="12" t="inlineStr">
        <is>
          <t>K</t>
        </is>
      </c>
      <c r="C6041" s="12" t="inlineStr">
        <is>
          <t>Fuel supply (adjacent market)</t>
        </is>
      </c>
      <c r="D6041" s="12" t="inlineStr">
        <is>
          <t>Home run JB-LNG 18: vent stack-DI01 to the control / marshalling room</t>
        </is>
      </c>
      <c r="E6041" s="12" t="inlineStr"/>
      <c r="F6041" s="12" t="inlineStr">
        <is>
          <t>LNG 17: LNG e-house (13.8 kV / 480 V)</t>
        </is>
      </c>
      <c r="G6041" s="12" t="inlineStr">
        <is>
          <t>JB-LNG 18: vent stack-DI01</t>
        </is>
      </c>
      <c r="H6041" s="12" t="inlineStr">
        <is>
          <t>LNG 18: vent stack</t>
        </is>
      </c>
      <c r="I6041" s="12" t="inlineStr">
        <is>
          <t>Instrumentation</t>
        </is>
      </c>
      <c r="J6041" s="12" t="inlineStr">
        <is>
          <t>Instrumentation ITC / PLTC, IS, #18 shielded pairs, blue jacket</t>
        </is>
      </c>
      <c r="K6041" s="12" t="inlineStr">
        <is>
          <t>ITC|24 pr|18</t>
        </is>
      </c>
      <c r="L6041" s="12" t="inlineStr">
        <is>
          <t>24 pr</t>
        </is>
      </c>
      <c r="M6041" s="12" t="inlineStr">
        <is>
          <t>18</t>
        </is>
      </c>
      <c r="N6041" s="12" t="n">
        <v>1</v>
      </c>
      <c r="O6041" s="12" t="n">
        <v>1</v>
      </c>
      <c r="P6041" s="12" t="n"/>
      <c r="Q6041" s="12" t="n"/>
      <c r="R6041" s="12" t="n"/>
      <c r="S6041" s="12" t="inlineStr">
        <is>
          <t>Duct bank</t>
        </is>
      </c>
      <c r="T6041" s="15" t="n">
        <v>25</v>
      </c>
      <c r="U6041" s="15" t="n">
        <v>117</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K-I-0159</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LNG impoundment sump pump</t>
        </is>
      </c>
      <c r="I6042" s="12" t="inlineStr">
        <is>
          <t>Instrumentation</t>
        </is>
      </c>
      <c r="J6042" s="12" t="inlineStr">
        <is>
          <t>Instrumentation ITC / PLTC, IS, #18 shielded pairs, blue jacket</t>
        </is>
      </c>
      <c r="K6042" s="12" t="inlineStr">
        <is>
          <t>ITC|4 pr|18</t>
        </is>
      </c>
      <c r="L6042" s="12" t="inlineStr">
        <is>
          <t>4 pr</t>
        </is>
      </c>
      <c r="M6042" s="12" t="inlineStr">
        <is>
          <t>18</t>
        </is>
      </c>
      <c r="N6042" s="12" t="n">
        <v>1</v>
      </c>
      <c r="O6042" s="12" t="n">
        <v>1</v>
      </c>
      <c r="P6042" s="12" t="n"/>
      <c r="Q6042" s="12" t="n"/>
      <c r="R6042" s="12" t="n"/>
      <c r="S6042" s="12" t="inlineStr">
        <is>
          <t>Duct bank</t>
        </is>
      </c>
      <c r="T6042" s="15" t="n">
        <v>334</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K-I-0160</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1: pig receiver, lateral terminus</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773</v>
      </c>
      <c r="U6043" s="15" t="n">
        <v>37</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K-I-0161</t>
        </is>
      </c>
      <c r="B6044" s="12" t="inlineStr">
        <is>
          <t>K</t>
        </is>
      </c>
      <c r="C6044" s="12" t="inlineStr">
        <is>
          <t>Fuel supply (adjacent market)</t>
        </is>
      </c>
      <c r="D6044" s="12" t="inlineStr">
        <is>
          <t>Discrete device to JB JB-M&amp;R 2: insulating -DI01: 8 x 1 pr (field cables)</t>
        </is>
      </c>
      <c r="E6044" s="12" t="inlineStr"/>
      <c r="F6044" s="12" t="inlineStr">
        <is>
          <t>M&amp;R 2: insulating joint + ESD valve</t>
        </is>
      </c>
      <c r="G6044" s="12" t="inlineStr">
        <is>
          <t>JB-M&amp;R 2: insulating -DI01</t>
        </is>
      </c>
      <c r="H6044" s="12" t="inlineStr">
        <is>
          <t>M&amp;R 2: insulating joint + ESD valve</t>
        </is>
      </c>
      <c r="I6044" s="12" t="inlineStr">
        <is>
          <t>Instrumentation</t>
        </is>
      </c>
      <c r="J6044" s="12" t="inlineStr">
        <is>
          <t>Instrumentation ITC / PLTC, IS, #18 shielded pairs, blue jacket</t>
        </is>
      </c>
      <c r="K6044" s="12" t="inlineStr">
        <is>
          <t>ITC|1 pr|16</t>
        </is>
      </c>
      <c r="L6044" s="12" t="inlineStr">
        <is>
          <t>1 pr</t>
        </is>
      </c>
      <c r="M6044" s="12" t="inlineStr">
        <is>
          <t>16</t>
        </is>
      </c>
      <c r="N6044" s="12" t="n">
        <v>8</v>
      </c>
      <c r="O6044" s="12" t="n">
        <v>1</v>
      </c>
      <c r="P6044" s="12" t="n"/>
      <c r="Q6044" s="12" t="n"/>
      <c r="R6044" s="12" t="n"/>
      <c r="S6044" s="12" t="inlineStr">
        <is>
          <t>Tray / conduit</t>
        </is>
      </c>
      <c r="T6044" s="15" t="n">
        <v>40</v>
      </c>
      <c r="U6044" s="15" t="n">
        <v>10</v>
      </c>
      <c r="V6044" s="15">
        <f>ROUNDUP((T6044+U6044+2*'Read Me'!$B$13)*(1+'Read Me'!$B$12),-1)</f>
        <v/>
      </c>
      <c r="W6044" s="15">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K-I-0162</t>
        </is>
      </c>
      <c r="B6045" s="12" t="inlineStr">
        <is>
          <t>K</t>
        </is>
      </c>
      <c r="C6045" s="12" t="inlineStr">
        <is>
          <t>Fuel supply (adjacent market)</t>
        </is>
      </c>
      <c r="D6045" s="12" t="inlineStr">
        <is>
          <t>Home run JB-M&amp;R 2: insulating -DI01 to the control / marshalling room</t>
        </is>
      </c>
      <c r="E6045" s="12" t="inlineStr"/>
      <c r="F6045" s="12" t="inlineStr">
        <is>
          <t>LNG 17: LNG e-house (13.8 kV / 480 V)</t>
        </is>
      </c>
      <c r="G6045" s="12" t="inlineStr">
        <is>
          <t>JB-M&amp;R 2: insulating -DI01</t>
        </is>
      </c>
      <c r="H6045" s="12" t="inlineStr">
        <is>
          <t>M&amp;R 2: insulating joint + ESD valve</t>
        </is>
      </c>
      <c r="I6045" s="12" t="inlineStr">
        <is>
          <t>Instrumentation</t>
        </is>
      </c>
      <c r="J6045" s="12" t="inlineStr">
        <is>
          <t>Instrumentation ITC / PLTC, IS, #18 shielded pairs, blue jacket</t>
        </is>
      </c>
      <c r="K6045" s="12" t="inlineStr">
        <is>
          <t>ITC|24 pr|18</t>
        </is>
      </c>
      <c r="L6045" s="12" t="inlineStr">
        <is>
          <t>24 pr</t>
        </is>
      </c>
      <c r="M6045" s="12" t="inlineStr">
        <is>
          <t>18</t>
        </is>
      </c>
      <c r="N6045" s="12" t="n">
        <v>1</v>
      </c>
      <c r="O6045" s="12" t="n">
        <v>1</v>
      </c>
      <c r="P6045" s="12" t="n"/>
      <c r="Q6045" s="12" t="n"/>
      <c r="R6045" s="12" t="n"/>
      <c r="S6045" s="12" t="inlineStr">
        <is>
          <t>Duct bank</t>
        </is>
      </c>
      <c r="T6045" s="15" t="n">
        <v>758</v>
      </c>
      <c r="U6045" s="15" t="n">
        <v>32</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K-I-0163</t>
        </is>
      </c>
      <c r="B6046" s="12" t="inlineStr">
        <is>
          <t>K</t>
        </is>
      </c>
      <c r="C6046" s="12" t="inlineStr">
        <is>
          <t>Fuel supply (adjacent market)</t>
        </is>
      </c>
      <c r="D6046" s="12" t="inlineStr">
        <is>
          <t>Analog instrument to JB JB-M&amp;R 3: horizontal -AI01: 8 x 1 pr (field cables)</t>
        </is>
      </c>
      <c r="E6046" s="12" t="inlineStr"/>
      <c r="F6046" s="12" t="inlineStr">
        <is>
          <t>M&amp;R 3: horizontal filter-separator</t>
        </is>
      </c>
      <c r="G6046" s="12" t="inlineStr">
        <is>
          <t>JB-M&amp;R 3: horizontal -AI01</t>
        </is>
      </c>
      <c r="H6046" s="12" t="inlineStr">
        <is>
          <t>M&amp;R 3: horizontal filter-separator</t>
        </is>
      </c>
      <c r="I6046" s="12" t="inlineStr">
        <is>
          <t>Instrumentation</t>
        </is>
      </c>
      <c r="J6046" s="12" t="inlineStr">
        <is>
          <t>Instrumentation ITC / PLTC, IS, #18 shielded pairs, blue jacket</t>
        </is>
      </c>
      <c r="K6046" s="12" t="inlineStr">
        <is>
          <t>ITC|1 pr|16</t>
        </is>
      </c>
      <c r="L6046" s="12" t="inlineStr">
        <is>
          <t>1 pr</t>
        </is>
      </c>
      <c r="M6046" s="12" t="inlineStr">
        <is>
          <t>16</t>
        </is>
      </c>
      <c r="N6046" s="12" t="n">
        <v>8</v>
      </c>
      <c r="O6046" s="12" t="n">
        <v>1</v>
      </c>
      <c r="P6046" s="12" t="n"/>
      <c r="Q6046" s="12" t="n"/>
      <c r="R6046" s="12" t="n"/>
      <c r="S6046" s="12" t="inlineStr">
        <is>
          <t>Tray / conduit</t>
        </is>
      </c>
      <c r="T6046" s="15" t="n">
        <v>53</v>
      </c>
      <c r="U6046" s="15" t="n">
        <v>10</v>
      </c>
      <c r="V6046" s="15">
        <f>ROUNDUP((T6046+U6046+2*'Read Me'!$B$13)*(1+'Read Me'!$B$12),-1)</f>
        <v/>
      </c>
      <c r="W6046" s="15">
        <f>V6046*N6046*O6046</f>
        <v/>
      </c>
      <c r="X6046" s="12">
        <f>IF(LEFT(I6046,2)="MV",2*N6046*IF(L6046="1/C",O6046,1),0)</f>
        <v/>
      </c>
      <c r="Y6046" s="12">
        <f>IF(OR(LEFT(K6046,4)="LVAX",LEFT(K6046,6)="MV15AX",LEFT(K6046,4)="CTAX",LEFT(K6046,2)="W|"),2*N6046*O6046,0)</f>
        <v/>
      </c>
      <c r="Z6046" s="12" t="inlineStr">
        <is>
          <t>device-to-JB field wiring, one cable per device</t>
        </is>
      </c>
      <c r="AA6046" s="12">
        <f>N6046*O6046</f>
        <v/>
      </c>
    </row>
    <row r="6047">
      <c r="A6047" s="12" t="inlineStr">
        <is>
          <t>K-I-0164</t>
        </is>
      </c>
      <c r="B6047" s="12" t="inlineStr">
        <is>
          <t>K</t>
        </is>
      </c>
      <c r="C6047" s="12" t="inlineStr">
        <is>
          <t>Fuel supply (adjacent market)</t>
        </is>
      </c>
      <c r="D6047" s="12" t="inlineStr">
        <is>
          <t>Home run JB-M&amp;R 3: horizontal -AI01 to the control / marshalling room</t>
        </is>
      </c>
      <c r="E6047" s="12" t="inlineStr"/>
      <c r="F6047" s="12" t="inlineStr">
        <is>
          <t>LNG 17: LNG e-house (13.8 kV / 480 V)</t>
        </is>
      </c>
      <c r="G6047" s="12" t="inlineStr">
        <is>
          <t>JB-M&amp;R 3: horizontal -AI01</t>
        </is>
      </c>
      <c r="H6047" s="12" t="inlineStr">
        <is>
          <t>M&amp;R 3: horizontal filter-separator</t>
        </is>
      </c>
      <c r="I6047" s="12" t="inlineStr">
        <is>
          <t>Instrumentation</t>
        </is>
      </c>
      <c r="J6047" s="12" t="inlineStr">
        <is>
          <t>Instrumentation ITC / PLTC, IS, #18 shielded pairs, blue jacket</t>
        </is>
      </c>
      <c r="K6047" s="12" t="inlineStr">
        <is>
          <t>ITC|24 pr|18</t>
        </is>
      </c>
      <c r="L6047" s="12" t="inlineStr">
        <is>
          <t>24 pr</t>
        </is>
      </c>
      <c r="M6047" s="12" t="inlineStr">
        <is>
          <t>18</t>
        </is>
      </c>
      <c r="N6047" s="12" t="n">
        <v>1</v>
      </c>
      <c r="O6047" s="12" t="n">
        <v>1</v>
      </c>
      <c r="P6047" s="12" t="n"/>
      <c r="Q6047" s="12" t="n"/>
      <c r="R6047" s="12" t="n"/>
      <c r="S6047" s="12" t="inlineStr">
        <is>
          <t>Duct bank</t>
        </is>
      </c>
      <c r="T6047" s="15" t="n">
        <v>797</v>
      </c>
      <c r="U6047" s="15" t="n">
        <v>32</v>
      </c>
      <c r="V6047" s="15">
        <f>ROUNDUP((T6047+U6047+2*'Read Me'!$B$13)*(1+'Read Me'!$B$12),-1)</f>
        <v/>
      </c>
      <c r="W6047" s="15">
        <f>V6047*N6047*O6047</f>
        <v/>
      </c>
      <c r="X6047" s="12">
        <f>IF(LEFT(I6047,2)="MV",2*N6047*IF(L6047="1/C",O6047,1),0)</f>
        <v/>
      </c>
      <c r="Y6047" s="12">
        <f>IF(OR(LEFT(K6047,4)="LVAX",LEFT(K6047,6)="MV15AX",LEFT(K6047,4)="CTAX",LEFT(K6047,2)="W|"),2*N6047*O6047,0)</f>
        <v/>
      </c>
      <c r="Z6047" s="12" t="inlineStr"/>
      <c r="AA6047" s="12">
        <f>N6047*O6047</f>
        <v/>
      </c>
    </row>
    <row r="6048">
      <c r="A6048" s="12" t="inlineStr">
        <is>
          <t>K-I-0165</t>
        </is>
      </c>
      <c r="B6048" s="12" t="inlineStr">
        <is>
          <t>K</t>
        </is>
      </c>
      <c r="C6048" s="12" t="inlineStr">
        <is>
          <t>Fuel supply (adjacent market)</t>
        </is>
      </c>
      <c r="D6048" s="12" t="inlineStr">
        <is>
          <t>Discrete device to JB JB-M&amp;R 3: horizontal -DI01: 12 x 1 pr (field cables)</t>
        </is>
      </c>
      <c r="E6048" s="12" t="inlineStr"/>
      <c r="F6048" s="12" t="inlineStr">
        <is>
          <t>M&amp;R 3: horizontal filter-separator</t>
        </is>
      </c>
      <c r="G6048" s="12" t="inlineStr">
        <is>
          <t>JB-M&amp;R 3: horizontal -DI01</t>
        </is>
      </c>
      <c r="H6048" s="12" t="inlineStr">
        <is>
          <t>M&amp;R 3: horizontal filter-separator</t>
        </is>
      </c>
      <c r="I6048" s="12" t="inlineStr">
        <is>
          <t>Instrumentation</t>
        </is>
      </c>
      <c r="J6048" s="12" t="inlineStr">
        <is>
          <t>Instrumentation ITC / PLTC, IS, #18 shielded pairs, blue jacket</t>
        </is>
      </c>
      <c r="K6048" s="12" t="inlineStr">
        <is>
          <t>ITC|1 pr|16</t>
        </is>
      </c>
      <c r="L6048" s="12" t="inlineStr">
        <is>
          <t>1 pr</t>
        </is>
      </c>
      <c r="M6048" s="12" t="inlineStr">
        <is>
          <t>16</t>
        </is>
      </c>
      <c r="N6048" s="12" t="n">
        <v>12</v>
      </c>
      <c r="O6048" s="12" t="n">
        <v>1</v>
      </c>
      <c r="P6048" s="12" t="n"/>
      <c r="Q6048" s="12" t="n"/>
      <c r="R6048" s="12" t="n"/>
      <c r="S6048" s="12" t="inlineStr">
        <is>
          <t>Tray / conduit</t>
        </is>
      </c>
      <c r="T6048" s="15" t="n">
        <v>53</v>
      </c>
      <c r="U6048" s="15" t="n">
        <v>10</v>
      </c>
      <c r="V6048" s="15">
        <f>ROUNDUP((T6048+U6048+2*'Read Me'!$B$13)*(1+'Read Me'!$B$12),-1)</f>
        <v/>
      </c>
      <c r="W6048" s="15">
        <f>V6048*N6048*O6048</f>
        <v/>
      </c>
      <c r="X6048" s="12">
        <f>IF(LEFT(I6048,2)="MV",2*N6048*IF(L6048="1/C",O6048,1),0)</f>
        <v/>
      </c>
      <c r="Y6048" s="12">
        <f>IF(OR(LEFT(K6048,4)="LVAX",LEFT(K6048,6)="MV15AX",LEFT(K6048,4)="CTAX",LEFT(K6048,2)="W|"),2*N6048*O6048,0)</f>
        <v/>
      </c>
      <c r="Z6048" s="12" t="inlineStr">
        <is>
          <t>device-to-JB field wiring, one cable per device</t>
        </is>
      </c>
      <c r="AA6048" s="12">
        <f>N6048*O6048</f>
        <v/>
      </c>
    </row>
    <row r="6049">
      <c r="A6049" s="12" t="inlineStr">
        <is>
          <t>K-I-0166</t>
        </is>
      </c>
      <c r="B6049" s="12" t="inlineStr">
        <is>
          <t>K</t>
        </is>
      </c>
      <c r="C6049" s="12" t="inlineStr">
        <is>
          <t>Fuel supply (adjacent market)</t>
        </is>
      </c>
      <c r="D6049" s="12" t="inlineStr">
        <is>
          <t>Home run JB-M&amp;R 3: horizontal -DI01 to the control / marshalling room</t>
        </is>
      </c>
      <c r="E6049" s="12" t="inlineStr"/>
      <c r="F6049" s="12" t="inlineStr">
        <is>
          <t>LNG 17: LNG e-house (13.8 kV / 480 V)</t>
        </is>
      </c>
      <c r="G6049" s="12" t="inlineStr">
        <is>
          <t>JB-M&amp;R 3: horizontal -DI01</t>
        </is>
      </c>
      <c r="H6049" s="12" t="inlineStr">
        <is>
          <t>M&amp;R 3: horizontal filter-separator</t>
        </is>
      </c>
      <c r="I6049" s="12" t="inlineStr">
        <is>
          <t>Instrumentation</t>
        </is>
      </c>
      <c r="J6049" s="12" t="inlineStr">
        <is>
          <t>Instrumentation ITC / PLTC, IS, #18 shielded pairs, blue jacket</t>
        </is>
      </c>
      <c r="K6049" s="12" t="inlineStr">
        <is>
          <t>ITC|24 pr|18</t>
        </is>
      </c>
      <c r="L6049" s="12" t="inlineStr">
        <is>
          <t>24 pr</t>
        </is>
      </c>
      <c r="M6049" s="12" t="inlineStr">
        <is>
          <t>18</t>
        </is>
      </c>
      <c r="N6049" s="12" t="n">
        <v>1</v>
      </c>
      <c r="O6049" s="12" t="n">
        <v>1</v>
      </c>
      <c r="P6049" s="12" t="n"/>
      <c r="Q6049" s="12" t="n"/>
      <c r="R6049" s="12" t="n"/>
      <c r="S6049" s="12" t="inlineStr">
        <is>
          <t>Duct bank</t>
        </is>
      </c>
      <c r="T6049" s="15" t="n">
        <v>797</v>
      </c>
      <c r="U6049" s="15" t="n">
        <v>32</v>
      </c>
      <c r="V6049" s="15">
        <f>ROUNDUP((T6049+U6049+2*'Read Me'!$B$13)*(1+'Read Me'!$B$12),-1)</f>
        <v/>
      </c>
      <c r="W6049" s="15">
        <f>V6049*N6049*O6049</f>
        <v/>
      </c>
      <c r="X6049" s="12">
        <f>IF(LEFT(I6049,2)="MV",2*N6049*IF(L6049="1/C",O6049,1),0)</f>
        <v/>
      </c>
      <c r="Y6049" s="12">
        <f>IF(OR(LEFT(K6049,4)="LVAX",LEFT(K6049,6)="MV15AX",LEFT(K6049,4)="CTAX",LEFT(K6049,2)="W|"),2*N6049*O6049,0)</f>
        <v/>
      </c>
      <c r="Z6049" s="12" t="inlineStr"/>
      <c r="AA6049" s="12">
        <f>N6049*O6049</f>
        <v/>
      </c>
    </row>
    <row r="6050">
      <c r="A6050" s="12" t="inlineStr">
        <is>
          <t>K-I-0167</t>
        </is>
      </c>
      <c r="B6050" s="12" t="inlineStr">
        <is>
          <t>K</t>
        </is>
      </c>
      <c r="C6050" s="12" t="inlineStr">
        <is>
          <t>Fuel supply (adjacent market)</t>
        </is>
      </c>
      <c r="D6050" s="12" t="inlineStr">
        <is>
          <t>Instrumentation</t>
        </is>
      </c>
      <c r="E6050" s="12" t="inlineStr"/>
      <c r="F6050" s="12" t="inlineStr">
        <is>
          <t>LNG 17: LNG e-house (13.8 kV / 480 V)</t>
        </is>
      </c>
      <c r="G6050" s="12" t="inlineStr"/>
      <c r="H6050" s="12" t="inlineStr">
        <is>
          <t>M&amp;R 4: line heater 1 (water bath)</t>
        </is>
      </c>
      <c r="I6050" s="12" t="inlineStr">
        <is>
          <t>Instrumentation</t>
        </is>
      </c>
      <c r="J6050" s="12" t="inlineStr">
        <is>
          <t>Instrumentation ITC / PLTC, IS, #18 shielded pairs, blue jacket</t>
        </is>
      </c>
      <c r="K6050" s="12" t="inlineStr">
        <is>
          <t>ITC|4 pr|18</t>
        </is>
      </c>
      <c r="L6050" s="12" t="inlineStr">
        <is>
          <t>4 pr</t>
        </is>
      </c>
      <c r="M6050" s="12" t="inlineStr">
        <is>
          <t>18</t>
        </is>
      </c>
      <c r="N6050" s="12" t="n">
        <v>1</v>
      </c>
      <c r="O6050" s="12" t="n">
        <v>1</v>
      </c>
      <c r="P6050" s="12" t="n"/>
      <c r="Q6050" s="12" t="n"/>
      <c r="R6050" s="12" t="n"/>
      <c r="S6050" s="12" t="inlineStr">
        <is>
          <t>Duct bank</t>
        </is>
      </c>
      <c r="T6050" s="15" t="n">
        <v>593</v>
      </c>
      <c r="U6050" s="15" t="n">
        <v>32</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K-I-0168</t>
        </is>
      </c>
      <c r="B6051" s="12" t="inlineStr">
        <is>
          <t>K</t>
        </is>
      </c>
      <c r="C6051" s="12" t="inlineStr">
        <is>
          <t>Fuel supply (adjacent market)</t>
        </is>
      </c>
      <c r="D6051" s="12" t="inlineStr">
        <is>
          <t>Instrumentation</t>
        </is>
      </c>
      <c r="E6051" s="12" t="inlineStr"/>
      <c r="F6051" s="12" t="inlineStr">
        <is>
          <t>LNG 17: LNG e-house (13.8 kV / 480 V)</t>
        </is>
      </c>
      <c r="G6051" s="12" t="inlineStr"/>
      <c r="H6051" s="12" t="inlineStr">
        <is>
          <t>M&amp;R 4: line heater 1 (water bath)</t>
        </is>
      </c>
      <c r="I6051" s="12" t="inlineStr">
        <is>
          <t>Instrumentation</t>
        </is>
      </c>
      <c r="J6051" s="12" t="inlineStr">
        <is>
          <t>Instrumentation ITC / PLTC, IS, #18 shielded pairs, blue jacket</t>
        </is>
      </c>
      <c r="K6051" s="12" t="inlineStr">
        <is>
          <t>ITC|12 pr|18</t>
        </is>
      </c>
      <c r="L6051" s="12" t="inlineStr">
        <is>
          <t>12 pr</t>
        </is>
      </c>
      <c r="M6051" s="12" t="inlineStr">
        <is>
          <t>18</t>
        </is>
      </c>
      <c r="N6051" s="12" t="n">
        <v>1</v>
      </c>
      <c r="O6051" s="12" t="n">
        <v>1</v>
      </c>
      <c r="P6051" s="12" t="n"/>
      <c r="Q6051" s="12" t="n"/>
      <c r="R6051" s="12" t="n"/>
      <c r="S6051" s="12" t="inlineStr">
        <is>
          <t>Duct bank</t>
        </is>
      </c>
      <c r="T6051" s="15" t="n">
        <v>593</v>
      </c>
      <c r="U6051" s="15" t="n">
        <v>32</v>
      </c>
      <c r="V6051" s="15">
        <f>ROUNDUP((T6051+U6051+2*'Read Me'!$B$13)*(1+'Read Me'!$B$12),-1)</f>
        <v/>
      </c>
      <c r="W6051" s="15">
        <f>V6051*N6051*O6051</f>
        <v/>
      </c>
      <c r="X6051" s="12">
        <f>IF(LEFT(I6051,2)="MV",2*N6051*IF(L6051="1/C",O6051,1),0)</f>
        <v/>
      </c>
      <c r="Y6051" s="12">
        <f>IF(OR(LEFT(K6051,4)="LVAX",LEFT(K6051,6)="MV15AX",LEFT(K6051,4)="CTAX",LEFT(K6051,2)="W|"),2*N6051*O6051,0)</f>
        <v/>
      </c>
      <c r="Z6051" s="12" t="inlineStr"/>
      <c r="AA6051" s="12">
        <f>N6051*O6051</f>
        <v/>
      </c>
    </row>
    <row r="6052">
      <c r="A6052" s="12" t="inlineStr">
        <is>
          <t>K-I-0169</t>
        </is>
      </c>
      <c r="B6052" s="12" t="inlineStr">
        <is>
          <t>K</t>
        </is>
      </c>
      <c r="C6052" s="12" t="inlineStr">
        <is>
          <t>Fuel supply (adjacent market)</t>
        </is>
      </c>
      <c r="D6052" s="12" t="inlineStr">
        <is>
          <t>Instrumentation</t>
        </is>
      </c>
      <c r="E6052" s="12" t="inlineStr"/>
      <c r="F6052" s="12" t="inlineStr">
        <is>
          <t>LNG 17: LNG e-house (13.8 kV / 480 V)</t>
        </is>
      </c>
      <c r="G6052" s="12" t="inlineStr"/>
      <c r="H6052" s="12" t="inlineStr">
        <is>
          <t>M&amp;R 4: line heater 2 (water bath)</t>
        </is>
      </c>
      <c r="I6052" s="12" t="inlineStr">
        <is>
          <t>Instrumentation</t>
        </is>
      </c>
      <c r="J6052" s="12" t="inlineStr">
        <is>
          <t>Instrumentation ITC / PLTC, IS, #18 shielded pairs, blue jacket</t>
        </is>
      </c>
      <c r="K6052" s="12" t="inlineStr">
        <is>
          <t>ITC|4 pr|18</t>
        </is>
      </c>
      <c r="L6052" s="12" t="inlineStr">
        <is>
          <t>4 pr</t>
        </is>
      </c>
      <c r="M6052" s="12" t="inlineStr">
        <is>
          <t>18</t>
        </is>
      </c>
      <c r="N6052" s="12" t="n">
        <v>1</v>
      </c>
      <c r="O6052" s="12" t="n">
        <v>1</v>
      </c>
      <c r="P6052" s="12" t="n"/>
      <c r="Q6052" s="12" t="n"/>
      <c r="R6052" s="12" t="n"/>
      <c r="S6052" s="12" t="inlineStr">
        <is>
          <t>Duct bank</t>
        </is>
      </c>
      <c r="T6052" s="15" t="n">
        <v>593</v>
      </c>
      <c r="U6052" s="15" t="n">
        <v>50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K-I-0170</t>
        </is>
      </c>
      <c r="B6053" s="12" t="inlineStr">
        <is>
          <t>K</t>
        </is>
      </c>
      <c r="C6053" s="12" t="inlineStr">
        <is>
          <t>Fuel supply (adjacent market)</t>
        </is>
      </c>
      <c r="D6053" s="12" t="inlineStr">
        <is>
          <t>Instrumentation</t>
        </is>
      </c>
      <c r="E6053" s="12" t="inlineStr"/>
      <c r="F6053" s="12" t="inlineStr">
        <is>
          <t>LNG 17: LNG e-house (13.8 kV / 480 V)</t>
        </is>
      </c>
      <c r="G6053" s="12" t="inlineStr"/>
      <c r="H6053" s="12" t="inlineStr">
        <is>
          <t>M&amp;R 4: line heater 2 (water bath)</t>
        </is>
      </c>
      <c r="I6053" s="12" t="inlineStr">
        <is>
          <t>Instrumentation</t>
        </is>
      </c>
      <c r="J6053" s="12" t="inlineStr">
        <is>
          <t>Instrumentation ITC / PLTC, IS, #18 shielded pairs, blue jacket</t>
        </is>
      </c>
      <c r="K6053" s="12" t="inlineStr">
        <is>
          <t>ITC|12 pr|18</t>
        </is>
      </c>
      <c r="L6053" s="12" t="inlineStr">
        <is>
          <t>12 pr</t>
        </is>
      </c>
      <c r="M6053" s="12" t="inlineStr">
        <is>
          <t>18</t>
        </is>
      </c>
      <c r="N6053" s="12" t="n">
        <v>1</v>
      </c>
      <c r="O6053" s="12" t="n">
        <v>1</v>
      </c>
      <c r="P6053" s="12" t="n"/>
      <c r="Q6053" s="12" t="n"/>
      <c r="R6053" s="12" t="n"/>
      <c r="S6053" s="12" t="inlineStr">
        <is>
          <t>Duct bank</t>
        </is>
      </c>
      <c r="T6053" s="15" t="n">
        <v>593</v>
      </c>
      <c r="U6053" s="15" t="n">
        <v>50</v>
      </c>
      <c r="V6053" s="15">
        <f>ROUNDUP((T6053+U6053+2*'Read Me'!$B$13)*(1+'Read Me'!$B$12),-1)</f>
        <v/>
      </c>
      <c r="W6053" s="15">
        <f>V6053*N6053*O6053</f>
        <v/>
      </c>
      <c r="X6053" s="12">
        <f>IF(LEFT(I6053,2)="MV",2*N6053*IF(L6053="1/C",O6053,1),0)</f>
        <v/>
      </c>
      <c r="Y6053" s="12">
        <f>IF(OR(LEFT(K6053,4)="LVAX",LEFT(K6053,6)="MV15AX",LEFT(K6053,4)="CTAX",LEFT(K6053,2)="W|"),2*N6053*O6053,0)</f>
        <v/>
      </c>
      <c r="Z6053" s="12" t="inlineStr"/>
      <c r="AA6053" s="12">
        <f>N6053*O6053</f>
        <v/>
      </c>
    </row>
    <row r="6054">
      <c r="A6054" s="12" t="inlineStr">
        <is>
          <t>K-I-0171</t>
        </is>
      </c>
      <c r="B6054" s="12" t="inlineStr">
        <is>
          <t>K</t>
        </is>
      </c>
      <c r="C6054" s="12" t="inlineStr">
        <is>
          <t>Fuel supply (adjacent market)</t>
        </is>
      </c>
      <c r="D6054" s="12" t="inlineStr">
        <is>
          <t>Instrumentation</t>
        </is>
      </c>
      <c r="E6054" s="12" t="inlineStr"/>
      <c r="F6054" s="12" t="inlineStr">
        <is>
          <t>LNG 17: LNG e-house (13.8 kV / 480 V)</t>
        </is>
      </c>
      <c r="G6054" s="12" t="inlineStr"/>
      <c r="H6054" s="12" t="inlineStr">
        <is>
          <t>M&amp;R 4: line heater 3 (water bath)</t>
        </is>
      </c>
      <c r="I6054" s="12" t="inlineStr">
        <is>
          <t>Instrumentation</t>
        </is>
      </c>
      <c r="J6054" s="12" t="inlineStr">
        <is>
          <t>Instrumentation ITC / PLTC, IS, #18 shielded pairs, blue jacket</t>
        </is>
      </c>
      <c r="K6054" s="12" t="inlineStr">
        <is>
          <t>ITC|4 pr|18</t>
        </is>
      </c>
      <c r="L6054" s="12" t="inlineStr">
        <is>
          <t>4 pr</t>
        </is>
      </c>
      <c r="M6054" s="12" t="inlineStr">
        <is>
          <t>18</t>
        </is>
      </c>
      <c r="N6054" s="12" t="n">
        <v>1</v>
      </c>
      <c r="O6054" s="12" t="n">
        <v>1</v>
      </c>
      <c r="P6054" s="12" t="n"/>
      <c r="Q6054" s="12" t="n"/>
      <c r="R6054" s="12" t="n"/>
      <c r="S6054" s="12" t="inlineStr">
        <is>
          <t>Duct bank</t>
        </is>
      </c>
      <c r="T6054" s="15" t="n">
        <v>593</v>
      </c>
      <c r="U6054" s="15" t="n">
        <v>68</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K-I-0172</t>
        </is>
      </c>
      <c r="B6055" s="12" t="inlineStr">
        <is>
          <t>K</t>
        </is>
      </c>
      <c r="C6055" s="12" t="inlineStr">
        <is>
          <t>Fuel supply (adjacent market)</t>
        </is>
      </c>
      <c r="D6055" s="12" t="inlineStr">
        <is>
          <t>Instrumentation</t>
        </is>
      </c>
      <c r="E6055" s="12" t="inlineStr"/>
      <c r="F6055" s="12" t="inlineStr">
        <is>
          <t>LNG 17: LNG e-house (13.8 kV / 480 V)</t>
        </is>
      </c>
      <c r="G6055" s="12" t="inlineStr"/>
      <c r="H6055" s="12" t="inlineStr">
        <is>
          <t>M&amp;R 4: line heater 3 (water bath)</t>
        </is>
      </c>
      <c r="I6055" s="12" t="inlineStr">
        <is>
          <t>Instrumentation</t>
        </is>
      </c>
      <c r="J6055" s="12" t="inlineStr">
        <is>
          <t>Instrumentation ITC / PLTC, IS, #18 shielded pairs, blue jacket</t>
        </is>
      </c>
      <c r="K6055" s="12" t="inlineStr">
        <is>
          <t>ITC|12 pr|18</t>
        </is>
      </c>
      <c r="L6055" s="12" t="inlineStr">
        <is>
          <t>12 pr</t>
        </is>
      </c>
      <c r="M6055" s="12" t="inlineStr">
        <is>
          <t>18</t>
        </is>
      </c>
      <c r="N6055" s="12" t="n">
        <v>1</v>
      </c>
      <c r="O6055" s="12" t="n">
        <v>1</v>
      </c>
      <c r="P6055" s="12" t="n"/>
      <c r="Q6055" s="12" t="n"/>
      <c r="R6055" s="12" t="n"/>
      <c r="S6055" s="12" t="inlineStr">
        <is>
          <t>Duct bank</t>
        </is>
      </c>
      <c r="T6055" s="15" t="n">
        <v>593</v>
      </c>
      <c r="U6055" s="15" t="n">
        <v>68</v>
      </c>
      <c r="V6055" s="15">
        <f>ROUNDUP((T6055+U6055+2*'Read Me'!$B$13)*(1+'Read Me'!$B$12),-1)</f>
        <v/>
      </c>
      <c r="W6055" s="15">
        <f>V6055*N6055*O6055</f>
        <v/>
      </c>
      <c r="X6055" s="12">
        <f>IF(LEFT(I6055,2)="MV",2*N6055*IF(L6055="1/C",O6055,1),0)</f>
        <v/>
      </c>
      <c r="Y6055" s="12">
        <f>IF(OR(LEFT(K6055,4)="LVAX",LEFT(K6055,6)="MV15AX",LEFT(K6055,4)="CTAX",LEFT(K6055,2)="W|"),2*N6055*O6055,0)</f>
        <v/>
      </c>
      <c r="Z6055" s="12" t="inlineStr"/>
      <c r="AA6055" s="12">
        <f>N6055*O6055</f>
        <v/>
      </c>
    </row>
    <row r="6056">
      <c r="A6056" s="12" t="inlineStr">
        <is>
          <t>K-I-0173</t>
        </is>
      </c>
      <c r="B6056" s="12" t="inlineStr">
        <is>
          <t>K</t>
        </is>
      </c>
      <c r="C6056" s="12" t="inlineStr">
        <is>
          <t>Fuel supply (adjacent market)</t>
        </is>
      </c>
      <c r="D6056" s="12" t="inlineStr">
        <is>
          <t>Analog instrument to JB JB-M&amp;R 5: ultrasonic -AI01: 20 x 1 pr (field cables)</t>
        </is>
      </c>
      <c r="E6056" s="12" t="inlineStr"/>
      <c r="F6056" s="12" t="inlineStr">
        <is>
          <t>M&amp;R 5: ultrasonic meters, 2 runs (custody transfer)</t>
        </is>
      </c>
      <c r="G6056" s="12" t="inlineStr">
        <is>
          <t>JB-M&amp;R 5: ultrasonic -AI01</t>
        </is>
      </c>
      <c r="H6056" s="12" t="inlineStr">
        <is>
          <t>M&amp;R 5: ultrasonic meters, 2 runs (custody transfer)</t>
        </is>
      </c>
      <c r="I6056" s="12" t="inlineStr">
        <is>
          <t>Instrumentation</t>
        </is>
      </c>
      <c r="J6056" s="12" t="inlineStr">
        <is>
          <t>Instrumentation ITC / PLTC, IS, #18 shielded pairs, blue jacket</t>
        </is>
      </c>
      <c r="K6056" s="12" t="inlineStr">
        <is>
          <t>ITC|1 pr|16</t>
        </is>
      </c>
      <c r="L6056" s="12" t="inlineStr">
        <is>
          <t>1 pr</t>
        </is>
      </c>
      <c r="M6056" s="12" t="inlineStr">
        <is>
          <t>16</t>
        </is>
      </c>
      <c r="N6056" s="12" t="n">
        <v>20</v>
      </c>
      <c r="O6056" s="12" t="n">
        <v>1</v>
      </c>
      <c r="P6056" s="12" t="n"/>
      <c r="Q6056" s="12" t="n"/>
      <c r="R6056" s="12" t="n"/>
      <c r="S6056" s="12" t="inlineStr">
        <is>
          <t>Tray / conduit</t>
        </is>
      </c>
      <c r="T6056" s="15" t="n">
        <v>60</v>
      </c>
      <c r="U6056" s="15" t="n">
        <v>10</v>
      </c>
      <c r="V6056" s="15">
        <f>ROUNDUP((T6056+U6056+2*'Read Me'!$B$13)*(1+'Read Me'!$B$12),-1)</f>
        <v/>
      </c>
      <c r="W6056" s="15">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K-I-0174</t>
        </is>
      </c>
      <c r="B6057" s="12" t="inlineStr">
        <is>
          <t>K</t>
        </is>
      </c>
      <c r="C6057" s="12" t="inlineStr">
        <is>
          <t>Fuel supply (adjacent market)</t>
        </is>
      </c>
      <c r="D6057" s="12" t="inlineStr">
        <is>
          <t>Home run JB-M&amp;R 5: ultrasonic -AI01 to the control / marshalling room</t>
        </is>
      </c>
      <c r="E6057" s="12" t="inlineStr"/>
      <c r="F6057" s="12" t="inlineStr">
        <is>
          <t>LNG 17: LNG e-house (13.8 kV / 480 V)</t>
        </is>
      </c>
      <c r="G6057" s="12" t="inlineStr">
        <is>
          <t>JB-M&amp;R 5: ultrasonic -AI01</t>
        </is>
      </c>
      <c r="H6057" s="12" t="inlineStr">
        <is>
          <t>M&amp;R 5: ultrasonic meters, 2 runs (custody transfer)</t>
        </is>
      </c>
      <c r="I6057" s="12" t="inlineStr">
        <is>
          <t>Instrumentation</t>
        </is>
      </c>
      <c r="J6057" s="12" t="inlineStr">
        <is>
          <t>Instrumentation ITC / PLTC, IS, #18 shielded pairs, blue jacket</t>
        </is>
      </c>
      <c r="K6057" s="12" t="inlineStr">
        <is>
          <t>ITC|24 pr|18</t>
        </is>
      </c>
      <c r="L6057" s="12" t="inlineStr">
        <is>
          <t>24 pr</t>
        </is>
      </c>
      <c r="M6057" s="12" t="inlineStr">
        <is>
          <t>18</t>
        </is>
      </c>
      <c r="N6057" s="12" t="n">
        <v>1</v>
      </c>
      <c r="O6057" s="12" t="n">
        <v>1</v>
      </c>
      <c r="P6057" s="12" t="n"/>
      <c r="Q6057" s="12" t="n"/>
      <c r="R6057" s="12" t="n"/>
      <c r="S6057" s="12" t="inlineStr">
        <is>
          <t>Duct bank</t>
        </is>
      </c>
      <c r="T6057" s="15" t="n">
        <v>651</v>
      </c>
      <c r="U6057" s="15" t="n">
        <v>57</v>
      </c>
      <c r="V6057" s="15">
        <f>ROUNDUP((T6057+U6057+2*'Read Me'!$B$13)*(1+'Read Me'!$B$12),-1)</f>
        <v/>
      </c>
      <c r="W6057" s="15">
        <f>V6057*N6057*O6057</f>
        <v/>
      </c>
      <c r="X6057" s="12">
        <f>IF(LEFT(I6057,2)="MV",2*N6057*IF(L6057="1/C",O6057,1),0)</f>
        <v/>
      </c>
      <c r="Y6057" s="12">
        <f>IF(OR(LEFT(K6057,4)="LVAX",LEFT(K6057,6)="MV15AX",LEFT(K6057,4)="CTAX",LEFT(K6057,2)="W|"),2*N6057*O6057,0)</f>
        <v/>
      </c>
      <c r="Z6057" s="12" t="inlineStr"/>
      <c r="AA6057" s="12">
        <f>N6057*O6057</f>
        <v/>
      </c>
    </row>
    <row r="6058">
      <c r="A6058" s="12" t="inlineStr">
        <is>
          <t>K-I-0175</t>
        </is>
      </c>
      <c r="B6058" s="12" t="inlineStr">
        <is>
          <t>K</t>
        </is>
      </c>
      <c r="C6058" s="12" t="inlineStr">
        <is>
          <t>Fuel supply (adjacent market)</t>
        </is>
      </c>
      <c r="D6058" s="12" t="inlineStr">
        <is>
          <t>Discrete device to JB JB-M&amp;R 5: ultrasonic -DI01: 8 x 1 pr (field cables)</t>
        </is>
      </c>
      <c r="E6058" s="12" t="inlineStr"/>
      <c r="F6058" s="12" t="inlineStr">
        <is>
          <t>M&amp;R 5: ultrasonic meters, 2 runs (custody transfer)</t>
        </is>
      </c>
      <c r="G6058" s="12" t="inlineStr">
        <is>
          <t>JB-M&amp;R 5: ultrasonic -DI01</t>
        </is>
      </c>
      <c r="H6058" s="12" t="inlineStr">
        <is>
          <t>M&amp;R 5: ultrasonic meters, 2 runs (custody transfer)</t>
        </is>
      </c>
      <c r="I6058" s="12" t="inlineStr">
        <is>
          <t>Instrumentation</t>
        </is>
      </c>
      <c r="J6058" s="12" t="inlineStr">
        <is>
          <t>Instrumentation ITC / PLTC, IS, #18 shielded pairs, blue jacket</t>
        </is>
      </c>
      <c r="K6058" s="12" t="inlineStr">
        <is>
          <t>ITC|1 pr|16</t>
        </is>
      </c>
      <c r="L6058" s="12" t="inlineStr">
        <is>
          <t>1 pr</t>
        </is>
      </c>
      <c r="M6058" s="12" t="inlineStr">
        <is>
          <t>16</t>
        </is>
      </c>
      <c r="N6058" s="12" t="n">
        <v>8</v>
      </c>
      <c r="O6058" s="12" t="n">
        <v>1</v>
      </c>
      <c r="P6058" s="12" t="n"/>
      <c r="Q6058" s="12" t="n"/>
      <c r="R6058" s="12" t="n"/>
      <c r="S6058" s="12" t="inlineStr">
        <is>
          <t>Tray / conduit</t>
        </is>
      </c>
      <c r="T6058" s="15" t="n">
        <v>60</v>
      </c>
      <c r="U6058" s="15" t="n">
        <v>10</v>
      </c>
      <c r="V6058" s="15">
        <f>ROUNDUP((T6058+U6058+2*'Read Me'!$B$13)*(1+'Read Me'!$B$12),-1)</f>
        <v/>
      </c>
      <c r="W6058" s="15">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K-I-0176</t>
        </is>
      </c>
      <c r="B6059" s="12" t="inlineStr">
        <is>
          <t>K</t>
        </is>
      </c>
      <c r="C6059" s="12" t="inlineStr">
        <is>
          <t>Fuel supply (adjacent market)</t>
        </is>
      </c>
      <c r="D6059" s="12" t="inlineStr">
        <is>
          <t>Home run JB-M&amp;R 5: ultrasonic -DI01 to the control / marshalling room</t>
        </is>
      </c>
      <c r="E6059" s="12" t="inlineStr"/>
      <c r="F6059" s="12" t="inlineStr">
        <is>
          <t>LNG 17: LNG e-house (13.8 kV / 480 V)</t>
        </is>
      </c>
      <c r="G6059" s="12" t="inlineStr">
        <is>
          <t>JB-M&amp;R 5: ultrasonic -DI01</t>
        </is>
      </c>
      <c r="H6059" s="12" t="inlineStr">
        <is>
          <t>M&amp;R 5: ultrasonic meters, 2 runs (custody transfer)</t>
        </is>
      </c>
      <c r="I6059" s="12" t="inlineStr">
        <is>
          <t>Instrumentation</t>
        </is>
      </c>
      <c r="J6059" s="12" t="inlineStr">
        <is>
          <t>Instrumentation ITC / PLTC, IS, #18 shielded pairs, blue jacket</t>
        </is>
      </c>
      <c r="K6059" s="12" t="inlineStr">
        <is>
          <t>ITC|24 pr|18</t>
        </is>
      </c>
      <c r="L6059" s="12" t="inlineStr">
        <is>
          <t>24 pr</t>
        </is>
      </c>
      <c r="M6059" s="12" t="inlineStr">
        <is>
          <t>18</t>
        </is>
      </c>
      <c r="N6059" s="12" t="n">
        <v>1</v>
      </c>
      <c r="O6059" s="12" t="n">
        <v>1</v>
      </c>
      <c r="P6059" s="12" t="n"/>
      <c r="Q6059" s="12" t="n"/>
      <c r="R6059" s="12" t="n"/>
      <c r="S6059" s="12" t="inlineStr">
        <is>
          <t>Duct bank</t>
        </is>
      </c>
      <c r="T6059" s="15" t="n">
        <v>651</v>
      </c>
      <c r="U6059" s="15" t="n">
        <v>57</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K-I-0177</t>
        </is>
      </c>
      <c r="B6060" s="12" t="inlineStr">
        <is>
          <t>K</t>
        </is>
      </c>
      <c r="C6060" s="12" t="inlineStr">
        <is>
          <t>Fuel supply (adjacent market)</t>
        </is>
      </c>
      <c r="D6060" s="12" t="inlineStr">
        <is>
          <t>Analog instrument to JB JB-M&amp;R 6: regulation -AI01: 12 x 1 pr (field cables)</t>
        </is>
      </c>
      <c r="E6060" s="12" t="inlineStr"/>
      <c r="F6060" s="12" t="inlineStr">
        <is>
          <t>M&amp;R 6: regulation / flow control building</t>
        </is>
      </c>
      <c r="G6060" s="12" t="inlineStr">
        <is>
          <t>JB-M&amp;R 6: regulation -AI01</t>
        </is>
      </c>
      <c r="H6060" s="12" t="inlineStr">
        <is>
          <t>M&amp;R 6: regulation / flow control building</t>
        </is>
      </c>
      <c r="I6060" s="12" t="inlineStr">
        <is>
          <t>Instrumentation</t>
        </is>
      </c>
      <c r="J6060" s="12" t="inlineStr">
        <is>
          <t>Instrumentation ITC / PLTC, IS, #18 shielded pairs, blue jacket</t>
        </is>
      </c>
      <c r="K6060" s="12" t="inlineStr">
        <is>
          <t>ITC|1 pr|16</t>
        </is>
      </c>
      <c r="L6060" s="12" t="inlineStr">
        <is>
          <t>1 pr</t>
        </is>
      </c>
      <c r="M6060" s="12" t="inlineStr">
        <is>
          <t>16</t>
        </is>
      </c>
      <c r="N6060" s="12" t="n">
        <v>12</v>
      </c>
      <c r="O6060" s="12" t="n">
        <v>1</v>
      </c>
      <c r="P6060" s="12" t="n"/>
      <c r="Q6060" s="12" t="n"/>
      <c r="R6060" s="12" t="n"/>
      <c r="S6060" s="12" t="inlineStr">
        <is>
          <t>Tray / conduit</t>
        </is>
      </c>
      <c r="T6060" s="15" t="n">
        <v>61</v>
      </c>
      <c r="U6060" s="15" t="n">
        <v>10</v>
      </c>
      <c r="V6060" s="15">
        <f>ROUNDUP((T6060+U6060+2*'Read Me'!$B$13)*(1+'Read Me'!$B$12),-1)</f>
        <v/>
      </c>
      <c r="W6060" s="15">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K-I-0178</t>
        </is>
      </c>
      <c r="B6061" s="12" t="inlineStr">
        <is>
          <t>K</t>
        </is>
      </c>
      <c r="C6061" s="12" t="inlineStr">
        <is>
          <t>Fuel supply (adjacent market)</t>
        </is>
      </c>
      <c r="D6061" s="12" t="inlineStr">
        <is>
          <t>Home run JB-M&amp;R 6: regulation -AI01 to the control / marshalling room</t>
        </is>
      </c>
      <c r="E6061" s="12" t="inlineStr"/>
      <c r="F6061" s="12" t="inlineStr">
        <is>
          <t>LNG 17: LNG e-house (13.8 kV / 480 V)</t>
        </is>
      </c>
      <c r="G6061" s="12" t="inlineStr">
        <is>
          <t>JB-M&amp;R 6: regulation -AI01</t>
        </is>
      </c>
      <c r="H6061" s="12" t="inlineStr">
        <is>
          <t>M&amp;R 6: regulation / flow control building</t>
        </is>
      </c>
      <c r="I6061" s="12" t="inlineStr">
        <is>
          <t>Instrumentation</t>
        </is>
      </c>
      <c r="J6061" s="12" t="inlineStr">
        <is>
          <t>Instrumentation ITC / PLTC, IS, #18 shielded pairs, blue jacket</t>
        </is>
      </c>
      <c r="K6061" s="12" t="inlineStr">
        <is>
          <t>ITC|24 pr|18</t>
        </is>
      </c>
      <c r="L6061" s="12" t="inlineStr">
        <is>
          <t>24 pr</t>
        </is>
      </c>
      <c r="M6061" s="12" t="inlineStr">
        <is>
          <t>18</t>
        </is>
      </c>
      <c r="N6061" s="12" t="n">
        <v>1</v>
      </c>
      <c r="O6061" s="12" t="n">
        <v>1</v>
      </c>
      <c r="P6061" s="12" t="n"/>
      <c r="Q6061" s="12" t="n"/>
      <c r="R6061" s="12" t="n"/>
      <c r="S6061" s="12" t="inlineStr">
        <is>
          <t>Duct bank</t>
        </is>
      </c>
      <c r="T6061" s="15" t="n">
        <v>470</v>
      </c>
      <c r="U6061" s="15" t="n">
        <v>70</v>
      </c>
      <c r="V6061" s="15">
        <f>ROUNDUP((T6061+U6061+2*'Read Me'!$B$13)*(1+'Read Me'!$B$12),-1)</f>
        <v/>
      </c>
      <c r="W6061" s="15">
        <f>V6061*N6061*O6061</f>
        <v/>
      </c>
      <c r="X6061" s="12">
        <f>IF(LEFT(I6061,2)="MV",2*N6061*IF(L6061="1/C",O6061,1),0)</f>
        <v/>
      </c>
      <c r="Y6061" s="12">
        <f>IF(OR(LEFT(K6061,4)="LVAX",LEFT(K6061,6)="MV15AX",LEFT(K6061,4)="CTAX",LEFT(K6061,2)="W|"),2*N6061*O6061,0)</f>
        <v/>
      </c>
      <c r="Z6061" s="12" t="inlineStr"/>
      <c r="AA6061" s="12">
        <f>N6061*O6061</f>
        <v/>
      </c>
    </row>
    <row r="6062">
      <c r="A6062" s="12" t="inlineStr">
        <is>
          <t>K-I-0179</t>
        </is>
      </c>
      <c r="B6062" s="12" t="inlineStr">
        <is>
          <t>K</t>
        </is>
      </c>
      <c r="C6062" s="12" t="inlineStr">
        <is>
          <t>Fuel supply (adjacent market)</t>
        </is>
      </c>
      <c r="D6062" s="12" t="inlineStr">
        <is>
          <t>Discrete device to JB JB-M&amp;R 6: regulation -DI01: 12 x 1 pr (field cables)</t>
        </is>
      </c>
      <c r="E6062" s="12" t="inlineStr"/>
      <c r="F6062" s="12" t="inlineStr">
        <is>
          <t>M&amp;R 6: regulation / flow control building</t>
        </is>
      </c>
      <c r="G6062" s="12" t="inlineStr">
        <is>
          <t>JB-M&amp;R 6: regulation -DI01</t>
        </is>
      </c>
      <c r="H6062" s="12" t="inlineStr">
        <is>
          <t>M&amp;R 6: regulation / flow control building</t>
        </is>
      </c>
      <c r="I6062" s="12" t="inlineStr">
        <is>
          <t>Instrumentation</t>
        </is>
      </c>
      <c r="J6062" s="12" t="inlineStr">
        <is>
          <t>Instrumentation ITC / PLTC, IS, #18 shielded pairs, blue jacket</t>
        </is>
      </c>
      <c r="K6062" s="12" t="inlineStr">
        <is>
          <t>ITC|1 pr|16</t>
        </is>
      </c>
      <c r="L6062" s="12" t="inlineStr">
        <is>
          <t>1 pr</t>
        </is>
      </c>
      <c r="M6062" s="12" t="inlineStr">
        <is>
          <t>16</t>
        </is>
      </c>
      <c r="N6062" s="12" t="n">
        <v>12</v>
      </c>
      <c r="O6062" s="12" t="n">
        <v>1</v>
      </c>
      <c r="P6062" s="12" t="n"/>
      <c r="Q6062" s="12" t="n"/>
      <c r="R6062" s="12" t="n"/>
      <c r="S6062" s="12" t="inlineStr">
        <is>
          <t>Tray / conduit</t>
        </is>
      </c>
      <c r="T6062" s="15" t="n">
        <v>61</v>
      </c>
      <c r="U6062" s="15" t="n">
        <v>10</v>
      </c>
      <c r="V6062" s="15">
        <f>ROUNDUP((T6062+U6062+2*'Read Me'!$B$13)*(1+'Read Me'!$B$12),-1)</f>
        <v/>
      </c>
      <c r="W6062" s="15">
        <f>V6062*N6062*O6062</f>
        <v/>
      </c>
      <c r="X6062" s="12">
        <f>IF(LEFT(I6062,2)="MV",2*N6062*IF(L6062="1/C",O6062,1),0)</f>
        <v/>
      </c>
      <c r="Y6062" s="12">
        <f>IF(OR(LEFT(K6062,4)="LVAX",LEFT(K6062,6)="MV15AX",LEFT(K6062,4)="CTAX",LEFT(K6062,2)="W|"),2*N6062*O6062,0)</f>
        <v/>
      </c>
      <c r="Z6062" s="12" t="inlineStr">
        <is>
          <t>device-to-JB field wiring, one cable per device</t>
        </is>
      </c>
      <c r="AA6062" s="12">
        <f>N6062*O6062</f>
        <v/>
      </c>
    </row>
    <row r="6063">
      <c r="A6063" s="12" t="inlineStr">
        <is>
          <t>K-I-0180</t>
        </is>
      </c>
      <c r="B6063" s="12" t="inlineStr">
        <is>
          <t>K</t>
        </is>
      </c>
      <c r="C6063" s="12" t="inlineStr">
        <is>
          <t>Fuel supply (adjacent market)</t>
        </is>
      </c>
      <c r="D6063" s="12" t="inlineStr">
        <is>
          <t>Home run JB-M&amp;R 6: regulation -DI01 to the control / marshalling room</t>
        </is>
      </c>
      <c r="E6063" s="12" t="inlineStr"/>
      <c r="F6063" s="12" t="inlineStr">
        <is>
          <t>LNG 17: LNG e-house (13.8 kV / 480 V)</t>
        </is>
      </c>
      <c r="G6063" s="12" t="inlineStr">
        <is>
          <t>JB-M&amp;R 6: regulation -DI01</t>
        </is>
      </c>
      <c r="H6063" s="12" t="inlineStr">
        <is>
          <t>M&amp;R 6: regulation / flow control building</t>
        </is>
      </c>
      <c r="I6063" s="12" t="inlineStr">
        <is>
          <t>Instrumentation</t>
        </is>
      </c>
      <c r="J6063" s="12" t="inlineStr">
        <is>
          <t>Instrumentation ITC / PLTC, IS, #18 shielded pairs, blue jacket</t>
        </is>
      </c>
      <c r="K6063" s="12" t="inlineStr">
        <is>
          <t>ITC|24 pr|18</t>
        </is>
      </c>
      <c r="L6063" s="12" t="inlineStr">
        <is>
          <t>24 pr</t>
        </is>
      </c>
      <c r="M6063" s="12" t="inlineStr">
        <is>
          <t>18</t>
        </is>
      </c>
      <c r="N6063" s="12" t="n">
        <v>1</v>
      </c>
      <c r="O6063" s="12" t="n">
        <v>1</v>
      </c>
      <c r="P6063" s="12" t="n"/>
      <c r="Q6063" s="12" t="n"/>
      <c r="R6063" s="12" t="n"/>
      <c r="S6063" s="12" t="inlineStr">
        <is>
          <t>Duct bank</t>
        </is>
      </c>
      <c r="T6063" s="15" t="n">
        <v>470</v>
      </c>
      <c r="U6063" s="15" t="n">
        <v>70</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K-I-0181</t>
        </is>
      </c>
      <c r="B6064" s="12" t="inlineStr">
        <is>
          <t>K</t>
        </is>
      </c>
      <c r="C6064" s="12" t="inlineStr">
        <is>
          <t>Fuel supply (adjacent market)</t>
        </is>
      </c>
      <c r="D6064" s="12" t="inlineStr">
        <is>
          <t>Analog instrument to JB JB-M&amp;R 7: gas quality-AI01: 20 x 1 pr (field cables)</t>
        </is>
      </c>
      <c r="E6064" s="12" t="inlineStr"/>
      <c r="F6064" s="12" t="inlineStr">
        <is>
          <t>M&amp;R 7: gas quality + measurement building</t>
        </is>
      </c>
      <c r="G6064" s="12" t="inlineStr">
        <is>
          <t>JB-M&amp;R 7: gas quality-AI01</t>
        </is>
      </c>
      <c r="H6064" s="12" t="inlineStr">
        <is>
          <t>M&amp;R 7: gas quality + measurement building</t>
        </is>
      </c>
      <c r="I6064" s="12" t="inlineStr">
        <is>
          <t>Instrumentation</t>
        </is>
      </c>
      <c r="J6064" s="12" t="inlineStr">
        <is>
          <t>Instrumentation ITC / PLTC, IS, #18 shielded pairs, blue jacket</t>
        </is>
      </c>
      <c r="K6064" s="12" t="inlineStr">
        <is>
          <t>ITC|1 pr|16</t>
        </is>
      </c>
      <c r="L6064" s="12" t="inlineStr">
        <is>
          <t>1 pr</t>
        </is>
      </c>
      <c r="M6064" s="12" t="inlineStr">
        <is>
          <t>16</t>
        </is>
      </c>
      <c r="N6064" s="12" t="n">
        <v>20</v>
      </c>
      <c r="O6064" s="12" t="n">
        <v>1</v>
      </c>
      <c r="P6064" s="12" t="n"/>
      <c r="Q6064" s="12" t="n"/>
      <c r="R6064" s="12" t="n"/>
      <c r="S6064" s="12" t="inlineStr">
        <is>
          <t>Tray / conduit</t>
        </is>
      </c>
      <c r="T6064" s="15" t="n">
        <v>41</v>
      </c>
      <c r="U6064" s="15" t="n">
        <v>10</v>
      </c>
      <c r="V6064" s="15">
        <f>ROUNDUP((T6064+U6064+2*'Read Me'!$B$13)*(1+'Read Me'!$B$12),-1)</f>
        <v/>
      </c>
      <c r="W6064" s="15">
        <f>V6064*N6064*O6064</f>
        <v/>
      </c>
      <c r="X6064" s="12">
        <f>IF(LEFT(I6064,2)="MV",2*N6064*IF(L6064="1/C",O6064,1),0)</f>
        <v/>
      </c>
      <c r="Y6064" s="12">
        <f>IF(OR(LEFT(K6064,4)="LVAX",LEFT(K6064,6)="MV15AX",LEFT(K6064,4)="CTAX",LEFT(K6064,2)="W|"),2*N6064*O6064,0)</f>
        <v/>
      </c>
      <c r="Z6064" s="12" t="inlineStr">
        <is>
          <t>device-to-JB field wiring, one cable per device</t>
        </is>
      </c>
      <c r="AA6064" s="12">
        <f>N6064*O6064</f>
        <v/>
      </c>
    </row>
    <row r="6065">
      <c r="A6065" s="12" t="inlineStr">
        <is>
          <t>K-I-0182</t>
        </is>
      </c>
      <c r="B6065" s="12" t="inlineStr">
        <is>
          <t>K</t>
        </is>
      </c>
      <c r="C6065" s="12" t="inlineStr">
        <is>
          <t>Fuel supply (adjacent market)</t>
        </is>
      </c>
      <c r="D6065" s="12" t="inlineStr">
        <is>
          <t>Home run JB-M&amp;R 7: gas quality-AI01 to the control / marshalling room</t>
        </is>
      </c>
      <c r="E6065" s="12" t="inlineStr"/>
      <c r="F6065" s="12" t="inlineStr">
        <is>
          <t>LNG 17: LNG e-house (13.8 kV / 480 V)</t>
        </is>
      </c>
      <c r="G6065" s="12" t="inlineStr">
        <is>
          <t>JB-M&amp;R 7: gas quality-AI01</t>
        </is>
      </c>
      <c r="H6065" s="12" t="inlineStr">
        <is>
          <t>M&amp;R 7: gas quality + measurement building</t>
        </is>
      </c>
      <c r="I6065" s="12" t="inlineStr">
        <is>
          <t>Instrumentation</t>
        </is>
      </c>
      <c r="J6065" s="12" t="inlineStr">
        <is>
          <t>Instrumentation ITC / PLTC, IS, #18 shielded pairs, blue jacket</t>
        </is>
      </c>
      <c r="K6065" s="12" t="inlineStr">
        <is>
          <t>ITC|24 pr|18</t>
        </is>
      </c>
      <c r="L6065" s="12" t="inlineStr">
        <is>
          <t>24 pr</t>
        </is>
      </c>
      <c r="M6065" s="12" t="inlineStr">
        <is>
          <t>18</t>
        </is>
      </c>
      <c r="N6065" s="12" t="n">
        <v>1</v>
      </c>
      <c r="O6065" s="12" t="n">
        <v>1</v>
      </c>
      <c r="P6065" s="12" t="n"/>
      <c r="Q6065" s="12" t="n"/>
      <c r="R6065" s="12" t="n"/>
      <c r="S6065" s="12" t="inlineStr">
        <is>
          <t>Duct bank</t>
        </is>
      </c>
      <c r="T6065" s="15" t="n">
        <v>616</v>
      </c>
      <c r="U6065" s="15" t="n">
        <v>52</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K-I-0183</t>
        </is>
      </c>
      <c r="B6066" s="12" t="inlineStr">
        <is>
          <t>K</t>
        </is>
      </c>
      <c r="C6066" s="12" t="inlineStr">
        <is>
          <t>Fuel supply (adjacent market)</t>
        </is>
      </c>
      <c r="D6066" s="12" t="inlineStr">
        <is>
          <t>Discrete device to JB JB-M&amp;R 7: gas quality-DI01: 8 x 1 pr (field cables)</t>
        </is>
      </c>
      <c r="E6066" s="12" t="inlineStr"/>
      <c r="F6066" s="12" t="inlineStr">
        <is>
          <t>M&amp;R 7: gas quality + measurement building</t>
        </is>
      </c>
      <c r="G6066" s="12" t="inlineStr">
        <is>
          <t>JB-M&amp;R 7: gas quality-DI01</t>
        </is>
      </c>
      <c r="H6066" s="12" t="inlineStr">
        <is>
          <t>M&amp;R 7: gas quality + measurement building</t>
        </is>
      </c>
      <c r="I6066" s="12" t="inlineStr">
        <is>
          <t>Instrumentation</t>
        </is>
      </c>
      <c r="J6066" s="12" t="inlineStr">
        <is>
          <t>Instrumentation ITC / PLTC, IS, #18 shielded pairs, blue jacket</t>
        </is>
      </c>
      <c r="K6066" s="12" t="inlineStr">
        <is>
          <t>ITC|1 pr|16</t>
        </is>
      </c>
      <c r="L6066" s="12" t="inlineStr">
        <is>
          <t>1 pr</t>
        </is>
      </c>
      <c r="M6066" s="12" t="inlineStr">
        <is>
          <t>16</t>
        </is>
      </c>
      <c r="N6066" s="12" t="n">
        <v>8</v>
      </c>
      <c r="O6066" s="12" t="n">
        <v>1</v>
      </c>
      <c r="P6066" s="12" t="n"/>
      <c r="Q6066" s="12" t="n"/>
      <c r="R6066" s="12" t="n"/>
      <c r="S6066" s="12" t="inlineStr">
        <is>
          <t>Tray / conduit</t>
        </is>
      </c>
      <c r="T6066" s="15" t="n">
        <v>41</v>
      </c>
      <c r="U6066" s="15" t="n">
        <v>10</v>
      </c>
      <c r="V6066" s="15">
        <f>ROUNDUP((T6066+U6066+2*'Read Me'!$B$13)*(1+'Read Me'!$B$12),-1)</f>
        <v/>
      </c>
      <c r="W6066" s="15">
        <f>V6066*N6066*O6066</f>
        <v/>
      </c>
      <c r="X6066" s="12">
        <f>IF(LEFT(I6066,2)="MV",2*N6066*IF(L6066="1/C",O6066,1),0)</f>
        <v/>
      </c>
      <c r="Y6066" s="12">
        <f>IF(OR(LEFT(K6066,4)="LVAX",LEFT(K6066,6)="MV15AX",LEFT(K6066,4)="CTAX",LEFT(K6066,2)="W|"),2*N6066*O6066,0)</f>
        <v/>
      </c>
      <c r="Z6066" s="12" t="inlineStr">
        <is>
          <t>device-to-JB field wiring, one cable per device</t>
        </is>
      </c>
      <c r="AA6066" s="12">
        <f>N6066*O6066</f>
        <v/>
      </c>
    </row>
    <row r="6067">
      <c r="A6067" s="12" t="inlineStr">
        <is>
          <t>K-I-0184</t>
        </is>
      </c>
      <c r="B6067" s="12" t="inlineStr">
        <is>
          <t>K</t>
        </is>
      </c>
      <c r="C6067" s="12" t="inlineStr">
        <is>
          <t>Fuel supply (adjacent market)</t>
        </is>
      </c>
      <c r="D6067" s="12" t="inlineStr">
        <is>
          <t>Home run JB-M&amp;R 7: gas quality-DI01 to the control / marshalling room</t>
        </is>
      </c>
      <c r="E6067" s="12" t="inlineStr"/>
      <c r="F6067" s="12" t="inlineStr">
        <is>
          <t>LNG 17: LNG e-house (13.8 kV / 480 V)</t>
        </is>
      </c>
      <c r="G6067" s="12" t="inlineStr">
        <is>
          <t>JB-M&amp;R 7: gas quality-DI01</t>
        </is>
      </c>
      <c r="H6067" s="12" t="inlineStr">
        <is>
          <t>M&amp;R 7: gas quality + measurement building</t>
        </is>
      </c>
      <c r="I6067" s="12" t="inlineStr">
        <is>
          <t>Instrumentation</t>
        </is>
      </c>
      <c r="J6067" s="12" t="inlineStr">
        <is>
          <t>Instrumentation ITC / PLTC, IS, #18 shielded pairs, blue jacket</t>
        </is>
      </c>
      <c r="K6067" s="12" t="inlineStr">
        <is>
          <t>ITC|24 pr|18</t>
        </is>
      </c>
      <c r="L6067" s="12" t="inlineStr">
        <is>
          <t>24 pr</t>
        </is>
      </c>
      <c r="M6067" s="12" t="inlineStr">
        <is>
          <t>18</t>
        </is>
      </c>
      <c r="N6067" s="12" t="n">
        <v>1</v>
      </c>
      <c r="O6067" s="12" t="n">
        <v>1</v>
      </c>
      <c r="P6067" s="12" t="n"/>
      <c r="Q6067" s="12" t="n"/>
      <c r="R6067" s="12" t="n"/>
      <c r="S6067" s="12" t="inlineStr">
        <is>
          <t>Duct bank</t>
        </is>
      </c>
      <c r="T6067" s="15" t="n">
        <v>616</v>
      </c>
      <c r="U6067" s="15" t="n">
        <v>52</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K-I-0185</t>
        </is>
      </c>
      <c r="B6068" s="12" t="inlineStr">
        <is>
          <t>K</t>
        </is>
      </c>
      <c r="C6068" s="12" t="inlineStr">
        <is>
          <t>Fuel supply (adjacent market)</t>
        </is>
      </c>
      <c r="D6068" s="12" t="inlineStr">
        <is>
          <t>Analog instrument to JB JB-M&amp;R 8: condensate -AI01: 4 x 1 pr (field cables)</t>
        </is>
      </c>
      <c r="E6068" s="12" t="inlineStr"/>
      <c r="F6068" s="12" t="inlineStr">
        <is>
          <t>M&amp;R 8: condensate tank</t>
        </is>
      </c>
      <c r="G6068" s="12" t="inlineStr">
        <is>
          <t>JB-M&amp;R 8: condensate -AI01</t>
        </is>
      </c>
      <c r="H6068" s="12" t="inlineStr">
        <is>
          <t>M&amp;R 8: condensate tank</t>
        </is>
      </c>
      <c r="I6068" s="12" t="inlineStr">
        <is>
          <t>Instrumentation</t>
        </is>
      </c>
      <c r="J6068" s="12" t="inlineStr">
        <is>
          <t>Instrumentation ITC / PLTC, IS, #18 shielded pairs, blue jacket</t>
        </is>
      </c>
      <c r="K6068" s="12" t="inlineStr">
        <is>
          <t>ITC|1 pr|16</t>
        </is>
      </c>
      <c r="L6068" s="12" t="inlineStr">
        <is>
          <t>1 pr</t>
        </is>
      </c>
      <c r="M6068" s="12" t="inlineStr">
        <is>
          <t>16</t>
        </is>
      </c>
      <c r="N6068" s="12" t="n">
        <v>4</v>
      </c>
      <c r="O6068" s="12" t="n">
        <v>1</v>
      </c>
      <c r="P6068" s="12" t="n"/>
      <c r="Q6068" s="12" t="n"/>
      <c r="R6068" s="12" t="n"/>
      <c r="S6068" s="12" t="inlineStr">
        <is>
          <t>Tray / conduit</t>
        </is>
      </c>
      <c r="T6068" s="15" t="n">
        <v>41</v>
      </c>
      <c r="U6068" s="15" t="n">
        <v>10</v>
      </c>
      <c r="V6068" s="15">
        <f>ROUNDUP((T6068+U6068+2*'Read Me'!$B$13)*(1+'Read Me'!$B$12),-1)</f>
        <v/>
      </c>
      <c r="W6068" s="15">
        <f>V6068*N6068*O6068</f>
        <v/>
      </c>
      <c r="X6068" s="12">
        <f>IF(LEFT(I6068,2)="MV",2*N6068*IF(L6068="1/C",O6068,1),0)</f>
        <v/>
      </c>
      <c r="Y6068" s="12">
        <f>IF(OR(LEFT(K6068,4)="LVAX",LEFT(K6068,6)="MV15AX",LEFT(K6068,4)="CTAX",LEFT(K6068,2)="W|"),2*N6068*O6068,0)</f>
        <v/>
      </c>
      <c r="Z6068" s="12" t="inlineStr">
        <is>
          <t>device-to-JB field wiring, one cable per device</t>
        </is>
      </c>
      <c r="AA6068" s="12">
        <f>N6068*O6068</f>
        <v/>
      </c>
    </row>
    <row r="6069">
      <c r="A6069" s="12" t="inlineStr">
        <is>
          <t>K-I-0186</t>
        </is>
      </c>
      <c r="B6069" s="12" t="inlineStr">
        <is>
          <t>K</t>
        </is>
      </c>
      <c r="C6069" s="12" t="inlineStr">
        <is>
          <t>Fuel supply (adjacent market)</t>
        </is>
      </c>
      <c r="D6069" s="12" t="inlineStr">
        <is>
          <t>Home run JB-M&amp;R 8: condensate -AI01 to the control / marshalling room</t>
        </is>
      </c>
      <c r="E6069" s="12" t="inlineStr"/>
      <c r="F6069" s="12" t="inlineStr">
        <is>
          <t>LNG 17: LNG e-house (13.8 kV / 480 V)</t>
        </is>
      </c>
      <c r="G6069" s="12" t="inlineStr">
        <is>
          <t>JB-M&amp;R 8: condensate -AI01</t>
        </is>
      </c>
      <c r="H6069" s="12" t="inlineStr">
        <is>
          <t>M&amp;R 8: condensate tank</t>
        </is>
      </c>
      <c r="I6069" s="12" t="inlineStr">
        <is>
          <t>Instrumentation</t>
        </is>
      </c>
      <c r="J6069" s="12" t="inlineStr">
        <is>
          <t>Instrumentation ITC / PLTC, IS, #18 shielded pairs, blue jacket</t>
        </is>
      </c>
      <c r="K6069" s="12" t="inlineStr">
        <is>
          <t>ITC|24 pr|18</t>
        </is>
      </c>
      <c r="L6069" s="12" t="inlineStr">
        <is>
          <t>24 pr</t>
        </is>
      </c>
      <c r="M6069" s="12" t="inlineStr">
        <is>
          <t>18</t>
        </is>
      </c>
      <c r="N6069" s="12" t="n">
        <v>1</v>
      </c>
      <c r="O6069" s="12" t="n">
        <v>1</v>
      </c>
      <c r="P6069" s="12" t="n"/>
      <c r="Q6069" s="12" t="n"/>
      <c r="R6069" s="12" t="n"/>
      <c r="S6069" s="12" t="inlineStr">
        <is>
          <t>Duct bank</t>
        </is>
      </c>
      <c r="T6069" s="15" t="n">
        <v>530</v>
      </c>
      <c r="U6069" s="15" t="n">
        <v>87</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K-I-0187</t>
        </is>
      </c>
      <c r="B6070" s="12" t="inlineStr">
        <is>
          <t>K</t>
        </is>
      </c>
      <c r="C6070" s="12" t="inlineStr">
        <is>
          <t>Fuel supply (adjacent market)</t>
        </is>
      </c>
      <c r="D6070" s="12" t="inlineStr">
        <is>
          <t>Discrete device to JB JB-M&amp;R 8: condensate -DI01: 4 x 1 pr (field cables)</t>
        </is>
      </c>
      <c r="E6070" s="12" t="inlineStr"/>
      <c r="F6070" s="12" t="inlineStr">
        <is>
          <t>M&amp;R 8: condensate tank</t>
        </is>
      </c>
      <c r="G6070" s="12" t="inlineStr">
        <is>
          <t>JB-M&amp;R 8: condensate -DI01</t>
        </is>
      </c>
      <c r="H6070" s="12" t="inlineStr">
        <is>
          <t>M&amp;R 8: condensate tank</t>
        </is>
      </c>
      <c r="I6070" s="12" t="inlineStr">
        <is>
          <t>Instrumentation</t>
        </is>
      </c>
      <c r="J6070" s="12" t="inlineStr">
        <is>
          <t>Instrumentation ITC / PLTC, IS, #18 shielded pairs, blue jacket</t>
        </is>
      </c>
      <c r="K6070" s="12" t="inlineStr">
        <is>
          <t>ITC|1 pr|16</t>
        </is>
      </c>
      <c r="L6070" s="12" t="inlineStr">
        <is>
          <t>1 pr</t>
        </is>
      </c>
      <c r="M6070" s="12" t="inlineStr">
        <is>
          <t>16</t>
        </is>
      </c>
      <c r="N6070" s="12" t="n">
        <v>4</v>
      </c>
      <c r="O6070" s="12" t="n">
        <v>1</v>
      </c>
      <c r="P6070" s="12" t="n"/>
      <c r="Q6070" s="12" t="n"/>
      <c r="R6070" s="12" t="n"/>
      <c r="S6070" s="12" t="inlineStr">
        <is>
          <t>Tray / conduit</t>
        </is>
      </c>
      <c r="T6070" s="15" t="n">
        <v>41</v>
      </c>
      <c r="U6070" s="15" t="n">
        <v>10</v>
      </c>
      <c r="V6070" s="15">
        <f>ROUNDUP((T6070+U6070+2*'Read Me'!$B$13)*(1+'Read Me'!$B$12),-1)</f>
        <v/>
      </c>
      <c r="W6070" s="15">
        <f>V6070*N6070*O6070</f>
        <v/>
      </c>
      <c r="X6070" s="12">
        <f>IF(LEFT(I6070,2)="MV",2*N6070*IF(L6070="1/C",O6070,1),0)</f>
        <v/>
      </c>
      <c r="Y6070" s="12">
        <f>IF(OR(LEFT(K6070,4)="LVAX",LEFT(K6070,6)="MV15AX",LEFT(K6070,4)="CTAX",LEFT(K6070,2)="W|"),2*N6070*O6070,0)</f>
        <v/>
      </c>
      <c r="Z6070" s="12" t="inlineStr">
        <is>
          <t>device-to-JB field wiring, one cable per device</t>
        </is>
      </c>
      <c r="AA6070" s="12">
        <f>N6070*O6070</f>
        <v/>
      </c>
    </row>
    <row r="6071">
      <c r="A6071" s="12" t="inlineStr">
        <is>
          <t>K-I-0188</t>
        </is>
      </c>
      <c r="B6071" s="12" t="inlineStr">
        <is>
          <t>K</t>
        </is>
      </c>
      <c r="C6071" s="12" t="inlineStr">
        <is>
          <t>Fuel supply (adjacent market)</t>
        </is>
      </c>
      <c r="D6071" s="12" t="inlineStr">
        <is>
          <t>Home run JB-M&amp;R 8: condensate -DI01 to the control / marshalling room</t>
        </is>
      </c>
      <c r="E6071" s="12" t="inlineStr"/>
      <c r="F6071" s="12" t="inlineStr">
        <is>
          <t>LNG 17: LNG e-house (13.8 kV / 480 V)</t>
        </is>
      </c>
      <c r="G6071" s="12" t="inlineStr">
        <is>
          <t>JB-M&amp;R 8: condensate -DI01</t>
        </is>
      </c>
      <c r="H6071" s="12" t="inlineStr">
        <is>
          <t>M&amp;R 8: condensate tank</t>
        </is>
      </c>
      <c r="I6071" s="12" t="inlineStr">
        <is>
          <t>Instrumentation</t>
        </is>
      </c>
      <c r="J6071" s="12" t="inlineStr">
        <is>
          <t>Instrumentation ITC / PLTC, IS, #18 shielded pairs, blue jacket</t>
        </is>
      </c>
      <c r="K6071" s="12" t="inlineStr">
        <is>
          <t>ITC|24 pr|18</t>
        </is>
      </c>
      <c r="L6071" s="12" t="inlineStr">
        <is>
          <t>24 pr</t>
        </is>
      </c>
      <c r="M6071" s="12" t="inlineStr">
        <is>
          <t>18</t>
        </is>
      </c>
      <c r="N6071" s="12" t="n">
        <v>1</v>
      </c>
      <c r="O6071" s="12" t="n">
        <v>1</v>
      </c>
      <c r="P6071" s="12" t="n"/>
      <c r="Q6071" s="12" t="n"/>
      <c r="R6071" s="12" t="n"/>
      <c r="S6071" s="12" t="inlineStr">
        <is>
          <t>Duct bank</t>
        </is>
      </c>
      <c r="T6071" s="15" t="n">
        <v>530</v>
      </c>
      <c r="U6071" s="15" t="n">
        <v>87</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K-I-0189</t>
        </is>
      </c>
      <c r="B6072" s="12" t="inlineStr">
        <is>
          <t>K</t>
        </is>
      </c>
      <c r="C6072" s="12" t="inlineStr">
        <is>
          <t>Fuel supply (adjacent market)</t>
        </is>
      </c>
      <c r="D6072" s="12" t="inlineStr">
        <is>
          <t>Instrumentation</t>
        </is>
      </c>
      <c r="E6072" s="12" t="inlineStr"/>
      <c r="F6072" s="12" t="inlineStr">
        <is>
          <t>LNG 17: LNG e-house (13.8 kV / 480 V)</t>
        </is>
      </c>
      <c r="G6072" s="12" t="inlineStr"/>
      <c r="H6072" s="12" t="inlineStr">
        <is>
          <t>M&amp;R CP test station (as drawn)</t>
        </is>
      </c>
      <c r="I6072" s="12" t="inlineStr">
        <is>
          <t>Instrumentation</t>
        </is>
      </c>
      <c r="J6072" s="12" t="inlineStr">
        <is>
          <t>Instrumentation ITC / PLTC, IS, #18 shielded pairs, blue jacket</t>
        </is>
      </c>
      <c r="K6072" s="12" t="inlineStr">
        <is>
          <t>ITC|4 pr|18</t>
        </is>
      </c>
      <c r="L6072" s="12" t="inlineStr">
        <is>
          <t>4 pr</t>
        </is>
      </c>
      <c r="M6072" s="12" t="inlineStr">
        <is>
          <t>18</t>
        </is>
      </c>
      <c r="N6072" s="12" t="n">
        <v>1</v>
      </c>
      <c r="O6072" s="12" t="n">
        <v>1</v>
      </c>
      <c r="P6072" s="12" t="n"/>
      <c r="Q6072" s="12" t="n"/>
      <c r="R6072" s="12" t="n"/>
      <c r="S6072" s="12" t="inlineStr">
        <is>
          <t>Duct bank</t>
        </is>
      </c>
      <c r="T6072" s="15" t="n">
        <v>441</v>
      </c>
      <c r="U6072" s="15" t="n">
        <v>42</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K-I-0190</t>
        </is>
      </c>
      <c r="B6073" s="12" t="inlineStr">
        <is>
          <t>K</t>
        </is>
      </c>
      <c r="C6073" s="12" t="inlineStr">
        <is>
          <t>Fuel supply (adjacent market)</t>
        </is>
      </c>
      <c r="D6073" s="12" t="inlineStr">
        <is>
          <t>Instrumentation</t>
        </is>
      </c>
      <c r="E6073" s="12" t="inlineStr"/>
      <c r="F6073" s="12" t="inlineStr">
        <is>
          <t>H2 20: 13.8 kV e-house</t>
        </is>
      </c>
      <c r="G6073" s="12" t="inlineStr"/>
      <c r="H6073" s="12" t="inlineStr">
        <is>
          <t>PEM electrolyzer 1 (HyLYZER-1000)</t>
        </is>
      </c>
      <c r="I6073" s="12" t="inlineStr">
        <is>
          <t>Instrumentation</t>
        </is>
      </c>
      <c r="J6073" s="12" t="inlineStr">
        <is>
          <t>Instrumentation ITC / PLTC, IS, #18 shielded pairs, blue jacket</t>
        </is>
      </c>
      <c r="K6073" s="12" t="inlineStr">
        <is>
          <t>ITC|4 pr|18</t>
        </is>
      </c>
      <c r="L6073" s="12" t="inlineStr">
        <is>
          <t>4 pr</t>
        </is>
      </c>
      <c r="M6073" s="12" t="inlineStr">
        <is>
          <t>18</t>
        </is>
      </c>
      <c r="N6073" s="12" t="n">
        <v>1</v>
      </c>
      <c r="O6073" s="12" t="n">
        <v>1</v>
      </c>
      <c r="P6073" s="12" t="n"/>
      <c r="Q6073" s="12" t="n"/>
      <c r="R6073" s="12" t="n"/>
      <c r="S6073" s="12" t="inlineStr">
        <is>
          <t>Duct bank</t>
        </is>
      </c>
      <c r="T6073" s="15" t="n">
        <v>358</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c r="AA6073" s="12">
        <f>N6073*O6073</f>
        <v/>
      </c>
    </row>
    <row r="6074">
      <c r="A6074" s="12" t="inlineStr">
        <is>
          <t>K-I-0191</t>
        </is>
      </c>
      <c r="B6074" s="12" t="inlineStr">
        <is>
          <t>K</t>
        </is>
      </c>
      <c r="C6074" s="12" t="inlineStr">
        <is>
          <t>Fuel supply (adjacent market)</t>
        </is>
      </c>
      <c r="D6074" s="12" t="inlineStr">
        <is>
          <t>Instrumentation</t>
        </is>
      </c>
      <c r="E6074" s="12" t="inlineStr"/>
      <c r="F6074" s="12" t="inlineStr">
        <is>
          <t>H2 20: 13.8 kV e-house</t>
        </is>
      </c>
      <c r="G6074" s="12" t="inlineStr"/>
      <c r="H6074" s="12" t="inlineStr">
        <is>
          <t>PEM electrolyzer 2 (HyLYZER-1000)</t>
        </is>
      </c>
      <c r="I6074" s="12" t="inlineStr">
        <is>
          <t>Instrumentation</t>
        </is>
      </c>
      <c r="J6074" s="12" t="inlineStr">
        <is>
          <t>Instrumentation ITC / PLTC, IS, #18 shielded pairs, blue jacket</t>
        </is>
      </c>
      <c r="K6074" s="12" t="inlineStr">
        <is>
          <t>ITC|4 pr|18</t>
        </is>
      </c>
      <c r="L6074" s="12" t="inlineStr">
        <is>
          <t>4 pr</t>
        </is>
      </c>
      <c r="M6074" s="12" t="inlineStr">
        <is>
          <t>18</t>
        </is>
      </c>
      <c r="N6074" s="12" t="n">
        <v>1</v>
      </c>
      <c r="O6074" s="12" t="n">
        <v>1</v>
      </c>
      <c r="P6074" s="12" t="n"/>
      <c r="Q6074" s="12" t="n"/>
      <c r="R6074" s="12" t="n"/>
      <c r="S6074" s="12" t="inlineStr">
        <is>
          <t>Duct bank</t>
        </is>
      </c>
      <c r="T6074" s="15" t="n">
        <v>358</v>
      </c>
      <c r="U6074" s="15" t="n">
        <v>48</v>
      </c>
      <c r="V6074" s="15">
        <f>ROUNDUP((T6074+U6074+2*'Read Me'!$B$13)*(1+'Read Me'!$B$12),-1)</f>
        <v/>
      </c>
      <c r="W6074" s="15">
        <f>V6074*N6074*O6074</f>
        <v/>
      </c>
      <c r="X6074" s="12">
        <f>IF(LEFT(I6074,2)="MV",2*N6074*IF(L6074="1/C",O6074,1),0)</f>
        <v/>
      </c>
      <c r="Y6074" s="12">
        <f>IF(OR(LEFT(K6074,4)="LVAX",LEFT(K6074,6)="MV15AX",LEFT(K6074,4)="CTAX",LEFT(K6074,2)="W|"),2*N6074*O6074,0)</f>
        <v/>
      </c>
      <c r="Z6074" s="12" t="inlineStr"/>
      <c r="AA6074" s="12">
        <f>N6074*O6074</f>
        <v/>
      </c>
    </row>
    <row r="6075">
      <c r="A6075" s="12" t="inlineStr">
        <is>
          <t>K-I-0192</t>
        </is>
      </c>
      <c r="B6075" s="12" t="inlineStr">
        <is>
          <t>K</t>
        </is>
      </c>
      <c r="C6075" s="12" t="inlineStr">
        <is>
          <t>Fuel supply (adjacent market)</t>
        </is>
      </c>
      <c r="D6075" s="12" t="inlineStr">
        <is>
          <t>Instrumentation</t>
        </is>
      </c>
      <c r="E6075" s="12" t="inlineStr"/>
      <c r="F6075" s="12" t="inlineStr">
        <is>
          <t>H2 20: 13.8 kV e-house</t>
        </is>
      </c>
      <c r="G6075" s="12" t="inlineStr"/>
      <c r="H6075" s="12" t="inlineStr">
        <is>
          <t>PEM electrolyzer 3 (HyLYZER-1000)</t>
        </is>
      </c>
      <c r="I6075" s="12" t="inlineStr">
        <is>
          <t>Instrumentation</t>
        </is>
      </c>
      <c r="J6075" s="12" t="inlineStr">
        <is>
          <t>Instrumentation ITC / PLTC, IS, #18 shielded pairs, blue jacket</t>
        </is>
      </c>
      <c r="K6075" s="12" t="inlineStr">
        <is>
          <t>ITC|4 pr|18</t>
        </is>
      </c>
      <c r="L6075" s="12" t="inlineStr">
        <is>
          <t>4 pr</t>
        </is>
      </c>
      <c r="M6075" s="12" t="inlineStr">
        <is>
          <t>18</t>
        </is>
      </c>
      <c r="N6075" s="12" t="n">
        <v>1</v>
      </c>
      <c r="O6075" s="12" t="n">
        <v>1</v>
      </c>
      <c r="P6075" s="12" t="n"/>
      <c r="Q6075" s="12" t="n"/>
      <c r="R6075" s="12" t="n"/>
      <c r="S6075" s="12" t="inlineStr">
        <is>
          <t>Duct bank</t>
        </is>
      </c>
      <c r="T6075" s="15" t="n">
        <v>348</v>
      </c>
      <c r="U6075" s="15" t="n">
        <v>49</v>
      </c>
      <c r="V6075" s="15">
        <f>ROUNDUP((T6075+U6075+2*'Read Me'!$B$13)*(1+'Read Me'!$B$12),-1)</f>
        <v/>
      </c>
      <c r="W6075" s="15">
        <f>V6075*N6075*O6075</f>
        <v/>
      </c>
      <c r="X6075" s="12">
        <f>IF(LEFT(I6075,2)="MV",2*N6075*IF(L6075="1/C",O6075,1),0)</f>
        <v/>
      </c>
      <c r="Y6075" s="12">
        <f>IF(OR(LEFT(K6075,4)="LVAX",LEFT(K6075,6)="MV15AX",LEFT(K6075,4)="CTAX",LEFT(K6075,2)="W|"),2*N6075*O6075,0)</f>
        <v/>
      </c>
      <c r="Z6075" s="12" t="inlineStr"/>
      <c r="AA6075" s="12">
        <f>N6075*O6075</f>
        <v/>
      </c>
    </row>
    <row r="6076">
      <c r="A6076" s="12" t="inlineStr">
        <is>
          <t>K-I-0193</t>
        </is>
      </c>
      <c r="B6076" s="12" t="inlineStr">
        <is>
          <t>K</t>
        </is>
      </c>
      <c r="C6076" s="12" t="inlineStr">
        <is>
          <t>Fuel supply (adjacent market)</t>
        </is>
      </c>
      <c r="D6076" s="12" t="inlineStr">
        <is>
          <t>Instrumentation</t>
        </is>
      </c>
      <c r="E6076" s="12" t="inlineStr"/>
      <c r="F6076" s="12" t="inlineStr">
        <is>
          <t>H2 20: 13.8 kV e-house</t>
        </is>
      </c>
      <c r="G6076" s="12" t="inlineStr"/>
      <c r="H6076" s="12" t="inlineStr">
        <is>
          <t>PEM electrolyzer 4 (HyLYZER-1000)</t>
        </is>
      </c>
      <c r="I6076" s="12" t="inlineStr">
        <is>
          <t>Instrumentation</t>
        </is>
      </c>
      <c r="J6076" s="12" t="inlineStr">
        <is>
          <t>Instrumentation ITC / PLTC, IS, #18 shielded pairs, blue jacket</t>
        </is>
      </c>
      <c r="K6076" s="12" t="inlineStr">
        <is>
          <t>ITC|4 pr|18</t>
        </is>
      </c>
      <c r="L6076" s="12" t="inlineStr">
        <is>
          <t>4 pr</t>
        </is>
      </c>
      <c r="M6076" s="12" t="inlineStr">
        <is>
          <t>18</t>
        </is>
      </c>
      <c r="N6076" s="12" t="n">
        <v>1</v>
      </c>
      <c r="O6076" s="12" t="n">
        <v>1</v>
      </c>
      <c r="P6076" s="12" t="n"/>
      <c r="Q6076" s="12" t="n"/>
      <c r="R6076" s="12" t="n"/>
      <c r="S6076" s="12" t="inlineStr">
        <is>
          <t>Duct bank</t>
        </is>
      </c>
      <c r="T6076" s="15" t="n">
        <v>328</v>
      </c>
      <c r="U6076" s="15" t="n">
        <v>49</v>
      </c>
      <c r="V6076" s="15">
        <f>ROUNDUP((T6076+U6076+2*'Read Me'!$B$13)*(1+'Read Me'!$B$12),-1)</f>
        <v/>
      </c>
      <c r="W6076" s="15">
        <f>V6076*N6076*O6076</f>
        <v/>
      </c>
      <c r="X6076" s="12">
        <f>IF(LEFT(I6076,2)="MV",2*N6076*IF(L6076="1/C",O6076,1),0)</f>
        <v/>
      </c>
      <c r="Y6076" s="12">
        <f>IF(OR(LEFT(K6076,4)="LVAX",LEFT(K6076,6)="MV15AX",LEFT(K6076,4)="CTAX",LEFT(K6076,2)="W|"),2*N6076*O6076,0)</f>
        <v/>
      </c>
      <c r="Z6076" s="12" t="inlineStr"/>
      <c r="AA6076" s="12">
        <f>N6076*O6076</f>
        <v/>
      </c>
    </row>
    <row r="6077">
      <c r="A6077" s="12" t="inlineStr">
        <is>
          <t>K-I-0194</t>
        </is>
      </c>
      <c r="B6077" s="12" t="inlineStr">
        <is>
          <t>K</t>
        </is>
      </c>
      <c r="C6077" s="12" t="inlineStr">
        <is>
          <t>Fuel supply (adjacent market)</t>
        </is>
      </c>
      <c r="D6077" s="12" t="inlineStr">
        <is>
          <t>Instrumentation</t>
        </is>
      </c>
      <c r="E6077" s="12" t="inlineStr"/>
      <c r="F6077" s="12" t="inlineStr">
        <is>
          <t>H2 20: 13.8 kV e-house</t>
        </is>
      </c>
      <c r="G6077" s="12" t="inlineStr"/>
      <c r="H6077" s="12" t="inlineStr">
        <is>
          <t>PEM electrolyzer 5 (HyLYZER-1000)</t>
        </is>
      </c>
      <c r="I6077" s="12" t="inlineStr">
        <is>
          <t>Instrumentation</t>
        </is>
      </c>
      <c r="J6077" s="12" t="inlineStr">
        <is>
          <t>Instrumentation ITC / PLTC, IS, #18 shielded pairs, blue jacket</t>
        </is>
      </c>
      <c r="K6077" s="12" t="inlineStr">
        <is>
          <t>ITC|4 pr|18</t>
        </is>
      </c>
      <c r="L6077" s="12" t="inlineStr">
        <is>
          <t>4 pr</t>
        </is>
      </c>
      <c r="M6077" s="12" t="inlineStr">
        <is>
          <t>18</t>
        </is>
      </c>
      <c r="N6077" s="12" t="n">
        <v>1</v>
      </c>
      <c r="O6077" s="12" t="n">
        <v>1</v>
      </c>
      <c r="P6077" s="12" t="n"/>
      <c r="Q6077" s="12" t="n"/>
      <c r="R6077" s="12" t="n"/>
      <c r="S6077" s="12" t="inlineStr">
        <is>
          <t>Duct bank</t>
        </is>
      </c>
      <c r="T6077" s="15" t="n">
        <v>328</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c r="AA6077" s="12">
        <f>N6077*O6077</f>
        <v/>
      </c>
    </row>
    <row r="6078">
      <c r="A6078" s="12" t="inlineStr">
        <is>
          <t>K-P-0001</t>
        </is>
      </c>
      <c r="B6078" s="12" t="inlineStr">
        <is>
          <t>K</t>
        </is>
      </c>
      <c r="C6078" s="12" t="inlineStr">
        <is>
          <t>Fuel supply (adjacent market)</t>
        </is>
      </c>
      <c r="D6078" s="12" t="inlineStr">
        <is>
          <t>Motor 1 of 1, 15 kW</t>
        </is>
      </c>
      <c r="E6078" s="12" t="inlineStr"/>
      <c r="F6078" s="12" t="inlineStr">
        <is>
          <t>H2 20: 13.8 kV e-house</t>
        </is>
      </c>
      <c r="G6078" s="12" t="inlineStr">
        <is>
          <t>T-H2</t>
        </is>
      </c>
      <c r="H6078" s="12" t="inlineStr">
        <is>
          <t>H2 19: T-H2 230/13.8 kV (about 40 MVA)</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35</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0.7 %</t>
        </is>
      </c>
      <c r="AA6078" s="12">
        <f>N6078*O6078</f>
        <v/>
      </c>
    </row>
    <row r="6079">
      <c r="A6079" s="12" t="inlineStr">
        <is>
          <t>K-P-0002</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20: 13.8 kV e-house</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Tray</t>
        </is>
      </c>
      <c r="T6079" s="15" t="n">
        <v>0</v>
      </c>
      <c r="U6079" s="15" t="n">
        <v>32</v>
      </c>
      <c r="V6079" s="15">
        <f>ROUNDUP((T6079+U6079+2*'Read Me'!$B$13)*(1+'Read Me'!$B$12),-1)</f>
        <v/>
      </c>
      <c r="W6079" s="15">
        <f>V6079*N6079*O6079</f>
        <v/>
      </c>
      <c r="X6079" s="12">
        <f>IF(LEFT(I6079,2)="MV",2*N6079*IF(L6079="1/C",O6079,1),0)</f>
        <v/>
      </c>
      <c r="Y6079" s="12">
        <f>IF(OR(LEFT(K6079,4)="LVAX",LEFT(K6079,6)="MV15AX",LEFT(K6079,4)="CTAX",LEFT(K6079,2)="W|"),2*N6079*O6079,0)</f>
        <v/>
      </c>
      <c r="Z6079" s="12" t="inlineStr">
        <is>
          <t>VD 0.3 %</t>
        </is>
      </c>
      <c r="AA6079" s="12">
        <f>N6079*O6079</f>
        <v/>
      </c>
    </row>
    <row r="6080">
      <c r="A6080" s="12" t="inlineStr">
        <is>
          <t>K-P-0003</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21: rectifier transformer 1 (7 MVA)</t>
        </is>
      </c>
      <c r="I6080" s="12" t="inlineStr">
        <is>
          <t>LV 600 V</t>
        </is>
      </c>
      <c r="J6080" s="12" t="inlineStr">
        <is>
          <t>ARMOR-X MC-HL 600 V 3/C Cu XHHW-2 + ground, CWA, black PVC (Class I Div 2)</t>
        </is>
      </c>
      <c r="K6080" s="12" t="inlineStr">
        <is>
          <t>LVAX|3/C+G|8</t>
        </is>
      </c>
      <c r="L6080" s="12" t="inlineStr">
        <is>
          <t>3/C+G</t>
        </is>
      </c>
      <c r="M6080" s="12" t="inlineStr">
        <is>
          <t>8</t>
        </is>
      </c>
      <c r="N6080" s="12" t="n">
        <v>1</v>
      </c>
      <c r="O6080" s="12" t="n">
        <v>1</v>
      </c>
      <c r="P6080" s="12" t="n">
        <v>480</v>
      </c>
      <c r="Q6080" s="12" t="n">
        <v>15</v>
      </c>
      <c r="R6080" s="12" t="n">
        <v>21.2</v>
      </c>
      <c r="S6080" s="12" t="inlineStr">
        <is>
          <t>Duct bank</t>
        </is>
      </c>
      <c r="T6080" s="15" t="n">
        <v>356</v>
      </c>
      <c r="U6080" s="15" t="n">
        <v>48</v>
      </c>
      <c r="V6080" s="15">
        <f>ROUNDUP((T6080+U6080+2*'Read Me'!$B$13)*(1+'Read Me'!$B$12),-1)</f>
        <v/>
      </c>
      <c r="W6080" s="15">
        <f>V6080*N6080*O6080</f>
        <v/>
      </c>
      <c r="X6080" s="12">
        <f>IF(LEFT(I6080,2)="MV",2*N6080*IF(L6080="1/C",O6080,1),0)</f>
        <v/>
      </c>
      <c r="Y6080" s="12">
        <f>IF(OR(LEFT(K6080,4)="LVAX",LEFT(K6080,6)="MV15AX",LEFT(K6080,4)="CTAX",LEFT(K6080,2)="W|"),2*N6080*O6080,0)</f>
        <v/>
      </c>
      <c r="Z6080" s="12" t="inlineStr">
        <is>
          <t>VD 2.6 %</t>
        </is>
      </c>
      <c r="AA6080" s="12">
        <f>N6080*O6080</f>
        <v/>
      </c>
    </row>
    <row r="6081">
      <c r="A6081" s="12" t="inlineStr">
        <is>
          <t>K-P-0004</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21: rectifier transformer 2 (7 MVA)</t>
        </is>
      </c>
      <c r="I6081" s="12" t="inlineStr">
        <is>
          <t>LV 600 V</t>
        </is>
      </c>
      <c r="J6081" s="12" t="inlineStr">
        <is>
          <t>ARMOR-X MC-HL 600 V 3/C Cu XHHW-2 + ground, CWA, black PVC (Class I Div 2)</t>
        </is>
      </c>
      <c r="K6081" s="12" t="inlineStr">
        <is>
          <t>LVAX|3/C+G|8</t>
        </is>
      </c>
      <c r="L6081" s="12" t="inlineStr">
        <is>
          <t>3/C+G</t>
        </is>
      </c>
      <c r="M6081" s="12" t="inlineStr">
        <is>
          <t>8</t>
        </is>
      </c>
      <c r="N6081" s="12" t="n">
        <v>1</v>
      </c>
      <c r="O6081" s="12" t="n">
        <v>1</v>
      </c>
      <c r="P6081" s="12" t="n">
        <v>480</v>
      </c>
      <c r="Q6081" s="12" t="n">
        <v>15</v>
      </c>
      <c r="R6081" s="12" t="n">
        <v>21.2</v>
      </c>
      <c r="S6081" s="12" t="inlineStr">
        <is>
          <t>Duct bank</t>
        </is>
      </c>
      <c r="T6081" s="15" t="n">
        <v>356</v>
      </c>
      <c r="U6081" s="15" t="n">
        <v>32</v>
      </c>
      <c r="V6081" s="15">
        <f>ROUNDUP((T6081+U6081+2*'Read Me'!$B$13)*(1+'Read Me'!$B$12),-1)</f>
        <v/>
      </c>
      <c r="W6081" s="15">
        <f>V6081*N6081*O6081</f>
        <v/>
      </c>
      <c r="X6081" s="12">
        <f>IF(LEFT(I6081,2)="MV",2*N6081*IF(L6081="1/C",O6081,1),0)</f>
        <v/>
      </c>
      <c r="Y6081" s="12">
        <f>IF(OR(LEFT(K6081,4)="LVAX",LEFT(K6081,6)="MV15AX",LEFT(K6081,4)="CTAX",LEFT(K6081,2)="W|"),2*N6081*O6081,0)</f>
        <v/>
      </c>
      <c r="Z6081" s="12" t="inlineStr">
        <is>
          <t>VD 2.5 %</t>
        </is>
      </c>
      <c r="AA6081" s="12">
        <f>N6081*O6081</f>
        <v/>
      </c>
    </row>
    <row r="6082">
      <c r="A6082" s="12" t="inlineStr">
        <is>
          <t>K-P-0005</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21: rectifier transformer 3 (7 MVA)</t>
        </is>
      </c>
      <c r="I6082" s="12" t="inlineStr">
        <is>
          <t>LV 600 V</t>
        </is>
      </c>
      <c r="J6082" s="12" t="inlineStr">
        <is>
          <t>ARMOR-X MC-HL 600 V 3/C Cu XHHW-2 + ground, CWA, black PVC (Class I Div 2)</t>
        </is>
      </c>
      <c r="K6082" s="12" t="inlineStr">
        <is>
          <t>LVAX|3/C+G|8</t>
        </is>
      </c>
      <c r="L6082" s="12" t="inlineStr">
        <is>
          <t>3/C+G</t>
        </is>
      </c>
      <c r="M6082" s="12" t="inlineStr">
        <is>
          <t>8</t>
        </is>
      </c>
      <c r="N6082" s="12" t="n">
        <v>1</v>
      </c>
      <c r="O6082" s="12" t="n">
        <v>1</v>
      </c>
      <c r="P6082" s="12" t="n">
        <v>480</v>
      </c>
      <c r="Q6082" s="12" t="n">
        <v>15</v>
      </c>
      <c r="R6082" s="12" t="n">
        <v>21.2</v>
      </c>
      <c r="S6082" s="12" t="inlineStr">
        <is>
          <t>Duct bank</t>
        </is>
      </c>
      <c r="T6082" s="15" t="n">
        <v>334</v>
      </c>
      <c r="U6082" s="15" t="n">
        <v>32</v>
      </c>
      <c r="V6082" s="15">
        <f>ROUNDUP((T6082+U6082+2*'Read Me'!$B$13)*(1+'Read Me'!$B$12),-1)</f>
        <v/>
      </c>
      <c r="W6082" s="15">
        <f>V6082*N6082*O6082</f>
        <v/>
      </c>
      <c r="X6082" s="12">
        <f>IF(LEFT(I6082,2)="MV",2*N6082*IF(L6082="1/C",O6082,1),0)</f>
        <v/>
      </c>
      <c r="Y6082" s="12">
        <f>IF(OR(LEFT(K6082,4)="LVAX",LEFT(K6082,6)="MV15AX",LEFT(K6082,4)="CTAX",LEFT(K6082,2)="W|"),2*N6082*O6082,0)</f>
        <v/>
      </c>
      <c r="Z6082" s="12" t="inlineStr">
        <is>
          <t>VD 2.4 %</t>
        </is>
      </c>
      <c r="AA6082" s="12">
        <f>N6082*O6082</f>
        <v/>
      </c>
    </row>
    <row r="6083">
      <c r="A6083" s="12" t="inlineStr">
        <is>
          <t>K-P-0006</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21: rectifier transformer 4 (7 MVA)</t>
        </is>
      </c>
      <c r="I6083" s="12" t="inlineStr">
        <is>
          <t>LV 600 V</t>
        </is>
      </c>
      <c r="J6083" s="12" t="inlineStr">
        <is>
          <t>ARMOR-X MC-HL 600 V 3/C Cu XHHW-2 + ground, CWA, black PVC (Class I Div 2)</t>
        </is>
      </c>
      <c r="K6083" s="12" t="inlineStr">
        <is>
          <t>LVAX|3/C+G|8</t>
        </is>
      </c>
      <c r="L6083" s="12" t="inlineStr">
        <is>
          <t>3/C+G</t>
        </is>
      </c>
      <c r="M6083" s="12" t="inlineStr">
        <is>
          <t>8</t>
        </is>
      </c>
      <c r="N6083" s="12" t="n">
        <v>1</v>
      </c>
      <c r="O6083" s="12" t="n">
        <v>1</v>
      </c>
      <c r="P6083" s="12" t="n">
        <v>480</v>
      </c>
      <c r="Q6083" s="12" t="n">
        <v>15</v>
      </c>
      <c r="R6083" s="12" t="n">
        <v>21.2</v>
      </c>
      <c r="S6083" s="12" t="inlineStr">
        <is>
          <t>Duct bank</t>
        </is>
      </c>
      <c r="T6083" s="15" t="n">
        <v>312</v>
      </c>
      <c r="U6083" s="15" t="n">
        <v>32</v>
      </c>
      <c r="V6083" s="15">
        <f>ROUNDUP((T6083+U6083+2*'Read Me'!$B$13)*(1+'Read Me'!$B$12),-1)</f>
        <v/>
      </c>
      <c r="W6083" s="15">
        <f>V6083*N6083*O6083</f>
        <v/>
      </c>
      <c r="X6083" s="12">
        <f>IF(LEFT(I6083,2)="MV",2*N6083*IF(L6083="1/C",O6083,1),0)</f>
        <v/>
      </c>
      <c r="Y6083" s="12">
        <f>IF(OR(LEFT(K6083,4)="LVAX",LEFT(K6083,6)="MV15AX",LEFT(K6083,4)="CTAX",LEFT(K6083,2)="W|"),2*N6083*O6083,0)</f>
        <v/>
      </c>
      <c r="Z6083" s="12" t="inlineStr">
        <is>
          <t>VD 2.2 %</t>
        </is>
      </c>
      <c r="AA6083" s="12">
        <f>N6083*O6083</f>
        <v/>
      </c>
    </row>
    <row r="6084">
      <c r="A6084" s="12" t="inlineStr">
        <is>
          <t>K-P-0007</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21: rectifier transformer 5 (7 MVA)</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254</v>
      </c>
      <c r="U6084" s="15" t="n">
        <v>32</v>
      </c>
      <c r="V6084" s="15">
        <f>ROUNDUP((T6084+U6084+2*'Read Me'!$B$13)*(1+'Read Me'!$B$12),-1)</f>
        <v/>
      </c>
      <c r="W6084" s="15">
        <f>V6084*N6084*O6084</f>
        <v/>
      </c>
      <c r="X6084" s="12">
        <f>IF(LEFT(I6084,2)="MV",2*N6084*IF(L6084="1/C",O6084,1),0)</f>
        <v/>
      </c>
      <c r="Y6084" s="12">
        <f>IF(OR(LEFT(K6084,4)="LVAX",LEFT(K6084,6)="MV15AX",LEFT(K6084,4)="CTAX",LEFT(K6084,2)="W|"),2*N6084*O6084,0)</f>
        <v/>
      </c>
      <c r="Z6084" s="12" t="inlineStr">
        <is>
          <t>VD 2.9 %</t>
        </is>
      </c>
      <c r="AA6084" s="12">
        <f>N6084*O6084</f>
        <v/>
      </c>
    </row>
    <row r="6085">
      <c r="A6085" s="12" t="inlineStr">
        <is>
          <t>K-P-0008</t>
        </is>
      </c>
      <c r="B6085" s="12" t="inlineStr">
        <is>
          <t>K</t>
        </is>
      </c>
      <c r="C6085" s="12" t="inlineStr">
        <is>
          <t>Fuel supply (adjacent market)</t>
        </is>
      </c>
      <c r="D6085" s="12" t="inlineStr">
        <is>
          <t>Motor 1 of 1, 15 kW</t>
        </is>
      </c>
      <c r="E6085" s="12" t="inlineStr"/>
      <c r="F6085" s="12" t="inlineStr">
        <is>
          <t>H2 20: 13.8 kV e-house</t>
        </is>
      </c>
      <c r="G6085" s="12" t="inlineStr">
        <is>
          <t>H2-EL</t>
        </is>
      </c>
      <c r="H6085" s="12" t="inlineStr">
        <is>
          <t>H2 22: electrolyzer building (5 x HyLYZER-1000 + 5 rectifiers)</t>
        </is>
      </c>
      <c r="I6085" s="12" t="inlineStr">
        <is>
          <t>LV 600 V</t>
        </is>
      </c>
      <c r="J6085" s="12" t="inlineStr">
        <is>
          <t>ARMOR-X MC-HL 600 V 3/C Cu XHHW-2 + ground, CWA, black PVC (Class I Div 2)</t>
        </is>
      </c>
      <c r="K6085" s="12" t="inlineStr">
        <is>
          <t>LVAX|3/C+G|8</t>
        </is>
      </c>
      <c r="L6085" s="12" t="inlineStr">
        <is>
          <t>3/C+G</t>
        </is>
      </c>
      <c r="M6085" s="12" t="inlineStr">
        <is>
          <t>8</t>
        </is>
      </c>
      <c r="N6085" s="12" t="n">
        <v>1</v>
      </c>
      <c r="O6085" s="12" t="n">
        <v>1</v>
      </c>
      <c r="P6085" s="12" t="n">
        <v>480</v>
      </c>
      <c r="Q6085" s="12" t="n">
        <v>15</v>
      </c>
      <c r="R6085" s="12" t="n">
        <v>21.2</v>
      </c>
      <c r="S6085" s="12" t="inlineStr">
        <is>
          <t>Duct bank</t>
        </is>
      </c>
      <c r="T6085" s="15" t="n">
        <v>346</v>
      </c>
      <c r="U6085" s="15" t="n">
        <v>32</v>
      </c>
      <c r="V6085" s="15">
        <f>ROUNDUP((T6085+U6085+2*'Read Me'!$B$13)*(1+'Read Me'!$B$12),-1)</f>
        <v/>
      </c>
      <c r="W6085" s="15">
        <f>V6085*N6085*O6085</f>
        <v/>
      </c>
      <c r="X6085" s="12">
        <f>IF(LEFT(I6085,2)="MV",2*N6085*IF(L6085="1/C",O6085,1),0)</f>
        <v/>
      </c>
      <c r="Y6085" s="12">
        <f>IF(OR(LEFT(K6085,4)="LVAX",LEFT(K6085,6)="MV15AX",LEFT(K6085,4)="CTAX",LEFT(K6085,2)="W|"),2*N6085*O6085,0)</f>
        <v/>
      </c>
      <c r="Z6085" s="12" t="inlineStr">
        <is>
          <t>VD 2.4 %</t>
        </is>
      </c>
      <c r="AA6085" s="12">
        <f>N6085*O6085</f>
        <v/>
      </c>
    </row>
    <row r="6086">
      <c r="A6086" s="12" t="inlineStr">
        <is>
          <t>K-P-0009</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23: dry coolers</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100</v>
      </c>
      <c r="U6086" s="15" t="n">
        <v>32</v>
      </c>
      <c r="V6086" s="15">
        <f>ROUNDUP((T6086+U6086+2*'Read Me'!$B$13)*(1+'Read Me'!$B$12),-1)</f>
        <v/>
      </c>
      <c r="W6086" s="15">
        <f>V6086*N6086*O6086</f>
        <v/>
      </c>
      <c r="X6086" s="12">
        <f>IF(LEFT(I6086,2)="MV",2*N6086*IF(L6086="1/C",O6086,1),0)</f>
        <v/>
      </c>
      <c r="Y6086" s="12">
        <f>IF(OR(LEFT(K6086,4)="LVAX",LEFT(K6086,6)="MV15AX",LEFT(K6086,4)="CTAX",LEFT(K6086,2)="W|"),2*N6086*O6086,0)</f>
        <v/>
      </c>
      <c r="Z6086" s="12" t="inlineStr">
        <is>
          <t>VD 1.3 %</t>
        </is>
      </c>
      <c r="AA6086" s="12">
        <f>N6086*O6086</f>
        <v/>
      </c>
    </row>
    <row r="6087">
      <c r="A6087" s="12" t="inlineStr">
        <is>
          <t>K-P-0010</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24: water purification (RO / EDI)</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146</v>
      </c>
      <c r="U6087" s="15" t="n">
        <v>32</v>
      </c>
      <c r="V6087" s="15">
        <f>ROUNDUP((T6087+U6087+2*'Read Me'!$B$13)*(1+'Read Me'!$B$12),-1)</f>
        <v/>
      </c>
      <c r="W6087" s="15">
        <f>V6087*N6087*O6087</f>
        <v/>
      </c>
      <c r="X6087" s="12">
        <f>IF(LEFT(I6087,2)="MV",2*N6087*IF(L6087="1/C",O6087,1),0)</f>
        <v/>
      </c>
      <c r="Y6087" s="12">
        <f>IF(OR(LEFT(K6087,4)="LVAX",LEFT(K6087,6)="MV15AX",LEFT(K6087,4)="CTAX",LEFT(K6087,2)="W|"),2*N6087*O6087,0)</f>
        <v/>
      </c>
      <c r="Z6087" s="12" t="inlineStr">
        <is>
          <t>VD 1.8 %</t>
        </is>
      </c>
      <c r="AA6087" s="12">
        <f>N6087*O6087</f>
        <v/>
      </c>
    </row>
    <row r="6088">
      <c r="A6088" s="12" t="inlineStr">
        <is>
          <t>K-P-0011</t>
        </is>
      </c>
      <c r="B6088" s="12" t="inlineStr">
        <is>
          <t>K</t>
        </is>
      </c>
      <c r="C6088" s="12" t="inlineStr">
        <is>
          <t>Fuel supply (adjacent market)</t>
        </is>
      </c>
      <c r="D6088" s="12" t="inlineStr">
        <is>
          <t>Motor 1 of 1, 15 kW</t>
        </is>
      </c>
      <c r="E6088" s="12" t="inlineStr"/>
      <c r="F6088" s="12" t="inlineStr">
        <is>
          <t>H2 20: 13.8 kV e-house</t>
        </is>
      </c>
      <c r="G6088" s="12" t="inlineStr"/>
      <c r="H6088" s="12" t="inlineStr">
        <is>
          <t>H2 25: H2 dryer / purification</t>
        </is>
      </c>
      <c r="I6088" s="12" t="inlineStr">
        <is>
          <t>LV 600 V</t>
        </is>
      </c>
      <c r="J6088" s="12" t="inlineStr">
        <is>
          <t>ARMOR-X MC-HL 600 V 3/C Cu XHHW-2 + ground, CWA, black PVC (Class I Div 2)</t>
        </is>
      </c>
      <c r="K6088" s="12" t="inlineStr">
        <is>
          <t>LVAX|3/C+G|10</t>
        </is>
      </c>
      <c r="L6088" s="12" t="inlineStr">
        <is>
          <t>3/C+G</t>
        </is>
      </c>
      <c r="M6088" s="12" t="inlineStr">
        <is>
          <t>10</t>
        </is>
      </c>
      <c r="N6088" s="12" t="n">
        <v>1</v>
      </c>
      <c r="O6088" s="12" t="n">
        <v>1</v>
      </c>
      <c r="P6088" s="12" t="n">
        <v>480</v>
      </c>
      <c r="Q6088" s="12" t="n">
        <v>15</v>
      </c>
      <c r="R6088" s="12" t="n">
        <v>21.2</v>
      </c>
      <c r="S6088" s="12" t="inlineStr">
        <is>
          <t>Duct bank</t>
        </is>
      </c>
      <c r="T6088" s="15" t="n">
        <v>0</v>
      </c>
      <c r="U6088" s="15" t="n">
        <v>49</v>
      </c>
      <c r="V6088" s="15">
        <f>ROUNDUP((T6088+U6088+2*'Read Me'!$B$13)*(1+'Read Me'!$B$12),-1)</f>
        <v/>
      </c>
      <c r="W6088" s="15">
        <f>V6088*N6088*O6088</f>
        <v/>
      </c>
      <c r="X6088" s="12">
        <f>IF(LEFT(I6088,2)="MV",2*N6088*IF(L6088="1/C",O6088,1),0)</f>
        <v/>
      </c>
      <c r="Y6088" s="12">
        <f>IF(OR(LEFT(K6088,4)="LVAX",LEFT(K6088,6)="MV15AX",LEFT(K6088,4)="CTAX",LEFT(K6088,2)="W|"),2*N6088*O6088,0)</f>
        <v/>
      </c>
      <c r="Z6088" s="12" t="inlineStr">
        <is>
          <t>VD 0.5 %</t>
        </is>
      </c>
      <c r="AA6088" s="12">
        <f>N6088*O6088</f>
        <v/>
      </c>
    </row>
    <row r="6089">
      <c r="A6089" s="12" t="inlineStr">
        <is>
          <t>K-P-0012</t>
        </is>
      </c>
      <c r="B6089" s="12" t="inlineStr">
        <is>
          <t>K</t>
        </is>
      </c>
      <c r="C6089" s="12" t="inlineStr">
        <is>
          <t>Fuel supply (adjacent market)</t>
        </is>
      </c>
      <c r="D6089" s="12" t="inlineStr">
        <is>
          <t>Motor 1 of 1, 15 kW</t>
        </is>
      </c>
      <c r="E6089" s="12" t="inlineStr"/>
      <c r="F6089" s="12" t="inlineStr">
        <is>
          <t>H2 20: 13.8 kV e-house</t>
        </is>
      </c>
      <c r="G6089" s="12" t="inlineStr"/>
      <c r="H6089" s="12" t="inlineStr">
        <is>
          <t>H2 26: H2 compressor 1 (40 ft ISO)</t>
        </is>
      </c>
      <c r="I6089" s="12" t="inlineStr">
        <is>
          <t>LV 600 V</t>
        </is>
      </c>
      <c r="J6089" s="12" t="inlineStr">
        <is>
          <t>ARMOR-X MC-HL 600 V 3/C Cu XHHW-2 + ground, CWA, black PVC (Class I Div 2)</t>
        </is>
      </c>
      <c r="K6089" s="12" t="inlineStr">
        <is>
          <t>LVAX|3/C+G|10</t>
        </is>
      </c>
      <c r="L6089" s="12" t="inlineStr">
        <is>
          <t>3/C+G</t>
        </is>
      </c>
      <c r="M6089" s="12" t="inlineStr">
        <is>
          <t>10</t>
        </is>
      </c>
      <c r="N6089" s="12" t="n">
        <v>1</v>
      </c>
      <c r="O6089" s="12" t="n">
        <v>1</v>
      </c>
      <c r="P6089" s="12" t="n">
        <v>480</v>
      </c>
      <c r="Q6089" s="12" t="n">
        <v>15</v>
      </c>
      <c r="R6089" s="12" t="n">
        <v>21.2</v>
      </c>
      <c r="S6089" s="12" t="inlineStr">
        <is>
          <t>Duct bank</t>
        </is>
      </c>
      <c r="T6089" s="15" t="n">
        <v>50</v>
      </c>
      <c r="U6089" s="15" t="n">
        <v>32</v>
      </c>
      <c r="V6089" s="15">
        <f>ROUNDUP((T6089+U6089+2*'Read Me'!$B$13)*(1+'Read Me'!$B$12),-1)</f>
        <v/>
      </c>
      <c r="W6089" s="15">
        <f>V6089*N6089*O6089</f>
        <v/>
      </c>
      <c r="X6089" s="12">
        <f>IF(LEFT(I6089,2)="MV",2*N6089*IF(L6089="1/C",O6089,1),0)</f>
        <v/>
      </c>
      <c r="Y6089" s="12">
        <f>IF(OR(LEFT(K6089,4)="LVAX",LEFT(K6089,6)="MV15AX",LEFT(K6089,4)="CTAX",LEFT(K6089,2)="W|"),2*N6089*O6089,0)</f>
        <v/>
      </c>
      <c r="Z6089" s="12" t="inlineStr">
        <is>
          <t>VD 0.8 %</t>
        </is>
      </c>
      <c r="AA6089" s="12">
        <f>N6089*O6089</f>
        <v/>
      </c>
    </row>
    <row r="6090">
      <c r="A6090" s="12" t="inlineStr">
        <is>
          <t>K-P-0013</t>
        </is>
      </c>
      <c r="B6090" s="12" t="inlineStr">
        <is>
          <t>K</t>
        </is>
      </c>
      <c r="C6090" s="12" t="inlineStr">
        <is>
          <t>Fuel supply (adjacent market)</t>
        </is>
      </c>
      <c r="D6090" s="12" t="inlineStr">
        <is>
          <t>Motor 1 of 1, 15 kW</t>
        </is>
      </c>
      <c r="E6090" s="12" t="inlineStr"/>
      <c r="F6090" s="12" t="inlineStr">
        <is>
          <t>H2 20: 13.8 kV e-house</t>
        </is>
      </c>
      <c r="G6090" s="12" t="inlineStr"/>
      <c r="H6090" s="12" t="inlineStr">
        <is>
          <t>H2 26: H2 compressor 2 (40 ft ISO)</t>
        </is>
      </c>
      <c r="I6090" s="12" t="inlineStr">
        <is>
          <t>LV 600 V</t>
        </is>
      </c>
      <c r="J6090" s="12" t="inlineStr">
        <is>
          <t>ARMOR-X MC-HL 600 V 3/C Cu XHHW-2 + ground, CWA, black PVC (Class I Div 2)</t>
        </is>
      </c>
      <c r="K6090" s="12" t="inlineStr">
        <is>
          <t>LVAX|3/C+G|10</t>
        </is>
      </c>
      <c r="L6090" s="12" t="inlineStr">
        <is>
          <t>3/C+G</t>
        </is>
      </c>
      <c r="M6090" s="12" t="inlineStr">
        <is>
          <t>10</t>
        </is>
      </c>
      <c r="N6090" s="12" t="n">
        <v>1</v>
      </c>
      <c r="O6090" s="12" t="n">
        <v>1</v>
      </c>
      <c r="P6090" s="12" t="n">
        <v>480</v>
      </c>
      <c r="Q6090" s="12" t="n">
        <v>15</v>
      </c>
      <c r="R6090" s="12" t="n">
        <v>21.2</v>
      </c>
      <c r="S6090" s="12" t="inlineStr">
        <is>
          <t>Duct bank</t>
        </is>
      </c>
      <c r="T6090" s="15" t="n">
        <v>50</v>
      </c>
      <c r="U6090" s="15" t="n">
        <v>47</v>
      </c>
      <c r="V6090" s="15">
        <f>ROUNDUP((T6090+U6090+2*'Read Me'!$B$13)*(1+'Read Me'!$B$12),-1)</f>
        <v/>
      </c>
      <c r="W6090" s="15">
        <f>V6090*N6090*O6090</f>
        <v/>
      </c>
      <c r="X6090" s="12">
        <f>IF(LEFT(I6090,2)="MV",2*N6090*IF(L6090="1/C",O6090,1),0)</f>
        <v/>
      </c>
      <c r="Y6090" s="12">
        <f>IF(OR(LEFT(K6090,4)="LVAX",LEFT(K6090,6)="MV15AX",LEFT(K6090,4)="CTAX",LEFT(K6090,2)="W|"),2*N6090*O6090,0)</f>
        <v/>
      </c>
      <c r="Z6090" s="12" t="inlineStr">
        <is>
          <t>VD 1.0 %</t>
        </is>
      </c>
      <c r="AA6090" s="12">
        <f>N6090*O6090</f>
        <v/>
      </c>
    </row>
    <row r="6091">
      <c r="A6091" s="12" t="inlineStr">
        <is>
          <t>K-P-0014</t>
        </is>
      </c>
      <c r="B6091" s="12" t="inlineStr">
        <is>
          <t>K</t>
        </is>
      </c>
      <c r="C6091" s="12" t="inlineStr">
        <is>
          <t>Fuel supply (adjacent market)</t>
        </is>
      </c>
      <c r="D6091" s="12" t="inlineStr">
        <is>
          <t>Motor 1 of 1, 15 kW</t>
        </is>
      </c>
      <c r="E6091" s="12" t="inlineStr"/>
      <c r="F6091" s="12" t="inlineStr">
        <is>
          <t>H2 20: 13.8 kV e-house</t>
        </is>
      </c>
      <c r="G6091" s="12" t="inlineStr"/>
      <c r="H6091" s="12" t="inlineStr">
        <is>
          <t>H2 27: storage tube bank (~40 ft tubes)</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97</v>
      </c>
      <c r="V6091" s="15">
        <f>ROUNDUP((T6091+U6091+2*'Read Me'!$B$13)*(1+'Read Me'!$B$12),-1)</f>
        <v/>
      </c>
      <c r="W6091" s="15">
        <f>V6091*N6091*O6091</f>
        <v/>
      </c>
      <c r="X6091" s="12">
        <f>IF(LEFT(I6091,2)="MV",2*N6091*IF(L6091="1/C",O6091,1),0)</f>
        <v/>
      </c>
      <c r="Y6091" s="12">
        <f>IF(OR(LEFT(K6091,4)="LVAX",LEFT(K6091,6)="MV15AX",LEFT(K6091,4)="CTAX",LEFT(K6091,2)="W|"),2*N6091*O6091,0)</f>
        <v/>
      </c>
      <c r="Z6091" s="12" t="inlineStr">
        <is>
          <t>VD 1.5 %</t>
        </is>
      </c>
      <c r="AA6091" s="12">
        <f>N6091*O6091</f>
        <v/>
      </c>
    </row>
    <row r="6092">
      <c r="A6092" s="12" t="inlineStr">
        <is>
          <t>K-P-0015</t>
        </is>
      </c>
      <c r="B6092" s="12" t="inlineStr">
        <is>
          <t>K</t>
        </is>
      </c>
      <c r="C6092" s="12" t="inlineStr">
        <is>
          <t>Fuel supply (adjacent market)</t>
        </is>
      </c>
      <c r="D6092" s="12" t="inlineStr">
        <is>
          <t>Motor 1 of 1, 15 kW</t>
        </is>
      </c>
      <c r="E6092" s="12" t="inlineStr"/>
      <c r="F6092" s="12" t="inlineStr">
        <is>
          <t>H2 20: 13.8 kV e-house</t>
        </is>
      </c>
      <c r="G6092" s="12" t="inlineStr"/>
      <c r="H6092" s="12" t="inlineStr">
        <is>
          <t>H2 27: storage tube bank (~40 ft tubes)</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50</v>
      </c>
      <c r="U6092" s="15" t="n">
        <v>117</v>
      </c>
      <c r="V6092" s="15">
        <f>ROUNDUP((T6092+U6092+2*'Read Me'!$B$13)*(1+'Read Me'!$B$12),-1)</f>
        <v/>
      </c>
      <c r="W6092" s="15">
        <f>V6092*N6092*O6092</f>
        <v/>
      </c>
      <c r="X6092" s="12">
        <f>IF(LEFT(I6092,2)="MV",2*N6092*IF(L6092="1/C",O6092,1),0)</f>
        <v/>
      </c>
      <c r="Y6092" s="12">
        <f>IF(OR(LEFT(K6092,4)="LVAX",LEFT(K6092,6)="MV15AX",LEFT(K6092,4)="CTAX",LEFT(K6092,2)="W|"),2*N6092*O6092,0)</f>
        <v/>
      </c>
      <c r="Z6092" s="12" t="inlineStr">
        <is>
          <t>VD 1.7 %</t>
        </is>
      </c>
      <c r="AA6092" s="12">
        <f>N6092*O6092</f>
        <v/>
      </c>
    </row>
    <row r="6093">
      <c r="A6093" s="12" t="inlineStr">
        <is>
          <t>K-P-0016</t>
        </is>
      </c>
      <c r="B6093" s="12" t="inlineStr">
        <is>
          <t>K</t>
        </is>
      </c>
      <c r="C6093" s="12" t="inlineStr">
        <is>
          <t>Fuel supply (adjacent market)</t>
        </is>
      </c>
      <c r="D6093" s="12" t="inlineStr">
        <is>
          <t>Motor 1 of 1, 15 kW</t>
        </is>
      </c>
      <c r="E6093" s="12" t="inlineStr"/>
      <c r="F6093" s="12" t="inlineStr">
        <is>
          <t>H2 20: 13.8 kV e-house</t>
        </is>
      </c>
      <c r="G6093" s="12" t="inlineStr"/>
      <c r="H6093" s="12" t="inlineStr">
        <is>
          <t>H2 27: storage tube bank (~40 ft tubes)</t>
        </is>
      </c>
      <c r="I6093" s="12" t="inlineStr">
        <is>
          <t>LV 600 V</t>
        </is>
      </c>
      <c r="J6093" s="12" t="inlineStr">
        <is>
          <t>ARMOR-X MC-HL 600 V 3/C Cu XHHW-2 + ground, CWA, black PVC (Class I Div 2)</t>
        </is>
      </c>
      <c r="K6093" s="12" t="inlineStr">
        <is>
          <t>LVAX|3/C+G|10</t>
        </is>
      </c>
      <c r="L6093" s="12" t="inlineStr">
        <is>
          <t>3/C+G</t>
        </is>
      </c>
      <c r="M6093" s="12" t="inlineStr">
        <is>
          <t>10</t>
        </is>
      </c>
      <c r="N6093" s="12" t="n">
        <v>1</v>
      </c>
      <c r="O6093" s="12" t="n">
        <v>1</v>
      </c>
      <c r="P6093" s="12" t="n">
        <v>480</v>
      </c>
      <c r="Q6093" s="12" t="n">
        <v>15</v>
      </c>
      <c r="R6093" s="12" t="n">
        <v>21.2</v>
      </c>
      <c r="S6093" s="12" t="inlineStr">
        <is>
          <t>Duct bank</t>
        </is>
      </c>
      <c r="T6093" s="15" t="n">
        <v>50</v>
      </c>
      <c r="U6093" s="15" t="n">
        <v>97</v>
      </c>
      <c r="V6093" s="15">
        <f>ROUNDUP((T6093+U6093+2*'Read Me'!$B$13)*(1+'Read Me'!$B$12),-1)</f>
        <v/>
      </c>
      <c r="W6093" s="15">
        <f>V6093*N6093*O6093</f>
        <v/>
      </c>
      <c r="X6093" s="12">
        <f>IF(LEFT(I6093,2)="MV",2*N6093*IF(L6093="1/C",O6093,1),0)</f>
        <v/>
      </c>
      <c r="Y6093" s="12">
        <f>IF(OR(LEFT(K6093,4)="LVAX",LEFT(K6093,6)="MV15AX",LEFT(K6093,4)="CTAX",LEFT(K6093,2)="W|"),2*N6093*O6093,0)</f>
        <v/>
      </c>
      <c r="Z6093" s="12" t="inlineStr">
        <is>
          <t>VD 1.5 %</t>
        </is>
      </c>
      <c r="AA6093" s="12">
        <f>N6093*O6093</f>
        <v/>
      </c>
    </row>
    <row r="6094">
      <c r="A6094" s="12" t="inlineStr">
        <is>
          <t>K-P-0017</t>
        </is>
      </c>
      <c r="B6094" s="12" t="inlineStr">
        <is>
          <t>K</t>
        </is>
      </c>
      <c r="C6094" s="12" t="inlineStr">
        <is>
          <t>Fuel supply (adjacent market)</t>
        </is>
      </c>
      <c r="D6094" s="12" t="inlineStr">
        <is>
          <t>Motor 1 of 1, 15 kW</t>
        </is>
      </c>
      <c r="E6094" s="12" t="inlineStr"/>
      <c r="F6094" s="12" t="inlineStr">
        <is>
          <t>H2 20: 13.8 kV e-house</t>
        </is>
      </c>
      <c r="G6094" s="12" t="inlineStr"/>
      <c r="H6094" s="12" t="inlineStr">
        <is>
          <t>H2 27: storage tube bank (~40 ft tubes)</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50</v>
      </c>
      <c r="U6094" s="15" t="n">
        <v>117</v>
      </c>
      <c r="V6094" s="15">
        <f>ROUNDUP((T6094+U6094+2*'Read Me'!$B$13)*(1+'Read Me'!$B$12),-1)</f>
        <v/>
      </c>
      <c r="W6094" s="15">
        <f>V6094*N6094*O6094</f>
        <v/>
      </c>
      <c r="X6094" s="12">
        <f>IF(LEFT(I6094,2)="MV",2*N6094*IF(L6094="1/C",O6094,1),0)</f>
        <v/>
      </c>
      <c r="Y6094" s="12">
        <f>IF(OR(LEFT(K6094,4)="LVAX",LEFT(K6094,6)="MV15AX",LEFT(K6094,4)="CTAX",LEFT(K6094,2)="W|"),2*N6094*O6094,0)</f>
        <v/>
      </c>
      <c r="Z6094" s="12" t="inlineStr">
        <is>
          <t>VD 1.7 %</t>
        </is>
      </c>
      <c r="AA6094" s="12">
        <f>N6094*O6094</f>
        <v/>
      </c>
    </row>
    <row r="6095">
      <c r="A6095" s="12" t="inlineStr">
        <is>
          <t>K-P-0018</t>
        </is>
      </c>
      <c r="B6095" s="12" t="inlineStr">
        <is>
          <t>K</t>
        </is>
      </c>
      <c r="C6095" s="12" t="inlineStr">
        <is>
          <t>Fuel supply (adjacent market)</t>
        </is>
      </c>
      <c r="D6095" s="12" t="inlineStr">
        <is>
          <t>Motor 1 of 1, 15 kW</t>
        </is>
      </c>
      <c r="E6095" s="12" t="inlineStr"/>
      <c r="F6095" s="12" t="inlineStr">
        <is>
          <t>H2 20: 13.8 kV e-house</t>
        </is>
      </c>
      <c r="G6095" s="12" t="inlineStr"/>
      <c r="H6095" s="12" t="inlineStr">
        <is>
          <t>H2 28: N2 purge supply</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53</v>
      </c>
      <c r="U6095" s="15" t="n">
        <v>36</v>
      </c>
      <c r="V6095" s="15">
        <f>ROUNDUP((T6095+U6095+2*'Read Me'!$B$13)*(1+'Read Me'!$B$12),-1)</f>
        <v/>
      </c>
      <c r="W6095" s="15">
        <f>V6095*N6095*O6095</f>
        <v/>
      </c>
      <c r="X6095" s="12">
        <f>IF(LEFT(I6095,2)="MV",2*N6095*IF(L6095="1/C",O6095,1),0)</f>
        <v/>
      </c>
      <c r="Y6095" s="12">
        <f>IF(OR(LEFT(K6095,4)="LVAX",LEFT(K6095,6)="MV15AX",LEFT(K6095,4)="CTAX",LEFT(K6095,2)="W|"),2*N6095*O6095,0)</f>
        <v/>
      </c>
      <c r="Z6095" s="12" t="inlineStr">
        <is>
          <t>VD 0.9 %</t>
        </is>
      </c>
      <c r="AA6095" s="12">
        <f>N6095*O6095</f>
        <v/>
      </c>
    </row>
    <row r="6096">
      <c r="A6096" s="12" t="inlineStr">
        <is>
          <t>K-P-0019</t>
        </is>
      </c>
      <c r="B6096" s="12" t="inlineStr">
        <is>
          <t>K</t>
        </is>
      </c>
      <c r="C6096" s="12" t="inlineStr">
        <is>
          <t>Fuel supply (adjacent market)</t>
        </is>
      </c>
      <c r="D6096" s="12" t="inlineStr">
        <is>
          <t>Motor 1 of 1, 15 kW</t>
        </is>
      </c>
      <c r="E6096" s="12" t="inlineStr"/>
      <c r="F6096" s="12" t="inlineStr">
        <is>
          <t>H2 20: 13.8 kV e-house</t>
        </is>
      </c>
      <c r="G6096" s="12" t="inlineStr"/>
      <c r="H6096" s="12" t="inlineStr">
        <is>
          <t>H2 29: vent stack</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Duct bank</t>
        </is>
      </c>
      <c r="T6096" s="15" t="n">
        <v>55</v>
      </c>
      <c r="U6096" s="15" t="n">
        <v>205</v>
      </c>
      <c r="V6096" s="15">
        <f>ROUNDUP((T6096+U6096+2*'Read Me'!$B$13)*(1+'Read Me'!$B$12),-1)</f>
        <v/>
      </c>
      <c r="W6096" s="15">
        <f>V6096*N6096*O6096</f>
        <v/>
      </c>
      <c r="X6096" s="12">
        <f>IF(LEFT(I6096,2)="MV",2*N6096*IF(L6096="1/C",O6096,1),0)</f>
        <v/>
      </c>
      <c r="Y6096" s="12">
        <f>IF(OR(LEFT(K6096,4)="LVAX",LEFT(K6096,6)="MV15AX",LEFT(K6096,4)="CTAX",LEFT(K6096,2)="W|"),2*N6096*O6096,0)</f>
        <v/>
      </c>
      <c r="Z6096" s="12" t="inlineStr">
        <is>
          <t>VD 2.7 %</t>
        </is>
      </c>
      <c r="AA6096" s="12">
        <f>N6096*O6096</f>
        <v/>
      </c>
    </row>
    <row r="6097">
      <c r="A6097" s="12" t="inlineStr">
        <is>
          <t>K-P-0020</t>
        </is>
      </c>
      <c r="B6097" s="12" t="inlineStr">
        <is>
          <t>K</t>
        </is>
      </c>
      <c r="C6097" s="12" t="inlineStr">
        <is>
          <t>Fuel supply (adjacent market)</t>
        </is>
      </c>
      <c r="D6097" s="12" t="inlineStr">
        <is>
          <t>Motor 1 of 1, 15 kW</t>
        </is>
      </c>
      <c r="E6097" s="12" t="inlineStr"/>
      <c r="F6097" s="12" t="inlineStr">
        <is>
          <t>LNG 17: LNG e-house (13.8 kV / 480 V)</t>
        </is>
      </c>
      <c r="G6097" s="12" t="inlineStr"/>
      <c r="H6097" s="12" t="inlineStr">
        <is>
          <t>H2 30: H2 / gas blending station (plant gas yard)</t>
        </is>
      </c>
      <c r="I6097" s="12" t="inlineStr">
        <is>
          <t>LV 600 V</t>
        </is>
      </c>
      <c r="J6097" s="12" t="inlineStr">
        <is>
          <t>ARMOR-X MC-HL 600 V 3/C Cu XHHW-2 + ground, CWA, black PVC (Class I Div 2)</t>
        </is>
      </c>
      <c r="K6097" s="12" t="inlineStr">
        <is>
          <t>LVAX|3/C+G|4</t>
        </is>
      </c>
      <c r="L6097" s="12" t="inlineStr">
        <is>
          <t>3/C+G</t>
        </is>
      </c>
      <c r="M6097" s="12" t="inlineStr">
        <is>
          <t>4</t>
        </is>
      </c>
      <c r="N6097" s="12" t="n">
        <v>1</v>
      </c>
      <c r="O6097" s="12" t="n">
        <v>1</v>
      </c>
      <c r="P6097" s="12" t="n">
        <v>480</v>
      </c>
      <c r="Q6097" s="12" t="n">
        <v>15</v>
      </c>
      <c r="R6097" s="12" t="n">
        <v>21.2</v>
      </c>
      <c r="S6097" s="12" t="inlineStr">
        <is>
          <t>Duct bank</t>
        </is>
      </c>
      <c r="T6097" s="15" t="n">
        <v>994</v>
      </c>
      <c r="U6097" s="15" t="n">
        <v>114</v>
      </c>
      <c r="V6097" s="15">
        <f>ROUNDUP((T6097+U6097+2*'Read Me'!$B$13)*(1+'Read Me'!$B$12),-1)</f>
        <v/>
      </c>
      <c r="W6097" s="15">
        <f>V6097*N6097*O6097</f>
        <v/>
      </c>
      <c r="X6097" s="12">
        <f>IF(LEFT(I6097,2)="MV",2*N6097*IF(L6097="1/C",O6097,1),0)</f>
        <v/>
      </c>
      <c r="Y6097" s="12">
        <f>IF(OR(LEFT(K6097,4)="LVAX",LEFT(K6097,6)="MV15AX",LEFT(K6097,4)="CTAX",LEFT(K6097,2)="W|"),2*N6097*O6097,0)</f>
        <v/>
      </c>
      <c r="Z6097" s="12" t="inlineStr">
        <is>
          <t>VD 2.9 %</t>
        </is>
      </c>
      <c r="AA6097" s="12">
        <f>N6097*O6097</f>
        <v/>
      </c>
    </row>
    <row r="6098">
      <c r="A6098" s="12" t="inlineStr">
        <is>
          <t>K-P-0021</t>
        </is>
      </c>
      <c r="B6098" s="12" t="inlineStr">
        <is>
          <t>K</t>
        </is>
      </c>
      <c r="C6098" s="12" t="inlineStr">
        <is>
          <t>Fuel supply (adjacent market)</t>
        </is>
      </c>
      <c r="D6098" s="12" t="inlineStr">
        <is>
          <t>Motor 1 of 2, 250 kW</t>
        </is>
      </c>
      <c r="E6098" s="12" t="inlineStr"/>
      <c r="F6098" s="12" t="inlineStr">
        <is>
          <t>H2 20: 13.8 kV e-house</t>
        </is>
      </c>
      <c r="G6098" s="12" t="inlineStr"/>
      <c r="H6098" s="12" t="inlineStr">
        <is>
          <t>H2 pipe track and cable trench, hall -&gt; dryer / compressors (N2, instr</t>
        </is>
      </c>
      <c r="I6098" s="12" t="inlineStr">
        <is>
          <t>LV 600 V</t>
        </is>
      </c>
      <c r="J6098" s="12" t="inlineStr">
        <is>
          <t>ARMOR-X MC-HL 600 V 3/C Cu XHHW-2 + ground, CWA, black PVC (Class I Div 2)</t>
        </is>
      </c>
      <c r="K6098" s="12" t="inlineStr">
        <is>
          <t>LVAX|3/C+G|4/0</t>
        </is>
      </c>
      <c r="L6098" s="12" t="inlineStr">
        <is>
          <t>3/C+G</t>
        </is>
      </c>
      <c r="M6098" s="12" t="inlineStr">
        <is>
          <t>4/0</t>
        </is>
      </c>
      <c r="N6098" s="12" t="n">
        <v>2</v>
      </c>
      <c r="O6098" s="12" t="n">
        <v>1</v>
      </c>
      <c r="P6098" s="12" t="n">
        <v>480</v>
      </c>
      <c r="Q6098" s="12" t="n">
        <v>250</v>
      </c>
      <c r="R6098" s="12" t="n">
        <v>353.8</v>
      </c>
      <c r="S6098" s="12" t="inlineStr">
        <is>
          <t>Duct bank</t>
        </is>
      </c>
      <c r="T6098" s="15" t="n">
        <v>53</v>
      </c>
      <c r="U6098" s="15" t="n">
        <v>62</v>
      </c>
      <c r="V6098" s="15">
        <f>ROUNDUP((T6098+U6098+2*'Read Me'!$B$13)*(1+'Read Me'!$B$12),-1)</f>
        <v/>
      </c>
      <c r="W6098" s="15">
        <f>V6098*N6098*O6098</f>
        <v/>
      </c>
      <c r="X6098" s="12">
        <f>IF(LEFT(I6098,2)="MV",2*N6098*IF(L6098="1/C",O6098,1),0)</f>
        <v/>
      </c>
      <c r="Y6098" s="12">
        <f>IF(OR(LEFT(K6098,4)="LVAX",LEFT(K6098,6)="MV15AX",LEFT(K6098,4)="CTAX",LEFT(K6098,2)="W|"),2*N6098*O6098,0)</f>
        <v/>
      </c>
      <c r="Z6098" s="12" t="inlineStr">
        <is>
          <t>VD 0.5 %</t>
        </is>
      </c>
      <c r="AA6098" s="12">
        <f>N6098*O6098</f>
        <v/>
      </c>
    </row>
    <row r="6099">
      <c r="A6099" s="12" t="inlineStr">
        <is>
          <t>K-P-0022</t>
        </is>
      </c>
      <c r="B6099" s="12" t="inlineStr">
        <is>
          <t>K</t>
        </is>
      </c>
      <c r="C6099" s="12" t="inlineStr">
        <is>
          <t>Fuel supply (adjacent market)</t>
        </is>
      </c>
      <c r="D6099" s="12" t="inlineStr">
        <is>
          <t>Motor 2 of 2, 250 kW</t>
        </is>
      </c>
      <c r="E6099" s="12" t="inlineStr"/>
      <c r="F6099" s="12" t="inlineStr">
        <is>
          <t>H2 20: 13.8 kV e-house</t>
        </is>
      </c>
      <c r="G6099" s="12" t="inlineStr"/>
      <c r="H6099" s="12" t="inlineStr">
        <is>
          <t>H2 pipe track and cable trench, hall -&gt; dryer / compressors (N2, instr</t>
        </is>
      </c>
      <c r="I6099" s="12" t="inlineStr">
        <is>
          <t>LV 600 V</t>
        </is>
      </c>
      <c r="J6099" s="12" t="inlineStr">
        <is>
          <t>ARMOR-X MC-HL 600 V 3/C Cu XHHW-2 + ground, CWA, black PVC (Class I Div 2)</t>
        </is>
      </c>
      <c r="K6099" s="12" t="inlineStr">
        <is>
          <t>LVAX|3/C+G|4/0</t>
        </is>
      </c>
      <c r="L6099" s="12" t="inlineStr">
        <is>
          <t>3/C+G</t>
        </is>
      </c>
      <c r="M6099" s="12" t="inlineStr">
        <is>
          <t>4/0</t>
        </is>
      </c>
      <c r="N6099" s="12" t="n">
        <v>2</v>
      </c>
      <c r="O6099" s="12" t="n">
        <v>1</v>
      </c>
      <c r="P6099" s="12" t="n">
        <v>480</v>
      </c>
      <c r="Q6099" s="12" t="n">
        <v>250</v>
      </c>
      <c r="R6099" s="12" t="n">
        <v>353.8</v>
      </c>
      <c r="S6099" s="12" t="inlineStr">
        <is>
          <t>Duct bank</t>
        </is>
      </c>
      <c r="T6099" s="15" t="n">
        <v>53</v>
      </c>
      <c r="U6099" s="15" t="n">
        <v>62</v>
      </c>
      <c r="V6099" s="15">
        <f>ROUNDUP((T6099+U6099+2*'Read Me'!$B$13)*(1+'Read Me'!$B$12),-1)</f>
        <v/>
      </c>
      <c r="W6099" s="15">
        <f>V6099*N6099*O6099</f>
        <v/>
      </c>
      <c r="X6099" s="12">
        <f>IF(LEFT(I6099,2)="MV",2*N6099*IF(L6099="1/C",O6099,1),0)</f>
        <v/>
      </c>
      <c r="Y6099" s="12">
        <f>IF(OR(LEFT(K6099,4)="LVAX",LEFT(K6099,6)="MV15AX",LEFT(K6099,4)="CTAX",LEFT(K6099,2)="W|"),2*N6099*O6099,0)</f>
        <v/>
      </c>
      <c r="Z6099" s="12" t="inlineStr">
        <is>
          <t>VD 0.5 %</t>
        </is>
      </c>
      <c r="AA6099" s="12">
        <f>N6099*O6099</f>
        <v/>
      </c>
    </row>
    <row r="6100">
      <c r="A6100" s="12" t="inlineStr">
        <is>
          <t>K-P-0023</t>
        </is>
      </c>
      <c r="B6100" s="12" t="inlineStr">
        <is>
          <t>K</t>
        </is>
      </c>
      <c r="C6100" s="12" t="inlineStr">
        <is>
          <t>Fuel supply (adjacent market)</t>
        </is>
      </c>
      <c r="D6100" s="12" t="inlineStr">
        <is>
          <t>LV power feeder</t>
        </is>
      </c>
      <c r="E6100" s="12" t="inlineStr"/>
      <c r="F6100" s="12" t="inlineStr">
        <is>
          <t>H2 20: 13.8 kV e-house</t>
        </is>
      </c>
      <c r="G6100" s="12" t="inlineStr">
        <is>
          <t>H2-ST</t>
        </is>
      </c>
      <c r="H6100" s="12" t="inlineStr">
        <is>
          <t>H2 storage tube banks x4</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15</v>
      </c>
      <c r="R6100" s="12" t="n">
        <v>21.2</v>
      </c>
      <c r="S6100" s="12" t="inlineStr">
        <is>
          <t>Duct bank</t>
        </is>
      </c>
      <c r="T6100" s="15" t="n">
        <v>50</v>
      </c>
      <c r="U6100" s="15" t="n">
        <v>92</v>
      </c>
      <c r="V6100" s="15">
        <f>ROUNDUP((T6100+U6100+2*'Read Me'!$B$13)*(1+'Read Me'!$B$12),-1)</f>
        <v/>
      </c>
      <c r="W6100" s="15">
        <f>V6100*N6100*O6100</f>
        <v/>
      </c>
      <c r="X6100" s="12">
        <f>IF(LEFT(I6100,2)="MV",2*N6100*IF(L6100="1/C",O6100,1),0)</f>
        <v/>
      </c>
      <c r="Y6100" s="12">
        <f>IF(OR(LEFT(K6100,4)="LVAX",LEFT(K6100,6)="MV15AX",LEFT(K6100,4)="CTAX",LEFT(K6100,2)="W|"),2*N6100*O6100,0)</f>
        <v/>
      </c>
      <c r="Z6100" s="12" t="inlineStr">
        <is>
          <t>VD 1.4 %</t>
        </is>
      </c>
      <c r="AA6100" s="12">
        <f>N6100*O6100</f>
        <v/>
      </c>
    </row>
    <row r="6101">
      <c r="A6101" s="12" t="inlineStr">
        <is>
          <t>K-P-0024</t>
        </is>
      </c>
      <c r="B6101" s="12" t="inlineStr">
        <is>
          <t>K</t>
        </is>
      </c>
      <c r="C6101" s="12" t="inlineStr">
        <is>
          <t>Fuel supply (adjacent market)</t>
        </is>
      </c>
      <c r="D6101" s="12" t="inlineStr">
        <is>
          <t>LV power feeder</t>
        </is>
      </c>
      <c r="E6101" s="12" t="inlineStr"/>
      <c r="F6101" s="12" t="inlineStr">
        <is>
          <t>H2 20: 13.8 kV e-house</t>
        </is>
      </c>
      <c r="G6101" s="12" t="inlineStr">
        <is>
          <t>H2R</t>
        </is>
      </c>
      <c r="H6101" s="12" t="inlineStr">
        <is>
          <t>H2R: hydrogen pipeline receiving station (pig receiver, filters, meter</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15</v>
      </c>
      <c r="R6101" s="12" t="n">
        <v>21.2</v>
      </c>
      <c r="S6101" s="12" t="inlineStr">
        <is>
          <t>Duct bank</t>
        </is>
      </c>
      <c r="T6101" s="15" t="n">
        <v>40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0.7 %</t>
        </is>
      </c>
      <c r="AA6101" s="12">
        <f>N6101*O6101</f>
        <v/>
      </c>
    </row>
    <row r="6102">
      <c r="A6102" s="12" t="inlineStr">
        <is>
          <t>K-P-0025</t>
        </is>
      </c>
      <c r="B6102" s="12" t="inlineStr">
        <is>
          <t>K</t>
        </is>
      </c>
      <c r="C6102" s="12" t="inlineStr">
        <is>
          <t>Fuel supply (adjacent market)</t>
        </is>
      </c>
      <c r="D6102" s="12" t="inlineStr">
        <is>
          <t>Motor 1 of 1, 15 kW</t>
        </is>
      </c>
      <c r="E6102" s="12" t="inlineStr"/>
      <c r="F6102" s="12" t="inlineStr">
        <is>
          <t>LNG 17: LNG e-house (13.8 kV / 480 V)</t>
        </is>
      </c>
      <c r="G6102" s="12" t="inlineStr"/>
      <c r="H6102" s="12" t="inlineStr">
        <is>
          <t>LNG 10: truck unloading bay 1</t>
        </is>
      </c>
      <c r="I6102" s="12" t="inlineStr">
        <is>
          <t>LV 600 V</t>
        </is>
      </c>
      <c r="J6102" s="12" t="inlineStr">
        <is>
          <t>ARMOR-X MC-HL 600 V 3/C Cu XHHW-2 + ground, CWA, black PVC (Class I Div 2)</t>
        </is>
      </c>
      <c r="K6102" s="12" t="inlineStr">
        <is>
          <t>LVAX|3/C+G|8</t>
        </is>
      </c>
      <c r="L6102" s="12" t="inlineStr">
        <is>
          <t>3/C+G</t>
        </is>
      </c>
      <c r="M6102" s="12" t="inlineStr">
        <is>
          <t>8</t>
        </is>
      </c>
      <c r="N6102" s="12" t="n">
        <v>1</v>
      </c>
      <c r="O6102" s="12" t="n">
        <v>1</v>
      </c>
      <c r="P6102" s="12" t="n">
        <v>480</v>
      </c>
      <c r="Q6102" s="12" t="n">
        <v>15</v>
      </c>
      <c r="R6102" s="12" t="n">
        <v>21.2</v>
      </c>
      <c r="S6102" s="12" t="inlineStr">
        <is>
          <t>Duct bank</t>
        </is>
      </c>
      <c r="T6102" s="15" t="n">
        <v>237</v>
      </c>
      <c r="U6102" s="15" t="n">
        <v>61</v>
      </c>
      <c r="V6102" s="15">
        <f>ROUNDUP((T6102+U6102+2*'Read Me'!$B$13)*(1+'Read Me'!$B$12),-1)</f>
        <v/>
      </c>
      <c r="W6102" s="15">
        <f>V6102*N6102*O6102</f>
        <v/>
      </c>
      <c r="X6102" s="12">
        <f>IF(LEFT(I6102,2)="MV",2*N6102*IF(L6102="1/C",O6102,1),0)</f>
        <v/>
      </c>
      <c r="Y6102" s="12">
        <f>IF(OR(LEFT(K6102,4)="LVAX",LEFT(K6102,6)="MV15AX",LEFT(K6102,4)="CTAX",LEFT(K6102,2)="W|"),2*N6102*O6102,0)</f>
        <v/>
      </c>
      <c r="Z6102" s="12" t="inlineStr">
        <is>
          <t>VD 1.9 %</t>
        </is>
      </c>
      <c r="AA6102" s="12">
        <f>N6102*O6102</f>
        <v/>
      </c>
    </row>
    <row r="6103">
      <c r="A6103" s="12" t="inlineStr">
        <is>
          <t>K-P-0026</t>
        </is>
      </c>
      <c r="B6103" s="12" t="inlineStr">
        <is>
          <t>K</t>
        </is>
      </c>
      <c r="C6103" s="12" t="inlineStr">
        <is>
          <t>Fuel supply (adjacent market)</t>
        </is>
      </c>
      <c r="D6103" s="12" t="inlineStr">
        <is>
          <t>Motor 1 of 1, 15 kW</t>
        </is>
      </c>
      <c r="E6103" s="12" t="inlineStr"/>
      <c r="F6103" s="12" t="inlineStr">
        <is>
          <t>LNG 17: LNG e-house (13.8 kV / 480 V)</t>
        </is>
      </c>
      <c r="G6103" s="12" t="inlineStr"/>
      <c r="H6103" s="12" t="inlineStr">
        <is>
          <t>LNG 10: truck unloading bay 2</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15</v>
      </c>
      <c r="R6103" s="12" t="n">
        <v>21.2</v>
      </c>
      <c r="S6103" s="12" t="inlineStr">
        <is>
          <t>Duct bank</t>
        </is>
      </c>
      <c r="T6103" s="15" t="n">
        <v>147</v>
      </c>
      <c r="U6103" s="15" t="n">
        <v>66</v>
      </c>
      <c r="V6103" s="15">
        <f>ROUNDUP((T6103+U6103+2*'Read Me'!$B$13)*(1+'Read Me'!$B$12),-1)</f>
        <v/>
      </c>
      <c r="W6103" s="15">
        <f>V6103*N6103*O6103</f>
        <v/>
      </c>
      <c r="X6103" s="12">
        <f>IF(LEFT(I6103,2)="MV",2*N6103*IF(L6103="1/C",O6103,1),0)</f>
        <v/>
      </c>
      <c r="Y6103" s="12">
        <f>IF(OR(LEFT(K6103,4)="LVAX",LEFT(K6103,6)="MV15AX",LEFT(K6103,4)="CTAX",LEFT(K6103,2)="W|"),2*N6103*O6103,0)</f>
        <v/>
      </c>
      <c r="Z6103" s="12" t="inlineStr">
        <is>
          <t>VD 2.2 %</t>
        </is>
      </c>
      <c r="AA6103" s="12">
        <f>N6103*O6103</f>
        <v/>
      </c>
    </row>
    <row r="6104">
      <c r="A6104" s="12" t="inlineStr">
        <is>
          <t>K-P-0027</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10: unloading skid</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237</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K-P-0028</t>
        </is>
      </c>
      <c r="B6105" s="12" t="inlineStr">
        <is>
          <t>K</t>
        </is>
      </c>
      <c r="C6105" s="12" t="inlineStr">
        <is>
          <t>Fuel supply (adjacent market)</t>
        </is>
      </c>
      <c r="D6105" s="12" t="inlineStr">
        <is>
          <t>LV power feeder</t>
        </is>
      </c>
      <c r="E6105" s="12" t="inlineStr"/>
      <c r="F6105" s="12" t="inlineStr">
        <is>
          <t>LNG 17: LNG e-house (13.8 kV / 480 V)</t>
        </is>
      </c>
      <c r="G6105" s="12" t="inlineStr">
        <is>
          <t>LNG-T1</t>
        </is>
      </c>
      <c r="H6105" s="12" t="inlineStr">
        <is>
          <t>LNG 11: tank 1, Chart HS 50000 (51,780 gal)</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10</v>
      </c>
      <c r="R6105" s="12" t="n">
        <v>14.2</v>
      </c>
      <c r="S6105" s="12" t="inlineStr">
        <is>
          <t>Duct bank</t>
        </is>
      </c>
      <c r="T6105" s="15" t="n">
        <v>210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1.6 %</t>
        </is>
      </c>
      <c r="AA6105" s="12">
        <f>N6105*O6105</f>
        <v/>
      </c>
    </row>
    <row r="6106">
      <c r="A6106" s="12" t="inlineStr">
        <is>
          <t>K-P-0029</t>
        </is>
      </c>
      <c r="B6106" s="12" t="inlineStr">
        <is>
          <t>K</t>
        </is>
      </c>
      <c r="C6106" s="12" t="inlineStr">
        <is>
          <t>Fuel supply (adjacent market)</t>
        </is>
      </c>
      <c r="D6106" s="12" t="inlineStr">
        <is>
          <t>LV power feeder</t>
        </is>
      </c>
      <c r="E6106" s="12" t="inlineStr"/>
      <c r="F6106" s="12" t="inlineStr">
        <is>
          <t>LNG 17: LNG e-house (13.8 kV / 480 V)</t>
        </is>
      </c>
      <c r="G6106" s="12" t="inlineStr">
        <is>
          <t>LNG-T2</t>
        </is>
      </c>
      <c r="H6106" s="12" t="inlineStr">
        <is>
          <t>LNG 11: tank 2, Chart HS 50000 (51,780 gal)</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10</v>
      </c>
      <c r="R6106" s="12" t="n">
        <v>14.2</v>
      </c>
      <c r="S6106" s="12" t="inlineStr">
        <is>
          <t>Duct bank</t>
        </is>
      </c>
      <c r="T6106" s="15" t="n">
        <v>230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1.8 %</t>
        </is>
      </c>
      <c r="AA6106" s="12">
        <f>N6106*O6106</f>
        <v/>
      </c>
    </row>
    <row r="6107">
      <c r="A6107" s="12" t="inlineStr">
        <is>
          <t>K-P-0030</t>
        </is>
      </c>
      <c r="B6107" s="12" t="inlineStr">
        <is>
          <t>K</t>
        </is>
      </c>
      <c r="C6107" s="12" t="inlineStr">
        <is>
          <t>Fuel supply (adjacent market)</t>
        </is>
      </c>
      <c r="D6107" s="12" t="inlineStr">
        <is>
          <t>LV power feeder</t>
        </is>
      </c>
      <c r="E6107" s="12" t="inlineStr"/>
      <c r="F6107" s="12" t="inlineStr">
        <is>
          <t>LNG 17: LNG e-house (13.8 kV / 480 V)</t>
        </is>
      </c>
      <c r="G6107" s="12" t="inlineStr">
        <is>
          <t>LNG-T3</t>
        </is>
      </c>
      <c r="H6107" s="12" t="inlineStr">
        <is>
          <t>LNG 11: tank 3, Chart HS 50000 (51,780 gal)</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10</v>
      </c>
      <c r="R6107" s="12" t="n">
        <v>14.2</v>
      </c>
      <c r="S6107" s="12" t="inlineStr">
        <is>
          <t>Duct bank</t>
        </is>
      </c>
      <c r="T6107" s="15" t="n">
        <v>250</v>
      </c>
      <c r="U6107" s="15" t="n">
        <v>32</v>
      </c>
      <c r="V6107" s="15">
        <f>ROUNDUP((T6107+U6107+2*'Read Me'!$B$13)*(1+'Read Me'!$B$12),-1)</f>
        <v/>
      </c>
      <c r="W6107" s="15">
        <f>V6107*N6107*O6107</f>
        <v/>
      </c>
      <c r="X6107" s="12">
        <f>IF(LEFT(I6107,2)="MV",2*N6107*IF(L6107="1/C",O6107,1),0)</f>
        <v/>
      </c>
      <c r="Y6107" s="12">
        <f>IF(OR(LEFT(K6107,4)="LVAX",LEFT(K6107,6)="MV15AX",LEFT(K6107,4)="CTAX",LEFT(K6107,2)="W|"),2*N6107*O6107,0)</f>
        <v/>
      </c>
      <c r="Z6107" s="12" t="inlineStr">
        <is>
          <t>VD 1.9 %</t>
        </is>
      </c>
      <c r="AA6107" s="12">
        <f>N6107*O6107</f>
        <v/>
      </c>
    </row>
    <row r="6108">
      <c r="A6108" s="12" t="inlineStr">
        <is>
          <t>K-P-0031</t>
        </is>
      </c>
      <c r="B6108" s="12" t="inlineStr">
        <is>
          <t>K</t>
        </is>
      </c>
      <c r="C6108" s="12" t="inlineStr">
        <is>
          <t>Fuel supply (adjacent market)</t>
        </is>
      </c>
      <c r="D6108" s="12" t="inlineStr">
        <is>
          <t>LV power feeder</t>
        </is>
      </c>
      <c r="E6108" s="12" t="inlineStr"/>
      <c r="F6108" s="12" t="inlineStr">
        <is>
          <t>LNG 17: LNG e-house (13.8 kV / 480 V)</t>
        </is>
      </c>
      <c r="G6108" s="12" t="inlineStr">
        <is>
          <t>LNG-T4</t>
        </is>
      </c>
      <c r="H6108" s="12" t="inlineStr">
        <is>
          <t>LNG 11: tank 4, Chart HS 50000 (51,780 gal)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10</v>
      </c>
      <c r="R6108" s="12" t="n">
        <v>14.2</v>
      </c>
      <c r="S6108" s="12" t="inlineStr">
        <is>
          <t>Duct bank</t>
        </is>
      </c>
      <c r="T6108" s="15" t="n">
        <v>270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2.1 %</t>
        </is>
      </c>
      <c r="AA6108" s="12">
        <f>N6108*O6108</f>
        <v/>
      </c>
    </row>
    <row r="6109">
      <c r="A6109" s="12" t="inlineStr">
        <is>
          <t>K-P-0032</t>
        </is>
      </c>
      <c r="B6109" s="12" t="inlineStr">
        <is>
          <t>K</t>
        </is>
      </c>
      <c r="C6109" s="12" t="inlineStr">
        <is>
          <t>Fuel supply (adjacent market)</t>
        </is>
      </c>
      <c r="D6109" s="12" t="inlineStr">
        <is>
          <t>LV power feeder</t>
        </is>
      </c>
      <c r="E6109" s="12" t="inlineStr"/>
      <c r="F6109" s="12" t="inlineStr">
        <is>
          <t>LNG 17: LNG e-house (13.8 kV / 480 V)</t>
        </is>
      </c>
      <c r="G6109" s="12" t="inlineStr">
        <is>
          <t>LNG-T5</t>
        </is>
      </c>
      <c r="H6109" s="12" t="inlineStr">
        <is>
          <t>LNG 11: tank 5, Chart HS 50000 (51,780 gal)</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10</v>
      </c>
      <c r="R6109" s="12" t="n">
        <v>14.2</v>
      </c>
      <c r="S6109" s="12" t="inlineStr">
        <is>
          <t>Duct bank</t>
        </is>
      </c>
      <c r="T6109" s="15" t="n">
        <v>290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2.2 %</t>
        </is>
      </c>
      <c r="AA6109" s="12">
        <f>N6109*O6109</f>
        <v/>
      </c>
    </row>
    <row r="6110">
      <c r="A6110" s="12" t="inlineStr">
        <is>
          <t>K-P-0033</t>
        </is>
      </c>
      <c r="B6110" s="12" t="inlineStr">
        <is>
          <t>K</t>
        </is>
      </c>
      <c r="C6110" s="12" t="inlineStr">
        <is>
          <t>Fuel supply (adjacent market)</t>
        </is>
      </c>
      <c r="D6110" s="12" t="inlineStr">
        <is>
          <t>LV power feeder</t>
        </is>
      </c>
      <c r="E6110" s="12" t="inlineStr"/>
      <c r="F6110" s="12" t="inlineStr">
        <is>
          <t>LNG 17: LNG e-house (13.8 kV / 480 V)</t>
        </is>
      </c>
      <c r="G6110" s="12" t="inlineStr">
        <is>
          <t>LNG-T6</t>
        </is>
      </c>
      <c r="H6110" s="12" t="inlineStr">
        <is>
          <t>LNG 11: tank 6, Chart HS 50000 (51,780 gal)</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10</v>
      </c>
      <c r="R6110" s="12" t="n">
        <v>14.2</v>
      </c>
      <c r="S6110" s="12" t="inlineStr">
        <is>
          <t>Duct bank</t>
        </is>
      </c>
      <c r="T6110" s="15" t="n">
        <v>310</v>
      </c>
      <c r="U6110" s="15" t="n">
        <v>32</v>
      </c>
      <c r="V6110" s="15">
        <f>ROUNDUP((T6110+U6110+2*'Read Me'!$B$13)*(1+'Read Me'!$B$12),-1)</f>
        <v/>
      </c>
      <c r="W6110" s="15">
        <f>V6110*N6110*O6110</f>
        <v/>
      </c>
      <c r="X6110" s="12">
        <f>IF(LEFT(I6110,2)="MV",2*N6110*IF(L6110="1/C",O6110,1),0)</f>
        <v/>
      </c>
      <c r="Y6110" s="12">
        <f>IF(OR(LEFT(K6110,4)="LVAX",LEFT(K6110,6)="MV15AX",LEFT(K6110,4)="CTAX",LEFT(K6110,2)="W|"),2*N6110*O6110,0)</f>
        <v/>
      </c>
      <c r="Z6110" s="12" t="inlineStr">
        <is>
          <t>VD 2.3 %</t>
        </is>
      </c>
      <c r="AA6110" s="12">
        <f>N6110*O6110</f>
        <v/>
      </c>
    </row>
    <row r="6111">
      <c r="A6111" s="12" t="inlineStr">
        <is>
          <t>K-P-0034</t>
        </is>
      </c>
      <c r="B6111" s="12" t="inlineStr">
        <is>
          <t>K</t>
        </is>
      </c>
      <c r="C6111" s="12" t="inlineStr">
        <is>
          <t>Fuel supply (adjacent market)</t>
        </is>
      </c>
      <c r="D6111" s="12" t="inlineStr">
        <is>
          <t>LV power feeder</t>
        </is>
      </c>
      <c r="E6111" s="12" t="inlineStr"/>
      <c r="F6111" s="12" t="inlineStr">
        <is>
          <t>LNG 17: LNG e-house (13.8 kV / 480 V)</t>
        </is>
      </c>
      <c r="G6111" s="12" t="inlineStr">
        <is>
          <t>LNG-T7</t>
        </is>
      </c>
      <c r="H6111" s="12" t="inlineStr">
        <is>
          <t>LNG 11: tank 7, Chart HS 50000 (51,780 gal)</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10</v>
      </c>
      <c r="R6111" s="12" t="n">
        <v>14.2</v>
      </c>
      <c r="S6111" s="12" t="inlineStr">
        <is>
          <t>Duct bank</t>
        </is>
      </c>
      <c r="T6111" s="15" t="n">
        <v>330</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2.5 %</t>
        </is>
      </c>
      <c r="AA6111" s="12">
        <f>N6111*O6111</f>
        <v/>
      </c>
    </row>
    <row r="6112">
      <c r="A6112" s="12" t="inlineStr">
        <is>
          <t>K-P-0035</t>
        </is>
      </c>
      <c r="B6112" s="12" t="inlineStr">
        <is>
          <t>K</t>
        </is>
      </c>
      <c r="C6112" s="12" t="inlineStr">
        <is>
          <t>Fuel supply (adjacent market)</t>
        </is>
      </c>
      <c r="D6112" s="12" t="inlineStr">
        <is>
          <t>LV power feeder</t>
        </is>
      </c>
      <c r="E6112" s="12" t="inlineStr"/>
      <c r="F6112" s="12" t="inlineStr">
        <is>
          <t>LNG 17: LNG e-house (13.8 kV / 480 V)</t>
        </is>
      </c>
      <c r="G6112" s="12" t="inlineStr">
        <is>
          <t>LNG-T8</t>
        </is>
      </c>
      <c r="H6112" s="12" t="inlineStr">
        <is>
          <t>LNG 11: tank 8, Chart HS 50000 (51,780 gal)</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10</v>
      </c>
      <c r="R6112" s="12" t="n">
        <v>14.2</v>
      </c>
      <c r="S6112" s="12" t="inlineStr">
        <is>
          <t>Duct bank</t>
        </is>
      </c>
      <c r="T6112" s="15" t="n">
        <v>350</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2.6 %</t>
        </is>
      </c>
      <c r="AA6112" s="12">
        <f>N6112*O6112</f>
        <v/>
      </c>
    </row>
    <row r="6113">
      <c r="A6113" s="12" t="inlineStr">
        <is>
          <t>K-P-0036</t>
        </is>
      </c>
      <c r="B6113" s="12" t="inlineStr">
        <is>
          <t>K</t>
        </is>
      </c>
      <c r="C6113" s="12" t="inlineStr">
        <is>
          <t>Fuel supply (adjacent market)</t>
        </is>
      </c>
      <c r="D6113" s="12" t="inlineStr">
        <is>
          <t>Motor 1 of 1, 15 kW</t>
        </is>
      </c>
      <c r="E6113" s="12" t="inlineStr"/>
      <c r="F6113" s="12" t="inlineStr">
        <is>
          <t>LNG 17: LNG e-house (13.8 kV / 480 V)</t>
        </is>
      </c>
      <c r="G6113" s="12" t="inlineStr"/>
      <c r="H6113" s="12" t="inlineStr">
        <is>
          <t>LNG 12: spill impoundment (NFPA 59A, to verify)</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230</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2.7 %</t>
        </is>
      </c>
      <c r="AA6113" s="12">
        <f>N6113*O6113</f>
        <v/>
      </c>
    </row>
    <row r="6114">
      <c r="A6114" s="12" t="inlineStr">
        <is>
          <t>K-P-0037</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LNG 13: send-out pumps 2 x 100%</t>
        </is>
      </c>
      <c r="I6114" s="12" t="inlineStr">
        <is>
          <t>LV 600 V</t>
        </is>
      </c>
      <c r="J6114" s="12" t="inlineStr">
        <is>
          <t>ARMOR-X MC-HL 600 V 3/C Cu XHHW-2 + ground, CWA, black PVC (Class I Div 2)</t>
        </is>
      </c>
      <c r="K6114" s="12" t="inlineStr">
        <is>
          <t>LVAX|3/C+G|10</t>
        </is>
      </c>
      <c r="L6114" s="12" t="inlineStr">
        <is>
          <t>3/C+G</t>
        </is>
      </c>
      <c r="M6114" s="12" t="inlineStr">
        <is>
          <t>10</t>
        </is>
      </c>
      <c r="N6114" s="12" t="n">
        <v>1</v>
      </c>
      <c r="O6114" s="12" t="n">
        <v>1</v>
      </c>
      <c r="P6114" s="12" t="n">
        <v>480</v>
      </c>
      <c r="Q6114" s="12" t="n">
        <v>15</v>
      </c>
      <c r="R6114" s="12" t="n">
        <v>21.2</v>
      </c>
      <c r="S6114" s="12" t="inlineStr">
        <is>
          <t>Duct bank</t>
        </is>
      </c>
      <c r="T6114" s="15" t="n">
        <v>110</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1.4 %</t>
        </is>
      </c>
      <c r="AA6114" s="12">
        <f>N6114*O6114</f>
        <v/>
      </c>
    </row>
    <row r="6115">
      <c r="A6115" s="12" t="inlineStr">
        <is>
          <t>K-P-0038</t>
        </is>
      </c>
      <c r="B6115" s="12" t="inlineStr">
        <is>
          <t>K</t>
        </is>
      </c>
      <c r="C6115" s="12" t="inlineStr">
        <is>
          <t>Fuel supply (adjacent market)</t>
        </is>
      </c>
      <c r="D6115" s="12" t="inlineStr">
        <is>
          <t>Motor 1 of 1, 15 kW</t>
        </is>
      </c>
      <c r="E6115" s="12" t="inlineStr"/>
      <c r="F6115" s="12" t="inlineStr">
        <is>
          <t>LNG 17: LNG e-house (13.8 kV / 480 V)</t>
        </is>
      </c>
      <c r="G6115" s="12" t="inlineStr"/>
      <c r="H6115" s="12" t="inlineStr">
        <is>
          <t>LNG 14: vaporizers + glycol heater</t>
        </is>
      </c>
      <c r="I6115" s="12" t="inlineStr">
        <is>
          <t>LV 600 V</t>
        </is>
      </c>
      <c r="J6115" s="12" t="inlineStr">
        <is>
          <t>ARMOR-X MC-HL 600 V 3/C Cu XHHW-2 + ground, CWA, black PVC (Class I Div 2)</t>
        </is>
      </c>
      <c r="K6115" s="12" t="inlineStr">
        <is>
          <t>LVAX|3/C+G|10</t>
        </is>
      </c>
      <c r="L6115" s="12" t="inlineStr">
        <is>
          <t>3/C+G</t>
        </is>
      </c>
      <c r="M6115" s="12" t="inlineStr">
        <is>
          <t>10</t>
        </is>
      </c>
      <c r="N6115" s="12" t="n">
        <v>1</v>
      </c>
      <c r="O6115" s="12" t="n">
        <v>1</v>
      </c>
      <c r="P6115" s="12" t="n">
        <v>480</v>
      </c>
      <c r="Q6115" s="12" t="n">
        <v>15</v>
      </c>
      <c r="R6115" s="12" t="n">
        <v>21.2</v>
      </c>
      <c r="S6115" s="12" t="inlineStr">
        <is>
          <t>Duct bank</t>
        </is>
      </c>
      <c r="T6115" s="15" t="n">
        <v>259</v>
      </c>
      <c r="U6115" s="15" t="n">
        <v>32</v>
      </c>
      <c r="V6115" s="15">
        <f>ROUNDUP((T6115+U6115+2*'Read Me'!$B$13)*(1+'Read Me'!$B$12),-1)</f>
        <v/>
      </c>
      <c r="W6115" s="15">
        <f>V6115*N6115*O6115</f>
        <v/>
      </c>
      <c r="X6115" s="12">
        <f>IF(LEFT(I6115,2)="MV",2*N6115*IF(L6115="1/C",O6115,1),0)</f>
        <v/>
      </c>
      <c r="Y6115" s="12">
        <f>IF(OR(LEFT(K6115,4)="LVAX",LEFT(K6115,6)="MV15AX",LEFT(K6115,4)="CTAX",LEFT(K6115,2)="W|"),2*N6115*O6115,0)</f>
        <v/>
      </c>
      <c r="Z6115" s="12" t="inlineStr">
        <is>
          <t>VD 3.0 %</t>
        </is>
      </c>
      <c r="AA6115" s="12">
        <f>N6115*O6115</f>
        <v/>
      </c>
    </row>
    <row r="6116">
      <c r="A6116" s="12" t="inlineStr">
        <is>
          <t>K-P-0039</t>
        </is>
      </c>
      <c r="B6116" s="12" t="inlineStr">
        <is>
          <t>K</t>
        </is>
      </c>
      <c r="C6116" s="12" t="inlineStr">
        <is>
          <t>Fuel supply (adjacent market)</t>
        </is>
      </c>
      <c r="D6116" s="12" t="inlineStr">
        <is>
          <t>Motor 1 of 1, 15 kW</t>
        </is>
      </c>
      <c r="E6116" s="12" t="inlineStr"/>
      <c r="F6116" s="12" t="inlineStr">
        <is>
          <t>LNG 17: LNG e-house (13.8 kV / 480 V)</t>
        </is>
      </c>
      <c r="G6116" s="12" t="inlineStr"/>
      <c r="H6116" s="12" t="inlineStr">
        <is>
          <t>LNG 15: boil-off gas compressor</t>
        </is>
      </c>
      <c r="I6116" s="12" t="inlineStr">
        <is>
          <t>LV 600 V</t>
        </is>
      </c>
      <c r="J6116" s="12" t="inlineStr">
        <is>
          <t>ARMOR-X MC-HL 600 V 3/C Cu XHHW-2 + ground, CWA, black PVC (Class I Div 2)</t>
        </is>
      </c>
      <c r="K6116" s="12" t="inlineStr">
        <is>
          <t>LVAX|3/C+G|10</t>
        </is>
      </c>
      <c r="L6116" s="12" t="inlineStr">
        <is>
          <t>3/C+G</t>
        </is>
      </c>
      <c r="M6116" s="12" t="inlineStr">
        <is>
          <t>10</t>
        </is>
      </c>
      <c r="N6116" s="12" t="n">
        <v>1</v>
      </c>
      <c r="O6116" s="12" t="n">
        <v>1</v>
      </c>
      <c r="P6116" s="12" t="n">
        <v>480</v>
      </c>
      <c r="Q6116" s="12" t="n">
        <v>15</v>
      </c>
      <c r="R6116" s="12" t="n">
        <v>21.2</v>
      </c>
      <c r="S6116" s="12" t="inlineStr">
        <is>
          <t>Duct bank</t>
        </is>
      </c>
      <c r="T6116" s="15" t="n">
        <v>25</v>
      </c>
      <c r="U6116" s="15" t="n">
        <v>54</v>
      </c>
      <c r="V6116" s="15">
        <f>ROUNDUP((T6116+U6116+2*'Read Me'!$B$13)*(1+'Read Me'!$B$12),-1)</f>
        <v/>
      </c>
      <c r="W6116" s="15">
        <f>V6116*N6116*O6116</f>
        <v/>
      </c>
      <c r="X6116" s="12">
        <f>IF(LEFT(I6116,2)="MV",2*N6116*IF(L6116="1/C",O6116,1),0)</f>
        <v/>
      </c>
      <c r="Y6116" s="12">
        <f>IF(OR(LEFT(K6116,4)="LVAX",LEFT(K6116,6)="MV15AX",LEFT(K6116,4)="CTAX",LEFT(K6116,2)="W|"),2*N6116*O6116,0)</f>
        <v/>
      </c>
      <c r="Z6116" s="12" t="inlineStr">
        <is>
          <t>VD 0.8 %</t>
        </is>
      </c>
      <c r="AA6116" s="12">
        <f>N6116*O6116</f>
        <v/>
      </c>
    </row>
    <row r="6117">
      <c r="A6117" s="12" t="inlineStr">
        <is>
          <t>K-P-0040</t>
        </is>
      </c>
      <c r="B6117" s="12" t="inlineStr">
        <is>
          <t>K</t>
        </is>
      </c>
      <c r="C6117" s="12" t="inlineStr">
        <is>
          <t>Fuel supply (adjacent market)</t>
        </is>
      </c>
      <c r="D6117" s="12" t="inlineStr">
        <is>
          <t>Motor 1 of 1, 15 kW</t>
        </is>
      </c>
      <c r="E6117" s="12" t="inlineStr"/>
      <c r="F6117" s="12" t="inlineStr">
        <is>
          <t>LNG 17: LNG e-house (13.8 kV / 480 V)</t>
        </is>
      </c>
      <c r="G6117" s="12" t="inlineStr"/>
      <c r="H6117" s="12" t="inlineStr">
        <is>
          <t>LNG 16: send-out metering + pressure control</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15</v>
      </c>
      <c r="R6117" s="12" t="n">
        <v>21.2</v>
      </c>
      <c r="S6117" s="12" t="inlineStr">
        <is>
          <t>Duct bank</t>
        </is>
      </c>
      <c r="T6117" s="15" t="n">
        <v>20</v>
      </c>
      <c r="U6117" s="15" t="n">
        <v>32</v>
      </c>
      <c r="V6117" s="15">
        <f>ROUNDUP((T6117+U6117+2*'Read Me'!$B$13)*(1+'Read Me'!$B$12),-1)</f>
        <v/>
      </c>
      <c r="W6117" s="15">
        <f>V6117*N6117*O6117</f>
        <v/>
      </c>
      <c r="X6117" s="12">
        <f>IF(LEFT(I6117,2)="MV",2*N6117*IF(L6117="1/C",O6117,1),0)</f>
        <v/>
      </c>
      <c r="Y6117" s="12">
        <f>IF(OR(LEFT(K6117,4)="LVAX",LEFT(K6117,6)="MV15AX",LEFT(K6117,4)="CTAX",LEFT(K6117,2)="W|"),2*N6117*O6117,0)</f>
        <v/>
      </c>
      <c r="Z6117" s="12" t="inlineStr">
        <is>
          <t>VD 0.5 %</t>
        </is>
      </c>
      <c r="AA6117" s="12">
        <f>N6117*O6117</f>
        <v/>
      </c>
    </row>
    <row r="6118">
      <c r="A6118" s="12" t="inlineStr">
        <is>
          <t>K-P-0041</t>
        </is>
      </c>
      <c r="B6118" s="12" t="inlineStr">
        <is>
          <t>K</t>
        </is>
      </c>
      <c r="C6118" s="12" t="inlineStr">
        <is>
          <t>Fuel supply (adjacent market)</t>
        </is>
      </c>
      <c r="D6118" s="12" t="inlineStr">
        <is>
          <t>Motor 1 of 1, 15 kW</t>
        </is>
      </c>
      <c r="E6118" s="12" t="inlineStr"/>
      <c r="F6118" s="12" t="inlineStr">
        <is>
          <t>LNG 17: LNG e-house (13.8 kV / 480 V)</t>
        </is>
      </c>
      <c r="G6118" s="12" t="inlineStr"/>
      <c r="H6118" s="12" t="inlineStr">
        <is>
          <t>LNG 17: LNG e-house (13.8 kV / 480 V)</t>
        </is>
      </c>
      <c r="I6118" s="12" t="inlineStr">
        <is>
          <t>LV 600 V</t>
        </is>
      </c>
      <c r="J6118" s="12" t="inlineStr">
        <is>
          <t>ARMOR-X MC-HL 600 V 3/C Cu XHHW-2 + ground, CWA, black PVC (Class I Div 2)</t>
        </is>
      </c>
      <c r="K6118" s="12" t="inlineStr">
        <is>
          <t>LVAX|3/C+G|10</t>
        </is>
      </c>
      <c r="L6118" s="12" t="inlineStr">
        <is>
          <t>3/C+G</t>
        </is>
      </c>
      <c r="M6118" s="12" t="inlineStr">
        <is>
          <t>10</t>
        </is>
      </c>
      <c r="N6118" s="12" t="n">
        <v>1</v>
      </c>
      <c r="O6118" s="12" t="n">
        <v>1</v>
      </c>
      <c r="P6118" s="12" t="n">
        <v>480</v>
      </c>
      <c r="Q6118" s="12" t="n">
        <v>15</v>
      </c>
      <c r="R6118" s="12" t="n">
        <v>21.2</v>
      </c>
      <c r="S6118" s="12" t="inlineStr">
        <is>
          <t>Tray</t>
        </is>
      </c>
      <c r="T6118" s="15" t="n">
        <v>0</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0.3 %</t>
        </is>
      </c>
      <c r="AA6118" s="12">
        <f>N6118*O6118</f>
        <v/>
      </c>
    </row>
    <row r="6119">
      <c r="A6119" s="12" t="inlineStr">
        <is>
          <t>K-P-0042</t>
        </is>
      </c>
      <c r="B6119" s="12" t="inlineStr">
        <is>
          <t>K</t>
        </is>
      </c>
      <c r="C6119" s="12" t="inlineStr">
        <is>
          <t>Fuel supply (adjacent market)</t>
        </is>
      </c>
      <c r="D6119" s="12" t="inlineStr">
        <is>
          <t>Motor 1 of 1, 15 kW</t>
        </is>
      </c>
      <c r="E6119" s="12" t="inlineStr"/>
      <c r="F6119" s="12" t="inlineStr">
        <is>
          <t>LNG 17: LNG e-house (13.8 kV / 480 V)</t>
        </is>
      </c>
      <c r="G6119" s="12" t="inlineStr"/>
      <c r="H6119" s="12" t="inlineStr">
        <is>
          <t>LNG 18: vent stack</t>
        </is>
      </c>
      <c r="I6119" s="12" t="inlineStr">
        <is>
          <t>LV 600 V</t>
        </is>
      </c>
      <c r="J6119" s="12" t="inlineStr">
        <is>
          <t>ARMOR-X MC-HL 600 V 3/C Cu XHHW-2 + ground, CWA, black PVC (Class I Div 2)</t>
        </is>
      </c>
      <c r="K6119" s="12" t="inlineStr">
        <is>
          <t>LVAX|3/C+G|10</t>
        </is>
      </c>
      <c r="L6119" s="12" t="inlineStr">
        <is>
          <t>3/C+G</t>
        </is>
      </c>
      <c r="M6119" s="12" t="inlineStr">
        <is>
          <t>10</t>
        </is>
      </c>
      <c r="N6119" s="12" t="n">
        <v>1</v>
      </c>
      <c r="O6119" s="12" t="n">
        <v>1</v>
      </c>
      <c r="P6119" s="12" t="n">
        <v>480</v>
      </c>
      <c r="Q6119" s="12" t="n">
        <v>15</v>
      </c>
      <c r="R6119" s="12" t="n">
        <v>21.2</v>
      </c>
      <c r="S6119" s="12" t="inlineStr">
        <is>
          <t>Duct bank</t>
        </is>
      </c>
      <c r="T6119" s="15" t="n">
        <v>25</v>
      </c>
      <c r="U6119" s="15" t="n">
        <v>117</v>
      </c>
      <c r="V6119" s="15">
        <f>ROUNDUP((T6119+U6119+2*'Read Me'!$B$13)*(1+'Read Me'!$B$12),-1)</f>
        <v/>
      </c>
      <c r="W6119" s="15">
        <f>V6119*N6119*O6119</f>
        <v/>
      </c>
      <c r="X6119" s="12">
        <f>IF(LEFT(I6119,2)="MV",2*N6119*IF(L6119="1/C",O6119,1),0)</f>
        <v/>
      </c>
      <c r="Y6119" s="12">
        <f>IF(OR(LEFT(K6119,4)="LVAX",LEFT(K6119,6)="MV15AX",LEFT(K6119,4)="CTAX",LEFT(K6119,2)="W|"),2*N6119*O6119,0)</f>
        <v/>
      </c>
      <c r="Z6119" s="12" t="inlineStr">
        <is>
          <t>VD 1.4 %</t>
        </is>
      </c>
      <c r="AA6119" s="12">
        <f>N6119*O6119</f>
        <v/>
      </c>
    </row>
    <row r="6120">
      <c r="A6120" s="12" t="inlineStr">
        <is>
          <t>K-P-0043</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LNG impoundment sump pump</t>
        </is>
      </c>
      <c r="I6120" s="12" t="inlineStr">
        <is>
          <t>LV 600 V</t>
        </is>
      </c>
      <c r="J6120" s="12" t="inlineStr">
        <is>
          <t>ARMOR-X MC-HL 600 V 3/C Cu XHHW-2 + ground, CWA, black PVC (Class I Div 2)</t>
        </is>
      </c>
      <c r="K6120" s="12" t="inlineStr">
        <is>
          <t>LVAX|3/C+G|8</t>
        </is>
      </c>
      <c r="L6120" s="12" t="inlineStr">
        <is>
          <t>3/C+G</t>
        </is>
      </c>
      <c r="M6120" s="12" t="inlineStr">
        <is>
          <t>8</t>
        </is>
      </c>
      <c r="N6120" s="12" t="n">
        <v>1</v>
      </c>
      <c r="O6120" s="12" t="n">
        <v>1</v>
      </c>
      <c r="P6120" s="12" t="n">
        <v>480</v>
      </c>
      <c r="Q6120" s="12" t="n">
        <v>15</v>
      </c>
      <c r="R6120" s="12" t="n">
        <v>21.2</v>
      </c>
      <c r="S6120" s="12" t="inlineStr">
        <is>
          <t>Duct bank</t>
        </is>
      </c>
      <c r="T6120" s="15" t="n">
        <v>334</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2.4 %</t>
        </is>
      </c>
      <c r="AA6120" s="12">
        <f>N6120*O6120</f>
        <v/>
      </c>
    </row>
    <row r="6121">
      <c r="A6121" s="12" t="inlineStr">
        <is>
          <t>K-P-0044</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2: insulating joint + ESD valve</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10</v>
      </c>
      <c r="R6121" s="12" t="n">
        <v>14.2</v>
      </c>
      <c r="S6121" s="12" t="inlineStr">
        <is>
          <t>Duct bank</t>
        </is>
      </c>
      <c r="T6121" s="15" t="n">
        <v>758</v>
      </c>
      <c r="U6121" s="15" t="n">
        <v>32</v>
      </c>
      <c r="V6121" s="15">
        <f>ROUNDUP((T6121+U6121+2*'Read Me'!$B$13)*(1+'Read Me'!$B$12),-1)</f>
        <v/>
      </c>
      <c r="W6121" s="15">
        <f>V6121*N6121*O6121</f>
        <v/>
      </c>
      <c r="X6121" s="12">
        <f>IF(LEFT(I6121,2)="MV",2*N6121*IF(L6121="1/C",O6121,1),0)</f>
        <v/>
      </c>
      <c r="Y6121" s="12">
        <f>IF(OR(LEFT(K6121,4)="LVAX",LEFT(K6121,6)="MV15AX",LEFT(K6121,4)="CTAX",LEFT(K6121,2)="W|"),2*N6121*O6121,0)</f>
        <v/>
      </c>
      <c r="Z6121" s="12" t="inlineStr">
        <is>
          <t>VD 2.2 %</t>
        </is>
      </c>
      <c r="AA6121" s="12">
        <f>N6121*O6121</f>
        <v/>
      </c>
    </row>
    <row r="6122">
      <c r="A6122" s="12" t="inlineStr">
        <is>
          <t>K-P-0045</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3: horizontal filter-separator</t>
        </is>
      </c>
      <c r="I6122" s="12" t="inlineStr">
        <is>
          <t>LV 600 V</t>
        </is>
      </c>
      <c r="J6122" s="12" t="inlineStr">
        <is>
          <t>ARMOR-X MC-HL 600 V 3/C Cu XHHW-2 + ground, CWA, black PVC (Class I Div 2)</t>
        </is>
      </c>
      <c r="K6122" s="12" t="inlineStr">
        <is>
          <t>LVAX|3/C+G|4</t>
        </is>
      </c>
      <c r="L6122" s="12" t="inlineStr">
        <is>
          <t>3/C+G</t>
        </is>
      </c>
      <c r="M6122" s="12" t="inlineStr">
        <is>
          <t>4</t>
        </is>
      </c>
      <c r="N6122" s="12" t="n">
        <v>1</v>
      </c>
      <c r="O6122" s="12" t="n">
        <v>1</v>
      </c>
      <c r="P6122" s="12" t="n">
        <v>480</v>
      </c>
      <c r="Q6122" s="12" t="n">
        <v>15</v>
      </c>
      <c r="R6122" s="12" t="n">
        <v>21.2</v>
      </c>
      <c r="S6122" s="12" t="inlineStr">
        <is>
          <t>Duct bank</t>
        </is>
      </c>
      <c r="T6122" s="15" t="n">
        <v>797</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2.2 %</t>
        </is>
      </c>
      <c r="AA6122" s="12">
        <f>N6122*O6122</f>
        <v/>
      </c>
    </row>
    <row r="6123">
      <c r="A6123" s="12" t="inlineStr">
        <is>
          <t>K-P-0046</t>
        </is>
      </c>
      <c r="B6123" s="12" t="inlineStr">
        <is>
          <t>K</t>
        </is>
      </c>
      <c r="C6123" s="12" t="inlineStr">
        <is>
          <t>Fuel supply (adjacent market)</t>
        </is>
      </c>
      <c r="D6123" s="12" t="inlineStr">
        <is>
          <t>LV power feeder</t>
        </is>
      </c>
      <c r="E6123" s="12" t="inlineStr"/>
      <c r="F6123" s="12" t="inlineStr">
        <is>
          <t>LNG 17: LNG e-house (13.8 kV / 480 V)</t>
        </is>
      </c>
      <c r="G6123" s="12" t="inlineStr"/>
      <c r="H6123" s="12" t="inlineStr">
        <is>
          <t>M&amp;R 4: line heater 1 (water bath)</t>
        </is>
      </c>
      <c r="I6123" s="12" t="inlineStr">
        <is>
          <t>LV 600 V</t>
        </is>
      </c>
      <c r="J6123" s="12" t="inlineStr">
        <is>
          <t>ARMOR-X MC-HL 600 V 3/C Cu XHHW-2 + ground, CWA, black PVC (Class I Div 2)</t>
        </is>
      </c>
      <c r="K6123" s="12" t="inlineStr">
        <is>
          <t>LVAX|3/C+G|6</t>
        </is>
      </c>
      <c r="L6123" s="12" t="inlineStr">
        <is>
          <t>3/C+G</t>
        </is>
      </c>
      <c r="M6123" s="12" t="inlineStr">
        <is>
          <t>6</t>
        </is>
      </c>
      <c r="N6123" s="12" t="n">
        <v>1</v>
      </c>
      <c r="O6123" s="12" t="n">
        <v>1</v>
      </c>
      <c r="P6123" s="12" t="n">
        <v>480</v>
      </c>
      <c r="Q6123" s="12" t="n">
        <v>15</v>
      </c>
      <c r="R6123" s="12" t="n">
        <v>21.2</v>
      </c>
      <c r="S6123" s="12" t="inlineStr">
        <is>
          <t>Duct bank</t>
        </is>
      </c>
      <c r="T6123" s="15" t="n">
        <v>593</v>
      </c>
      <c r="U6123" s="15" t="n">
        <v>32</v>
      </c>
      <c r="V6123" s="15">
        <f>ROUNDUP((T6123+U6123+2*'Read Me'!$B$13)*(1+'Read Me'!$B$12),-1)</f>
        <v/>
      </c>
      <c r="W6123" s="15">
        <f>V6123*N6123*O6123</f>
        <v/>
      </c>
      <c r="X6123" s="12">
        <f>IF(LEFT(I6123,2)="MV",2*N6123*IF(L6123="1/C",O6123,1),0)</f>
        <v/>
      </c>
      <c r="Y6123" s="12">
        <f>IF(OR(LEFT(K6123,4)="LVAX",LEFT(K6123,6)="MV15AX",LEFT(K6123,4)="CTAX",LEFT(K6123,2)="W|"),2*N6123*O6123,0)</f>
        <v/>
      </c>
      <c r="Z6123" s="12" t="inlineStr">
        <is>
          <t>VD 2.6 %</t>
        </is>
      </c>
      <c r="AA6123" s="12">
        <f>N6123*O6123</f>
        <v/>
      </c>
    </row>
    <row r="6124">
      <c r="A6124" s="12" t="inlineStr">
        <is>
          <t>K-P-0047</t>
        </is>
      </c>
      <c r="B6124" s="12" t="inlineStr">
        <is>
          <t>K</t>
        </is>
      </c>
      <c r="C6124" s="12" t="inlineStr">
        <is>
          <t>Fuel supply (adjacent market)</t>
        </is>
      </c>
      <c r="D6124" s="12" t="inlineStr">
        <is>
          <t>LV power feeder</t>
        </is>
      </c>
      <c r="E6124" s="12" t="inlineStr"/>
      <c r="F6124" s="12" t="inlineStr">
        <is>
          <t>LNG 17: LNG e-house (13.8 kV / 480 V)</t>
        </is>
      </c>
      <c r="G6124" s="12" t="inlineStr"/>
      <c r="H6124" s="12" t="inlineStr">
        <is>
          <t>M&amp;R 4: line heater 2 (water bath)</t>
        </is>
      </c>
      <c r="I6124" s="12" t="inlineStr">
        <is>
          <t>LV 600 V</t>
        </is>
      </c>
      <c r="J6124" s="12" t="inlineStr">
        <is>
          <t>ARMOR-X MC-HL 600 V 3/C Cu XHHW-2 + ground, CWA, black PVC (Class I Div 2)</t>
        </is>
      </c>
      <c r="K6124" s="12" t="inlineStr">
        <is>
          <t>LVAX|3/C+G|6</t>
        </is>
      </c>
      <c r="L6124" s="12" t="inlineStr">
        <is>
          <t>3/C+G</t>
        </is>
      </c>
      <c r="M6124" s="12" t="inlineStr">
        <is>
          <t>6</t>
        </is>
      </c>
      <c r="N6124" s="12" t="n">
        <v>1</v>
      </c>
      <c r="O6124" s="12" t="n">
        <v>1</v>
      </c>
      <c r="P6124" s="12" t="n">
        <v>480</v>
      </c>
      <c r="Q6124" s="12" t="n">
        <v>15</v>
      </c>
      <c r="R6124" s="12" t="n">
        <v>21.2</v>
      </c>
      <c r="S6124" s="12" t="inlineStr">
        <is>
          <t>Duct bank</t>
        </is>
      </c>
      <c r="T6124" s="15" t="n">
        <v>593</v>
      </c>
      <c r="U6124" s="15" t="n">
        <v>50</v>
      </c>
      <c r="V6124" s="15">
        <f>ROUNDUP((T6124+U6124+2*'Read Me'!$B$13)*(1+'Read Me'!$B$12),-1)</f>
        <v/>
      </c>
      <c r="W6124" s="15">
        <f>V6124*N6124*O6124</f>
        <v/>
      </c>
      <c r="X6124" s="12">
        <f>IF(LEFT(I6124,2)="MV",2*N6124*IF(L6124="1/C",O6124,1),0)</f>
        <v/>
      </c>
      <c r="Y6124" s="12">
        <f>IF(OR(LEFT(K6124,4)="LVAX",LEFT(K6124,6)="MV15AX",LEFT(K6124,4)="CTAX",LEFT(K6124,2)="W|"),2*N6124*O6124,0)</f>
        <v/>
      </c>
      <c r="Z6124" s="12" t="inlineStr">
        <is>
          <t>VD 2.7 %</t>
        </is>
      </c>
      <c r="AA6124" s="12">
        <f>N6124*O6124</f>
        <v/>
      </c>
    </row>
    <row r="6125">
      <c r="A6125" s="12" t="inlineStr">
        <is>
          <t>K-P-0048</t>
        </is>
      </c>
      <c r="B6125" s="12" t="inlineStr">
        <is>
          <t>K</t>
        </is>
      </c>
      <c r="C6125" s="12" t="inlineStr">
        <is>
          <t>Fuel supply (adjacent market)</t>
        </is>
      </c>
      <c r="D6125" s="12" t="inlineStr">
        <is>
          <t>LV power feeder</t>
        </is>
      </c>
      <c r="E6125" s="12" t="inlineStr"/>
      <c r="F6125" s="12" t="inlineStr">
        <is>
          <t>LNG 17: LNG e-house (13.8 kV / 480 V)</t>
        </is>
      </c>
      <c r="G6125" s="12" t="inlineStr"/>
      <c r="H6125" s="12" t="inlineStr">
        <is>
          <t>M&amp;R 4: line heater 3 (water bath)</t>
        </is>
      </c>
      <c r="I6125" s="12" t="inlineStr">
        <is>
          <t>LV 600 V</t>
        </is>
      </c>
      <c r="J6125" s="12" t="inlineStr">
        <is>
          <t>ARMOR-X MC-HL 600 V 3/C Cu XHHW-2 + ground, CWA, black PVC (Class I Div 2)</t>
        </is>
      </c>
      <c r="K6125" s="12" t="inlineStr">
        <is>
          <t>LVAX|3/C+G|6</t>
        </is>
      </c>
      <c r="L6125" s="12" t="inlineStr">
        <is>
          <t>3/C+G</t>
        </is>
      </c>
      <c r="M6125" s="12" t="inlineStr">
        <is>
          <t>6</t>
        </is>
      </c>
      <c r="N6125" s="12" t="n">
        <v>1</v>
      </c>
      <c r="O6125" s="12" t="n">
        <v>1</v>
      </c>
      <c r="P6125" s="12" t="n">
        <v>480</v>
      </c>
      <c r="Q6125" s="12" t="n">
        <v>15</v>
      </c>
      <c r="R6125" s="12" t="n">
        <v>21.2</v>
      </c>
      <c r="S6125" s="12" t="inlineStr">
        <is>
          <t>Duct bank</t>
        </is>
      </c>
      <c r="T6125" s="15" t="n">
        <v>593</v>
      </c>
      <c r="U6125" s="15" t="n">
        <v>68</v>
      </c>
      <c r="V6125" s="15">
        <f>ROUNDUP((T6125+U6125+2*'Read Me'!$B$13)*(1+'Read Me'!$B$12),-1)</f>
        <v/>
      </c>
      <c r="W6125" s="15">
        <f>V6125*N6125*O6125</f>
        <v/>
      </c>
      <c r="X6125" s="12">
        <f>IF(LEFT(I6125,2)="MV",2*N6125*IF(L6125="1/C",O6125,1),0)</f>
        <v/>
      </c>
      <c r="Y6125" s="12">
        <f>IF(OR(LEFT(K6125,4)="LVAX",LEFT(K6125,6)="MV15AX",LEFT(K6125,4)="CTAX",LEFT(K6125,2)="W|"),2*N6125*O6125,0)</f>
        <v/>
      </c>
      <c r="Z6125" s="12" t="inlineStr">
        <is>
          <t>VD 2.7 %</t>
        </is>
      </c>
      <c r="AA6125" s="12">
        <f>N6125*O6125</f>
        <v/>
      </c>
    </row>
    <row r="6126">
      <c r="A6126" s="12" t="inlineStr">
        <is>
          <t>K-P-0049</t>
        </is>
      </c>
      <c r="B6126" s="12" t="inlineStr">
        <is>
          <t>K</t>
        </is>
      </c>
      <c r="C6126" s="12" t="inlineStr">
        <is>
          <t>Fuel supply (adjacent market)</t>
        </is>
      </c>
      <c r="D6126" s="12" t="inlineStr">
        <is>
          <t>LV panel / distribution feeder</t>
        </is>
      </c>
      <c r="E6126" s="12" t="inlineStr"/>
      <c r="F6126" s="12" t="inlineStr">
        <is>
          <t>LNG 17: LNG e-house (13.8 kV / 480 V)</t>
        </is>
      </c>
      <c r="G6126" s="12" t="inlineStr"/>
      <c r="H6126" s="12" t="inlineStr">
        <is>
          <t>M&amp;R 6: regulation / flow control building</t>
        </is>
      </c>
      <c r="I6126" s="12" t="inlineStr">
        <is>
          <t>LV 600 V</t>
        </is>
      </c>
      <c r="J6126" s="12" t="inlineStr">
        <is>
          <t>ARMOR-X MC-HL 600 V 3/C Cu XHHW-2 + ground, CWA, black PVC (Class I Div 2)</t>
        </is>
      </c>
      <c r="K6126" s="12" t="inlineStr">
        <is>
          <t>LVAX|3/C+G|8</t>
        </is>
      </c>
      <c r="L6126" s="12" t="inlineStr">
        <is>
          <t>3/C+G</t>
        </is>
      </c>
      <c r="M6126" s="12" t="inlineStr">
        <is>
          <t>8</t>
        </is>
      </c>
      <c r="N6126" s="12" t="n">
        <v>1</v>
      </c>
      <c r="O6126" s="12" t="n">
        <v>1</v>
      </c>
      <c r="P6126" s="12" t="n">
        <v>480</v>
      </c>
      <c r="Q6126" s="12" t="n">
        <v>10</v>
      </c>
      <c r="R6126" s="12" t="n">
        <v>14.2</v>
      </c>
      <c r="S6126" s="12" t="inlineStr">
        <is>
          <t>Duct bank</t>
        </is>
      </c>
      <c r="T6126" s="15" t="n">
        <v>470</v>
      </c>
      <c r="U6126" s="15" t="n">
        <v>70</v>
      </c>
      <c r="V6126" s="15">
        <f>ROUNDUP((T6126+U6126+2*'Read Me'!$B$13)*(1+'Read Me'!$B$12),-1)</f>
        <v/>
      </c>
      <c r="W6126" s="15">
        <f>V6126*N6126*O6126</f>
        <v/>
      </c>
      <c r="X6126" s="12">
        <f>IF(LEFT(I6126,2)="MV",2*N6126*IF(L6126="1/C",O6126,1),0)</f>
        <v/>
      </c>
      <c r="Y6126" s="12">
        <f>IF(OR(LEFT(K6126,4)="LVAX",LEFT(K6126,6)="MV15AX",LEFT(K6126,4)="CTAX",LEFT(K6126,2)="W|"),2*N6126*O6126,0)</f>
        <v/>
      </c>
      <c r="Z6126" s="12" t="inlineStr">
        <is>
          <t>VD 2.3 %</t>
        </is>
      </c>
      <c r="AA6126" s="12">
        <f>N6126*O6126</f>
        <v/>
      </c>
    </row>
    <row r="6127">
      <c r="A6127" s="12" t="inlineStr">
        <is>
          <t>K-P-0050</t>
        </is>
      </c>
      <c r="B6127" s="12" t="inlineStr">
        <is>
          <t>K</t>
        </is>
      </c>
      <c r="C6127" s="12" t="inlineStr">
        <is>
          <t>Fuel supply (adjacent market)</t>
        </is>
      </c>
      <c r="D6127" s="12" t="inlineStr">
        <is>
          <t>LV panel / distribution feeder</t>
        </is>
      </c>
      <c r="E6127" s="12" t="inlineStr"/>
      <c r="F6127" s="12" t="inlineStr">
        <is>
          <t>LNG 17: LNG e-house (13.8 kV / 480 V)</t>
        </is>
      </c>
      <c r="G6127" s="12" t="inlineStr"/>
      <c r="H6127" s="12" t="inlineStr">
        <is>
          <t>M&amp;R 7: gas quality + measurement building</t>
        </is>
      </c>
      <c r="I6127" s="12" t="inlineStr">
        <is>
          <t>LV 600 V</t>
        </is>
      </c>
      <c r="J6127" s="12" t="inlineStr">
        <is>
          <t>ARMOR-X MC-HL 600 V 3/C Cu XHHW-2 + ground, CWA, black PVC (Class I Div 2)</t>
        </is>
      </c>
      <c r="K6127" s="12" t="inlineStr">
        <is>
          <t>LVAX|3/C+G|2</t>
        </is>
      </c>
      <c r="L6127" s="12" t="inlineStr">
        <is>
          <t>3/C+G</t>
        </is>
      </c>
      <c r="M6127" s="12" t="inlineStr">
        <is>
          <t>2</t>
        </is>
      </c>
      <c r="N6127" s="12" t="n">
        <v>1</v>
      </c>
      <c r="O6127" s="12" t="n">
        <v>1</v>
      </c>
      <c r="P6127" s="12" t="n">
        <v>480</v>
      </c>
      <c r="Q6127" s="12" t="n">
        <v>30</v>
      </c>
      <c r="R6127" s="12" t="n">
        <v>42.5</v>
      </c>
      <c r="S6127" s="12" t="inlineStr">
        <is>
          <t>Duct bank</t>
        </is>
      </c>
      <c r="T6127" s="15" t="n">
        <v>616</v>
      </c>
      <c r="U6127" s="15" t="n">
        <v>52</v>
      </c>
      <c r="V6127" s="15">
        <f>ROUNDUP((T6127+U6127+2*'Read Me'!$B$13)*(1+'Read Me'!$B$12),-1)</f>
        <v/>
      </c>
      <c r="W6127" s="15">
        <f>V6127*N6127*O6127</f>
        <v/>
      </c>
      <c r="X6127" s="12">
        <f>IF(LEFT(I6127,2)="MV",2*N6127*IF(L6127="1/C",O6127,1),0)</f>
        <v/>
      </c>
      <c r="Y6127" s="12">
        <f>IF(OR(LEFT(K6127,4)="LVAX",LEFT(K6127,6)="MV15AX",LEFT(K6127,4)="CTAX",LEFT(K6127,2)="W|"),2*N6127*O6127,0)</f>
        <v/>
      </c>
      <c r="Z6127" s="12" t="inlineStr">
        <is>
          <t>VD 2.2 %</t>
        </is>
      </c>
      <c r="AA6127" s="12">
        <f>N6127*O6127</f>
        <v/>
      </c>
    </row>
    <row r="6128">
      <c r="A6128" s="12" t="inlineStr">
        <is>
          <t>K-P-0051</t>
        </is>
      </c>
      <c r="B6128" s="12" t="inlineStr">
        <is>
          <t>K</t>
        </is>
      </c>
      <c r="C6128" s="12" t="inlineStr">
        <is>
          <t>Fuel supply (adjacent market)</t>
        </is>
      </c>
      <c r="D6128" s="12" t="inlineStr">
        <is>
          <t>LV power feeder</t>
        </is>
      </c>
      <c r="E6128" s="12" t="inlineStr"/>
      <c r="F6128" s="12" t="inlineStr">
        <is>
          <t>LNG 17: LNG e-house (13.8 kV / 480 V)</t>
        </is>
      </c>
      <c r="G6128" s="12" t="inlineStr"/>
      <c r="H6128" s="12" t="inlineStr">
        <is>
          <t>M&amp;R 8: condensate tank</t>
        </is>
      </c>
      <c r="I6128" s="12" t="inlineStr">
        <is>
          <t>LV 600 V</t>
        </is>
      </c>
      <c r="J6128" s="12" t="inlineStr">
        <is>
          <t>ARMOR-X MC-HL 600 V 3/C Cu XHHW-2 + ground, CWA, black PVC (Class I Div 2)</t>
        </is>
      </c>
      <c r="K6128" s="12" t="inlineStr">
        <is>
          <t>LVAX|3/C+G|8</t>
        </is>
      </c>
      <c r="L6128" s="12" t="inlineStr">
        <is>
          <t>3/C+G</t>
        </is>
      </c>
      <c r="M6128" s="12" t="inlineStr">
        <is>
          <t>8</t>
        </is>
      </c>
      <c r="N6128" s="12" t="n">
        <v>1</v>
      </c>
      <c r="O6128" s="12" t="n">
        <v>1</v>
      </c>
      <c r="P6128" s="12" t="n">
        <v>480</v>
      </c>
      <c r="Q6128" s="12" t="n">
        <v>10</v>
      </c>
      <c r="R6128" s="12" t="n">
        <v>14.2</v>
      </c>
      <c r="S6128" s="12" t="inlineStr">
        <is>
          <t>Duct bank</t>
        </is>
      </c>
      <c r="T6128" s="15" t="n">
        <v>530</v>
      </c>
      <c r="U6128" s="15" t="n">
        <v>87</v>
      </c>
      <c r="V6128" s="15">
        <f>ROUNDUP((T6128+U6128+2*'Read Me'!$B$13)*(1+'Read Me'!$B$12),-1)</f>
        <v/>
      </c>
      <c r="W6128" s="15">
        <f>V6128*N6128*O6128</f>
        <v/>
      </c>
      <c r="X6128" s="12">
        <f>IF(LEFT(I6128,2)="MV",2*N6128*IF(L6128="1/C",O6128,1),0)</f>
        <v/>
      </c>
      <c r="Y6128" s="12">
        <f>IF(OR(LEFT(K6128,4)="LVAX",LEFT(K6128,6)="MV15AX",LEFT(K6128,4)="CTAX",LEFT(K6128,2)="W|"),2*N6128*O6128,0)</f>
        <v/>
      </c>
      <c r="Z6128" s="12" t="inlineStr">
        <is>
          <t>VD 2.6 %</t>
        </is>
      </c>
      <c r="AA6128" s="12">
        <f>N6128*O6128</f>
        <v/>
      </c>
    </row>
    <row r="6129">
      <c r="A6129" s="12" t="inlineStr">
        <is>
          <t>K-P-0052</t>
        </is>
      </c>
      <c r="B6129" s="12" t="inlineStr">
        <is>
          <t>K</t>
        </is>
      </c>
      <c r="C6129" s="12" t="inlineStr">
        <is>
          <t>Fuel supply (adjacent market)</t>
        </is>
      </c>
      <c r="D6129" s="12" t="inlineStr">
        <is>
          <t>LV power feeder</t>
        </is>
      </c>
      <c r="E6129" s="12" t="inlineStr"/>
      <c r="F6129" s="12" t="inlineStr">
        <is>
          <t>LNG 17: LNG e-house (13.8 kV / 480 V)</t>
        </is>
      </c>
      <c r="G6129" s="12" t="inlineStr"/>
      <c r="H6129" s="12" t="inlineStr">
        <is>
          <t>M&amp;R 9: service panel + UPS, SCADA RTU, CP</t>
        </is>
      </c>
      <c r="I6129" s="12" t="inlineStr">
        <is>
          <t>LV 600 V</t>
        </is>
      </c>
      <c r="J6129" s="12" t="inlineStr">
        <is>
          <t>ARMOR-X MC-HL 600 V 3/C Cu XHHW-2 + ground, CWA, black PVC (Class I Div 2)</t>
        </is>
      </c>
      <c r="K6129" s="12" t="inlineStr">
        <is>
          <t>LVAX|3/C+G|6</t>
        </is>
      </c>
      <c r="L6129" s="12" t="inlineStr">
        <is>
          <t>3/C+G</t>
        </is>
      </c>
      <c r="M6129" s="12" t="inlineStr">
        <is>
          <t>6</t>
        </is>
      </c>
      <c r="N6129" s="12" t="n">
        <v>1</v>
      </c>
      <c r="O6129" s="12" t="n">
        <v>1</v>
      </c>
      <c r="P6129" s="12" t="n">
        <v>480</v>
      </c>
      <c r="Q6129" s="12" t="n">
        <v>15</v>
      </c>
      <c r="R6129" s="12" t="n">
        <v>21.2</v>
      </c>
      <c r="S6129" s="12" t="inlineStr">
        <is>
          <t>Duct bank</t>
        </is>
      </c>
      <c r="T6129" s="15" t="n">
        <v>466</v>
      </c>
      <c r="U6129" s="15" t="n">
        <v>32</v>
      </c>
      <c r="V6129" s="15">
        <f>ROUNDUP((T6129+U6129+2*'Read Me'!$B$13)*(1+'Read Me'!$B$12),-1)</f>
        <v/>
      </c>
      <c r="W6129" s="15">
        <f>V6129*N6129*O6129</f>
        <v/>
      </c>
      <c r="X6129" s="12">
        <f>IF(LEFT(I6129,2)="MV",2*N6129*IF(L6129="1/C",O6129,1),0)</f>
        <v/>
      </c>
      <c r="Y6129" s="12">
        <f>IF(OR(LEFT(K6129,4)="LVAX",LEFT(K6129,6)="MV15AX",LEFT(K6129,4)="CTAX",LEFT(K6129,2)="W|"),2*N6129*O6129,0)</f>
        <v/>
      </c>
      <c r="Z6129" s="12" t="inlineStr">
        <is>
          <t>VD 2.1 %</t>
        </is>
      </c>
      <c r="AA6129" s="12">
        <f>N6129*O6129</f>
        <v/>
      </c>
    </row>
    <row r="6130">
      <c r="A6130" s="12" t="inlineStr">
        <is>
          <t>K-P-0053</t>
        </is>
      </c>
      <c r="B6130" s="12" t="inlineStr">
        <is>
          <t>K</t>
        </is>
      </c>
      <c r="C6130" s="12" t="inlineStr">
        <is>
          <t>Fuel supply (adjacent market)</t>
        </is>
      </c>
      <c r="D6130" s="12" t="inlineStr">
        <is>
          <t>LV power feeder</t>
        </is>
      </c>
      <c r="E6130" s="12" t="inlineStr"/>
      <c r="F6130" s="12" t="inlineStr">
        <is>
          <t>LNG 17: LNG e-house (13.8 kV / 480 V)</t>
        </is>
      </c>
      <c r="G6130" s="12" t="inlineStr"/>
      <c r="H6130" s="12" t="inlineStr">
        <is>
          <t>M&amp;R CP test station (as drawn)</t>
        </is>
      </c>
      <c r="I6130" s="12" t="inlineStr">
        <is>
          <t>LV 600 V</t>
        </is>
      </c>
      <c r="J6130" s="12" t="inlineStr">
        <is>
          <t>ARMOR-X MC-HL 600 V 3/C Cu XHHW-2 + ground, CWA, black PVC (Class I Div 2)</t>
        </is>
      </c>
      <c r="K6130" s="12" t="inlineStr">
        <is>
          <t>LVAX|3/C+G|6</t>
        </is>
      </c>
      <c r="L6130" s="12" t="inlineStr">
        <is>
          <t>3/C+G</t>
        </is>
      </c>
      <c r="M6130" s="12" t="inlineStr">
        <is>
          <t>6</t>
        </is>
      </c>
      <c r="N6130" s="12" t="n">
        <v>1</v>
      </c>
      <c r="O6130" s="12" t="n">
        <v>1</v>
      </c>
      <c r="P6130" s="12" t="n">
        <v>480</v>
      </c>
      <c r="Q6130" s="12" t="n">
        <v>15</v>
      </c>
      <c r="R6130" s="12" t="n">
        <v>21.2</v>
      </c>
      <c r="S6130" s="12" t="inlineStr">
        <is>
          <t>Duct bank</t>
        </is>
      </c>
      <c r="T6130" s="15" t="n">
        <v>441</v>
      </c>
      <c r="U6130" s="15" t="n">
        <v>42</v>
      </c>
      <c r="V6130" s="15">
        <f>ROUNDUP((T6130+U6130+2*'Read Me'!$B$13)*(1+'Read Me'!$B$12),-1)</f>
        <v/>
      </c>
      <c r="W6130" s="15">
        <f>V6130*N6130*O6130</f>
        <v/>
      </c>
      <c r="X6130" s="12">
        <f>IF(LEFT(I6130,2)="MV",2*N6130*IF(L6130="1/C",O6130,1),0)</f>
        <v/>
      </c>
      <c r="Y6130" s="12">
        <f>IF(OR(LEFT(K6130,4)="LVAX",LEFT(K6130,6)="MV15AX",LEFT(K6130,4)="CTAX",LEFT(K6130,2)="W|"),2*N6130*O6130,0)</f>
        <v/>
      </c>
      <c r="Z6130" s="12" t="inlineStr">
        <is>
          <t>VD 2.0 %</t>
        </is>
      </c>
      <c r="AA6130" s="12">
        <f>N6130*O6130</f>
        <v/>
      </c>
    </row>
    <row r="6131">
      <c r="A6131" s="12" t="inlineStr">
        <is>
          <t>K-P-0054</t>
        </is>
      </c>
      <c r="B6131" s="12" t="inlineStr">
        <is>
          <t>K</t>
        </is>
      </c>
      <c r="C6131" s="12" t="inlineStr">
        <is>
          <t>Fuel supply (adjacent market)</t>
        </is>
      </c>
      <c r="D6131" s="12" t="inlineStr">
        <is>
          <t>LV power feeder</t>
        </is>
      </c>
      <c r="E6131" s="12" t="inlineStr"/>
      <c r="F6131" s="12" t="inlineStr">
        <is>
          <t>LNG 17: LNG e-house (13.8 kV / 480 V)</t>
        </is>
      </c>
      <c r="G6131" s="12" t="inlineStr"/>
      <c r="H6131" s="12" t="inlineStr">
        <is>
          <t>M&amp;R SCADA antenna mast base (as drawn)</t>
        </is>
      </c>
      <c r="I6131" s="12" t="inlineStr">
        <is>
          <t>LV 600 V</t>
        </is>
      </c>
      <c r="J6131" s="12" t="inlineStr">
        <is>
          <t>ARMOR-X MC-HL 600 V 3/C Cu XHHW-2 + ground, CWA, black PVC (Class I Div 2)</t>
        </is>
      </c>
      <c r="K6131" s="12" t="inlineStr">
        <is>
          <t>LVAX|3/C+G|8</t>
        </is>
      </c>
      <c r="L6131" s="12" t="inlineStr">
        <is>
          <t>3/C+G</t>
        </is>
      </c>
      <c r="M6131" s="12" t="inlineStr">
        <is>
          <t>8</t>
        </is>
      </c>
      <c r="N6131" s="12" t="n">
        <v>1</v>
      </c>
      <c r="O6131" s="12" t="n">
        <v>1</v>
      </c>
      <c r="P6131" s="12" t="n">
        <v>480</v>
      </c>
      <c r="Q6131" s="12" t="n">
        <v>15</v>
      </c>
      <c r="R6131" s="12" t="n">
        <v>21.2</v>
      </c>
      <c r="S6131" s="12" t="inlineStr">
        <is>
          <t>Duct bank</t>
        </is>
      </c>
      <c r="T6131" s="15" t="n">
        <v>433</v>
      </c>
      <c r="U6131" s="15" t="n">
        <v>32</v>
      </c>
      <c r="V6131" s="15">
        <f>ROUNDUP((T6131+U6131+2*'Read Me'!$B$13)*(1+'Read Me'!$B$12),-1)</f>
        <v/>
      </c>
      <c r="W6131" s="15">
        <f>V6131*N6131*O6131</f>
        <v/>
      </c>
      <c r="X6131" s="12">
        <f>IF(LEFT(I6131,2)="MV",2*N6131*IF(L6131="1/C",O6131,1),0)</f>
        <v/>
      </c>
      <c r="Y6131" s="12">
        <f>IF(OR(LEFT(K6131,4)="LVAX",LEFT(K6131,6)="MV15AX",LEFT(K6131,4)="CTAX",LEFT(K6131,2)="W|"),2*N6131*O6131,0)</f>
        <v/>
      </c>
      <c r="Z6131" s="12" t="inlineStr">
        <is>
          <t>VD 3.0 %</t>
        </is>
      </c>
      <c r="AA6131" s="12">
        <f>N6131*O6131</f>
        <v/>
      </c>
    </row>
    <row r="6132">
      <c r="A6132" s="12" t="inlineStr">
        <is>
          <t>K-MV-0001</t>
        </is>
      </c>
      <c r="B6132" s="12" t="inlineStr">
        <is>
          <t>K</t>
        </is>
      </c>
      <c r="C6132" s="12" t="inlineStr">
        <is>
          <t>Fuel supply (adjacent market)</t>
        </is>
      </c>
      <c r="D6132" s="12" t="inlineStr">
        <is>
          <t>H2 13.8 kV e-house (electrolyzers)</t>
        </is>
      </c>
      <c r="E6132" s="12" t="inlineStr">
        <is>
          <t>SWGR-13.8-3</t>
        </is>
      </c>
      <c r="F6132" s="12" t="inlineStr">
        <is>
          <t>R1 SWGR-13.8-3 (11 x 36 in cubicles, 15 kV metal-clad)</t>
        </is>
      </c>
      <c r="G6132" s="12" t="inlineStr"/>
      <c r="H6132" s="12" t="inlineStr">
        <is>
          <t>H2 20: 13.8 kV e-house</t>
        </is>
      </c>
      <c r="I6132" s="12" t="inlineStr">
        <is>
          <t>MV 15 kV</t>
        </is>
      </c>
      <c r="J6132" s="12" t="inlineStr">
        <is>
          <t>MV-105 15 kV 1/C Cu, EPR 133%, Cu tape shield, PVC jacket (triplexed)</t>
        </is>
      </c>
      <c r="K6132" s="12" t="inlineStr">
        <is>
          <t>MV15|1/C|750</t>
        </is>
      </c>
      <c r="L6132" s="12" t="inlineStr">
        <is>
          <t>1/C</t>
        </is>
      </c>
      <c r="M6132" s="12" t="inlineStr">
        <is>
          <t>750 kcmil</t>
        </is>
      </c>
      <c r="N6132" s="12" t="n">
        <v>2</v>
      </c>
      <c r="O6132" s="12" t="n">
        <v>3</v>
      </c>
      <c r="P6132" s="12" t="n">
        <v>13800</v>
      </c>
      <c r="Q6132" s="12" t="n">
        <v>20000</v>
      </c>
      <c r="R6132" s="12" t="n">
        <v>837</v>
      </c>
      <c r="S6132" s="12" t="inlineStr">
        <is>
          <t>HV duct bank</t>
        </is>
      </c>
      <c r="T6132" s="15" t="n">
        <v>4013</v>
      </c>
      <c r="U6132" s="15" t="n">
        <v>128</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K-MV-0002</t>
        </is>
      </c>
      <c r="B6133" s="12" t="inlineStr">
        <is>
          <t>K</t>
        </is>
      </c>
      <c r="C6133" s="12" t="inlineStr">
        <is>
          <t>Fuel supply (adjacent market)</t>
        </is>
      </c>
      <c r="D6133" s="12" t="inlineStr">
        <is>
          <t>LNG e-house</t>
        </is>
      </c>
      <c r="E6133" s="12" t="inlineStr">
        <is>
          <t>SWGR-13.8-3</t>
        </is>
      </c>
      <c r="F6133" s="12" t="inlineStr">
        <is>
          <t>R1 SWGR-13.8-3 (11 x 36 in cubicles, 15 kV metal-clad)</t>
        </is>
      </c>
      <c r="G6133" s="12" t="inlineStr"/>
      <c r="H6133" s="12" t="inlineStr">
        <is>
          <t>LNG 17: LNG e-house (13.8 kV / 480 V)</t>
        </is>
      </c>
      <c r="I6133" s="12" t="inlineStr">
        <is>
          <t>MV 15 kV</t>
        </is>
      </c>
      <c r="J6133" s="12" t="inlineStr">
        <is>
          <t>MV-105 15 kV 1/C Cu, EPR 133%, Cu tape shield, PVC jacket (triplexed)</t>
        </is>
      </c>
      <c r="K6133" s="12" t="inlineStr">
        <is>
          <t>MV15|1/C|4/0</t>
        </is>
      </c>
      <c r="L6133" s="12" t="inlineStr">
        <is>
          <t>1/C</t>
        </is>
      </c>
      <c r="M6133" s="12" t="inlineStr">
        <is>
          <t>4/0</t>
        </is>
      </c>
      <c r="N6133" s="12" t="n">
        <v>1</v>
      </c>
      <c r="O6133" s="12" t="n">
        <v>3</v>
      </c>
      <c r="P6133" s="12" t="n">
        <v>13800</v>
      </c>
      <c r="Q6133" s="12" t="n">
        <v>5000</v>
      </c>
      <c r="R6133" s="12" t="n">
        <v>209</v>
      </c>
      <c r="S6133" s="12" t="inlineStr">
        <is>
          <t>Duct bank</t>
        </is>
      </c>
      <c r="T6133" s="15" t="n">
        <v>2649</v>
      </c>
      <c r="U6133" s="15" t="n">
        <v>219</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C-C-0128</t>
        </is>
      </c>
      <c r="B6134" s="12" t="inlineStr">
        <is>
          <t>C</t>
        </is>
      </c>
      <c r="C6134" s="12" t="inlineStr">
        <is>
          <t>Grid interface</t>
        </is>
      </c>
      <c r="D6134" s="12" t="inlineStr">
        <is>
          <t>Motor 1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C-C-0129</t>
        </is>
      </c>
      <c r="B6135" s="12" t="inlineStr">
        <is>
          <t>C</t>
        </is>
      </c>
      <c r="C6135" s="12" t="inlineStr">
        <is>
          <t>Grid interface</t>
        </is>
      </c>
      <c r="D6135" s="12" t="inlineStr">
        <is>
          <t>Motor 2 of 10: control / local station</t>
        </is>
      </c>
      <c r="E6135" s="12" t="inlineStr">
        <is>
          <t>MCC-C1</t>
        </is>
      </c>
      <c r="F6135" s="12" t="inlineStr">
        <is>
          <t>R1 MCC-C1</t>
        </is>
      </c>
      <c r="G6135" s="12" t="inlineStr"/>
      <c r="H6135" s="12" t="inlineStr">
        <is>
          <t xml:space="preserve">CO2 compression 3 x ~19 MW + dehydration: rooftop HVAC, exhaust fans, </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1744</v>
      </c>
      <c r="U6135" s="15" t="n">
        <v>161</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C-C-0130</t>
        </is>
      </c>
      <c r="B6136" s="12" t="inlineStr">
        <is>
          <t>C</t>
        </is>
      </c>
      <c r="C6136" s="12" t="inlineStr">
        <is>
          <t>Grid interface</t>
        </is>
      </c>
      <c r="D6136" s="12" t="inlineStr">
        <is>
          <t>Motor 3 of 10: control / local station</t>
        </is>
      </c>
      <c r="E6136" s="12" t="inlineStr">
        <is>
          <t>MCC-C1</t>
        </is>
      </c>
      <c r="F6136" s="12" t="inlineStr">
        <is>
          <t>R1 MCC-C1</t>
        </is>
      </c>
      <c r="G6136" s="12" t="inlineStr"/>
      <c r="H6136" s="12" t="inlineStr">
        <is>
          <t xml:space="preserve">CO2 compression 3 x ~19 MW + dehydration: rooftop HVAC, exhaust fans, </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1744</v>
      </c>
      <c r="U6136" s="15" t="n">
        <v>161</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C-C-0131</t>
        </is>
      </c>
      <c r="B6137" s="12" t="inlineStr">
        <is>
          <t>C</t>
        </is>
      </c>
      <c r="C6137" s="12" t="inlineStr">
        <is>
          <t>Grid interface</t>
        </is>
      </c>
      <c r="D6137" s="12" t="inlineStr">
        <is>
          <t>Motor 4 of 10: control / local station</t>
        </is>
      </c>
      <c r="E6137" s="12" t="inlineStr">
        <is>
          <t>MCC-C1</t>
        </is>
      </c>
      <c r="F6137" s="12" t="inlineStr">
        <is>
          <t>R1 MCC-C1</t>
        </is>
      </c>
      <c r="G6137" s="12" t="inlineStr"/>
      <c r="H6137" s="12" t="inlineStr">
        <is>
          <t xml:space="preserve">CO2 compression 3 x ~19 MW + dehydration: rooftop HVAC, exhaust fans, </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Tray</t>
        </is>
      </c>
      <c r="T6137" s="15" t="n">
        <v>1744</v>
      </c>
      <c r="U6137" s="15" t="n">
        <v>161</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C-C-0132</t>
        </is>
      </c>
      <c r="B6138" s="12" t="inlineStr">
        <is>
          <t>C</t>
        </is>
      </c>
      <c r="C6138" s="12" t="inlineStr">
        <is>
          <t>Grid interface</t>
        </is>
      </c>
      <c r="D6138" s="12" t="inlineStr">
        <is>
          <t>Motor 5 of 10: control / local station</t>
        </is>
      </c>
      <c r="E6138" s="12" t="inlineStr">
        <is>
          <t>MCC-C1</t>
        </is>
      </c>
      <c r="F6138" s="12" t="inlineStr">
        <is>
          <t>R1 MCC-C1</t>
        </is>
      </c>
      <c r="G6138" s="12" t="inlineStr"/>
      <c r="H6138" s="12" t="inlineStr">
        <is>
          <t xml:space="preserve">CO2 compression 3 x ~19 MW + dehydration: rooftop HVAC, exhaust fans, </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Tray</t>
        </is>
      </c>
      <c r="T6138" s="15" t="n">
        <v>1744</v>
      </c>
      <c r="U6138" s="15" t="n">
        <v>161</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C-C-0133</t>
        </is>
      </c>
      <c r="B6139" s="12" t="inlineStr">
        <is>
          <t>C</t>
        </is>
      </c>
      <c r="C6139" s="12" t="inlineStr">
        <is>
          <t>Grid interface</t>
        </is>
      </c>
      <c r="D6139" s="12" t="inlineStr">
        <is>
          <t>Motor 6 of 10: control / local station</t>
        </is>
      </c>
      <c r="E6139" s="12" t="inlineStr">
        <is>
          <t>MCC-C1</t>
        </is>
      </c>
      <c r="F6139" s="12" t="inlineStr">
        <is>
          <t>R1 MCC-C1</t>
        </is>
      </c>
      <c r="G6139" s="12" t="inlineStr"/>
      <c r="H6139" s="12" t="inlineStr">
        <is>
          <t xml:space="preserve">CO2 compression 3 x ~19 MW + dehydration: rooftop HVAC, exhaust fans, </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Tray</t>
        </is>
      </c>
      <c r="T6139" s="15" t="n">
        <v>1744</v>
      </c>
      <c r="U6139" s="15" t="n">
        <v>161</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C-C-0134</t>
        </is>
      </c>
      <c r="B6140" s="12" t="inlineStr">
        <is>
          <t>C</t>
        </is>
      </c>
      <c r="C6140" s="12" t="inlineStr">
        <is>
          <t>Grid interface</t>
        </is>
      </c>
      <c r="D6140" s="12" t="inlineStr">
        <is>
          <t>Motor 7 of 10: control / local station</t>
        </is>
      </c>
      <c r="E6140" s="12" t="inlineStr">
        <is>
          <t>MCC-C1</t>
        </is>
      </c>
      <c r="F6140" s="12" t="inlineStr">
        <is>
          <t>R1 MCC-C1</t>
        </is>
      </c>
      <c r="G6140" s="12" t="inlineStr"/>
      <c r="H6140" s="12" t="inlineStr">
        <is>
          <t xml:space="preserve">CO2 compression 3 x ~19 MW + dehydration: rooftop HVAC, exhaust fans, </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Tray</t>
        </is>
      </c>
      <c r="T6140" s="15" t="n">
        <v>1744</v>
      </c>
      <c r="U6140" s="15" t="n">
        <v>161</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C-C-0135</t>
        </is>
      </c>
      <c r="B6141" s="12" t="inlineStr">
        <is>
          <t>C</t>
        </is>
      </c>
      <c r="C6141" s="12" t="inlineStr">
        <is>
          <t>Grid interface</t>
        </is>
      </c>
      <c r="D6141" s="12" t="inlineStr">
        <is>
          <t>Motor 8 of 10: control / local station</t>
        </is>
      </c>
      <c r="E6141" s="12" t="inlineStr">
        <is>
          <t>MCC-C1</t>
        </is>
      </c>
      <c r="F6141" s="12" t="inlineStr">
        <is>
          <t>R1 MCC-C1</t>
        </is>
      </c>
      <c r="G6141" s="12" t="inlineStr"/>
      <c r="H6141" s="12" t="inlineStr">
        <is>
          <t xml:space="preserve">CO2 compression 3 x ~19 MW + dehydration: rooftop HVAC, exhaust fans, </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Tray</t>
        </is>
      </c>
      <c r="T6141" s="15" t="n">
        <v>1744</v>
      </c>
      <c r="U6141" s="15" t="n">
        <v>161</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C-C-0136</t>
        </is>
      </c>
      <c r="B6142" s="12" t="inlineStr">
        <is>
          <t>C</t>
        </is>
      </c>
      <c r="C6142" s="12" t="inlineStr">
        <is>
          <t>Grid interface</t>
        </is>
      </c>
      <c r="D6142" s="12" t="inlineStr">
        <is>
          <t>Motor 9 of 10: control / local station</t>
        </is>
      </c>
      <c r="E6142" s="12" t="inlineStr">
        <is>
          <t>MCC-C1</t>
        </is>
      </c>
      <c r="F6142" s="12" t="inlineStr">
        <is>
          <t>R1 MCC-C1</t>
        </is>
      </c>
      <c r="G6142" s="12" t="inlineStr"/>
      <c r="H6142" s="12" t="inlineStr">
        <is>
          <t xml:space="preserve">CO2 compression 3 x ~19 MW + dehydration: rooftop HVAC, exhaust fans, </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Tray</t>
        </is>
      </c>
      <c r="T6142" s="15" t="n">
        <v>1744</v>
      </c>
      <c r="U6142" s="15" t="n">
        <v>161</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C-C-0137</t>
        </is>
      </c>
      <c r="B6143" s="12" t="inlineStr">
        <is>
          <t>C</t>
        </is>
      </c>
      <c r="C6143" s="12" t="inlineStr">
        <is>
          <t>Grid interface</t>
        </is>
      </c>
      <c r="D6143" s="12" t="inlineStr">
        <is>
          <t>Motor 10 of 10: control / local station</t>
        </is>
      </c>
      <c r="E6143" s="12" t="inlineStr">
        <is>
          <t>MCC-C1</t>
        </is>
      </c>
      <c r="F6143" s="12" t="inlineStr">
        <is>
          <t>R1 MCC-C1</t>
        </is>
      </c>
      <c r="G6143" s="12" t="inlineStr"/>
      <c r="H6143" s="12" t="inlineStr">
        <is>
          <t xml:space="preserve">CO2 compression 3 x ~19 MW + dehydration: rooftop HVAC, exhaust fans, </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Tray</t>
        </is>
      </c>
      <c r="T6143" s="15" t="n">
        <v>1744</v>
      </c>
      <c r="U6143" s="15" t="n">
        <v>161</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C-C-0138</t>
        </is>
      </c>
      <c r="B6144" s="12" t="inlineStr">
        <is>
          <t>C</t>
        </is>
      </c>
      <c r="C6144" s="12" t="inlineStr">
        <is>
          <t>Grid interface</t>
        </is>
      </c>
      <c r="D6144" s="12" t="inlineStr">
        <is>
          <t>Motor 1 of 2: control / local station</t>
        </is>
      </c>
      <c r="E6144" s="12" t="inlineStr">
        <is>
          <t>MCC-C1</t>
        </is>
      </c>
      <c r="F6144" s="12" t="inlineStr">
        <is>
          <t>R1 MCC-C1</t>
        </is>
      </c>
      <c r="G6144" s="12" t="inlineStr"/>
      <c r="H6144" s="12" t="inlineStr">
        <is>
          <t>Small-bore piping: instrument air, service water, nitrogen, HRSG drain</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Tray</t>
        </is>
      </c>
      <c r="T6144" s="15" t="n">
        <v>614</v>
      </c>
      <c r="U6144" s="15" t="n">
        <v>145</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C-C-0139</t>
        </is>
      </c>
      <c r="B6145" s="12" t="inlineStr">
        <is>
          <t>C</t>
        </is>
      </c>
      <c r="C6145" s="12" t="inlineStr">
        <is>
          <t>Grid interface</t>
        </is>
      </c>
      <c r="D6145" s="12" t="inlineStr">
        <is>
          <t>Motor 2 of 2: control / local station</t>
        </is>
      </c>
      <c r="E6145" s="12" t="inlineStr">
        <is>
          <t>MCC-C1</t>
        </is>
      </c>
      <c r="F6145" s="12" t="inlineStr">
        <is>
          <t>R1 MCC-C1</t>
        </is>
      </c>
      <c r="G6145" s="12" t="inlineStr"/>
      <c r="H6145" s="12" t="inlineStr">
        <is>
          <t>Small-bore piping: instrument air, service water, nitrogen, HRSG drain</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Tray</t>
        </is>
      </c>
      <c r="T6145" s="15" t="n">
        <v>614</v>
      </c>
      <c r="U6145" s="15" t="n">
        <v>145</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C-C-0140</t>
        </is>
      </c>
      <c r="B6146" s="12" t="inlineStr">
        <is>
          <t>C</t>
        </is>
      </c>
      <c r="C6146" s="12" t="inlineStr">
        <is>
          <t>Grid interface</t>
        </is>
      </c>
      <c r="D6146" s="12" t="inlineStr">
        <is>
          <t>Motor 1 of 8: control / local station</t>
        </is>
      </c>
      <c r="E6146" s="12" t="inlineStr">
        <is>
          <t>MCC-C1</t>
        </is>
      </c>
      <c r="F6146" s="12" t="inlineStr">
        <is>
          <t>R1 MCC-C1</t>
        </is>
      </c>
      <c r="G6146" s="12" t="inlineStr"/>
      <c r="H6146" s="12" t="inlineStr">
        <is>
          <t>Wastewater treatment: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1859</v>
      </c>
      <c r="U6146" s="15" t="n">
        <v>228</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C-C-0141</t>
        </is>
      </c>
      <c r="B6147" s="12" t="inlineStr">
        <is>
          <t>C</t>
        </is>
      </c>
      <c r="C6147" s="12" t="inlineStr">
        <is>
          <t>Grid interface</t>
        </is>
      </c>
      <c r="D6147" s="12" t="inlineStr">
        <is>
          <t>Motor 2 of 8: control / local station</t>
        </is>
      </c>
      <c r="E6147" s="12" t="inlineStr">
        <is>
          <t>MCC-C1</t>
        </is>
      </c>
      <c r="F6147" s="12" t="inlineStr">
        <is>
          <t>R1 MCC-C1</t>
        </is>
      </c>
      <c r="G6147" s="12" t="inlineStr"/>
      <c r="H6147" s="12" t="inlineStr">
        <is>
          <t>Wastewater treatment: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1859</v>
      </c>
      <c r="U6147" s="15" t="n">
        <v>228</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C-C-0142</t>
        </is>
      </c>
      <c r="B6148" s="12" t="inlineStr">
        <is>
          <t>C</t>
        </is>
      </c>
      <c r="C6148" s="12" t="inlineStr">
        <is>
          <t>Grid interface</t>
        </is>
      </c>
      <c r="D6148" s="12" t="inlineStr">
        <is>
          <t>Motor 3 of 8: control / local station</t>
        </is>
      </c>
      <c r="E6148" s="12" t="inlineStr">
        <is>
          <t>MCC-C1</t>
        </is>
      </c>
      <c r="F6148" s="12" t="inlineStr">
        <is>
          <t>R1 MCC-C1</t>
        </is>
      </c>
      <c r="G6148" s="12" t="inlineStr"/>
      <c r="H6148" s="12" t="inlineStr">
        <is>
          <t>Wastewater treatment: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1859</v>
      </c>
      <c r="U6148" s="15" t="n">
        <v>228</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C-C-0143</t>
        </is>
      </c>
      <c r="B6149" s="12" t="inlineStr">
        <is>
          <t>C</t>
        </is>
      </c>
      <c r="C6149" s="12" t="inlineStr">
        <is>
          <t>Grid interface</t>
        </is>
      </c>
      <c r="D6149" s="12" t="inlineStr">
        <is>
          <t>Motor 4 of 8: control / local station</t>
        </is>
      </c>
      <c r="E6149" s="12" t="inlineStr">
        <is>
          <t>MCC-C1</t>
        </is>
      </c>
      <c r="F6149" s="12" t="inlineStr">
        <is>
          <t>R1 MCC-C1</t>
        </is>
      </c>
      <c r="G6149" s="12" t="inlineStr"/>
      <c r="H6149" s="12" t="inlineStr">
        <is>
          <t>Wastewater treatment: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1859</v>
      </c>
      <c r="U6149" s="15" t="n">
        <v>228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C-C-0144</t>
        </is>
      </c>
      <c r="B6150" s="12" t="inlineStr">
        <is>
          <t>C</t>
        </is>
      </c>
      <c r="C6150" s="12" t="inlineStr">
        <is>
          <t>Grid interface</t>
        </is>
      </c>
      <c r="D6150" s="12" t="inlineStr">
        <is>
          <t>Motor 5 of 8: control / local station</t>
        </is>
      </c>
      <c r="E6150" s="12" t="inlineStr">
        <is>
          <t>MCC-C1</t>
        </is>
      </c>
      <c r="F6150" s="12" t="inlineStr">
        <is>
          <t>R1 MCC-C1</t>
        </is>
      </c>
      <c r="G6150" s="12" t="inlineStr"/>
      <c r="H6150" s="12" t="inlineStr">
        <is>
          <t>Wastewater treatment: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1859</v>
      </c>
      <c r="U6150" s="15" t="n">
        <v>228</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C-C-0145</t>
        </is>
      </c>
      <c r="B6151" s="12" t="inlineStr">
        <is>
          <t>C</t>
        </is>
      </c>
      <c r="C6151" s="12" t="inlineStr">
        <is>
          <t>Grid interface</t>
        </is>
      </c>
      <c r="D6151" s="12" t="inlineStr">
        <is>
          <t>Motor 6 of 8: control / local station</t>
        </is>
      </c>
      <c r="E6151" s="12" t="inlineStr">
        <is>
          <t>MCC-C1</t>
        </is>
      </c>
      <c r="F6151" s="12" t="inlineStr">
        <is>
          <t>R1 MCC-C1</t>
        </is>
      </c>
      <c r="G6151" s="12" t="inlineStr"/>
      <c r="H6151" s="12" t="inlineStr">
        <is>
          <t>Wastewater treatment: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1859</v>
      </c>
      <c r="U6151" s="15" t="n">
        <v>228</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C-C-0146</t>
        </is>
      </c>
      <c r="B6152" s="12" t="inlineStr">
        <is>
          <t>C</t>
        </is>
      </c>
      <c r="C6152" s="12" t="inlineStr">
        <is>
          <t>Grid interface</t>
        </is>
      </c>
      <c r="D6152" s="12" t="inlineStr">
        <is>
          <t>Motor 7 of 8: control / local station</t>
        </is>
      </c>
      <c r="E6152" s="12" t="inlineStr">
        <is>
          <t>MCC-C1</t>
        </is>
      </c>
      <c r="F6152" s="12" t="inlineStr">
        <is>
          <t>R1 MCC-C1</t>
        </is>
      </c>
      <c r="G6152" s="12" t="inlineStr"/>
      <c r="H6152" s="12" t="inlineStr">
        <is>
          <t>Wastewater treatment: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1859</v>
      </c>
      <c r="U6152" s="15" t="n">
        <v>228</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C-C-0147</t>
        </is>
      </c>
      <c r="B6153" s="12" t="inlineStr">
        <is>
          <t>C</t>
        </is>
      </c>
      <c r="C6153" s="12" t="inlineStr">
        <is>
          <t>Grid interface</t>
        </is>
      </c>
      <c r="D6153" s="12" t="inlineStr">
        <is>
          <t>Motor 8 of 8: control / local station</t>
        </is>
      </c>
      <c r="E6153" s="12" t="inlineStr">
        <is>
          <t>MCC-C1</t>
        </is>
      </c>
      <c r="F6153" s="12" t="inlineStr">
        <is>
          <t>R1 MCC-C1</t>
        </is>
      </c>
      <c r="G6153" s="12" t="inlineStr"/>
      <c r="H6153" s="12" t="inlineStr">
        <is>
          <t>Wastewater treatment: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1859</v>
      </c>
      <c r="U6153" s="15" t="n">
        <v>228</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C-C-0148</t>
        </is>
      </c>
      <c r="B6154" s="12" t="inlineStr">
        <is>
          <t>C</t>
        </is>
      </c>
      <c r="C6154" s="12" t="inlineStr">
        <is>
          <t>Grid interface</t>
        </is>
      </c>
      <c r="D6154" s="12" t="inlineStr">
        <is>
          <t>Motor 1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C-C-0149</t>
        </is>
      </c>
      <c r="B6155" s="12" t="inlineStr">
        <is>
          <t>C</t>
        </is>
      </c>
      <c r="C6155" s="12" t="inlineStr">
        <is>
          <t>Grid interface</t>
        </is>
      </c>
      <c r="D6155" s="12" t="inlineStr">
        <is>
          <t>Motor 2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C-C-0150</t>
        </is>
      </c>
      <c r="B6156" s="12" t="inlineStr">
        <is>
          <t>C</t>
        </is>
      </c>
      <c r="C6156" s="12" t="inlineStr">
        <is>
          <t>Grid interface</t>
        </is>
      </c>
      <c r="D6156" s="12" t="inlineStr">
        <is>
          <t>Motor 3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C-C-0151</t>
        </is>
      </c>
      <c r="B6157" s="12" t="inlineStr">
        <is>
          <t>C</t>
        </is>
      </c>
      <c r="C6157" s="12" t="inlineStr">
        <is>
          <t>Grid interface</t>
        </is>
      </c>
      <c r="D6157" s="12" t="inlineStr">
        <is>
          <t>Motor 4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C-C-0152</t>
        </is>
      </c>
      <c r="B6158" s="12" t="inlineStr">
        <is>
          <t>C</t>
        </is>
      </c>
      <c r="C6158" s="12" t="inlineStr">
        <is>
          <t>Grid interface</t>
        </is>
      </c>
      <c r="D6158" s="12" t="inlineStr">
        <is>
          <t>Motor 5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C-C-0153</t>
        </is>
      </c>
      <c r="B6159" s="12" t="inlineStr">
        <is>
          <t>C</t>
        </is>
      </c>
      <c r="C6159" s="12" t="inlineStr">
        <is>
          <t>Grid interface</t>
        </is>
      </c>
      <c r="D6159" s="12" t="inlineStr">
        <is>
          <t>Motor 6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C-C-0154</t>
        </is>
      </c>
      <c r="B6160" s="12" t="inlineStr">
        <is>
          <t>C</t>
        </is>
      </c>
      <c r="C6160" s="12" t="inlineStr">
        <is>
          <t>Grid interface</t>
        </is>
      </c>
      <c r="D6160" s="12" t="inlineStr">
        <is>
          <t>Motor 7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C-C-0155</t>
        </is>
      </c>
      <c r="B6161" s="12" t="inlineStr">
        <is>
          <t>C</t>
        </is>
      </c>
      <c r="C6161" s="12" t="inlineStr">
        <is>
          <t>Grid interface</t>
        </is>
      </c>
      <c r="D6161" s="12" t="inlineStr">
        <is>
          <t>Motor 8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C-C-0156</t>
        </is>
      </c>
      <c r="B6162" s="12" t="inlineStr">
        <is>
          <t>C</t>
        </is>
      </c>
      <c r="C6162" s="12" t="inlineStr">
        <is>
          <t>Grid interface</t>
        </is>
      </c>
      <c r="D6162" s="12" t="inlineStr">
        <is>
          <t>Motor 9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C-C-0157</t>
        </is>
      </c>
      <c r="B6163" s="12" t="inlineStr">
        <is>
          <t>C</t>
        </is>
      </c>
      <c r="C6163" s="12" t="inlineStr">
        <is>
          <t>Grid interface</t>
        </is>
      </c>
      <c r="D6163" s="12" t="inlineStr">
        <is>
          <t>Motor 10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C-C-0158</t>
        </is>
      </c>
      <c r="B6164" s="12" t="inlineStr">
        <is>
          <t>C</t>
        </is>
      </c>
      <c r="C6164" s="12" t="inlineStr">
        <is>
          <t>Grid interface</t>
        </is>
      </c>
      <c r="D6164" s="12" t="inlineStr">
        <is>
          <t>Motor 11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C-C-0159</t>
        </is>
      </c>
      <c r="B6165" s="12" t="inlineStr">
        <is>
          <t>C</t>
        </is>
      </c>
      <c r="C6165" s="12" t="inlineStr">
        <is>
          <t>Grid interface</t>
        </is>
      </c>
      <c r="D6165" s="12" t="inlineStr">
        <is>
          <t>Motor 12 of 20: control / local station</t>
        </is>
      </c>
      <c r="E6165" s="12" t="inlineStr">
        <is>
          <t>MCC-C1</t>
        </is>
      </c>
      <c r="F6165" s="12" t="inlineStr">
        <is>
          <t>R1 MCC-C1</t>
        </is>
      </c>
      <c r="G6165" s="12" t="inlineStr"/>
      <c r="H6165" s="12" t="inlineStr">
        <is>
          <t>Water treatment building: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1629</v>
      </c>
      <c r="U6165" s="15" t="n">
        <v>161</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C-C-0160</t>
        </is>
      </c>
      <c r="B6166" s="12" t="inlineStr">
        <is>
          <t>C</t>
        </is>
      </c>
      <c r="C6166" s="12" t="inlineStr">
        <is>
          <t>Grid interface</t>
        </is>
      </c>
      <c r="D6166" s="12" t="inlineStr">
        <is>
          <t>Motor 13 of 20: control / local station</t>
        </is>
      </c>
      <c r="E6166" s="12" t="inlineStr">
        <is>
          <t>MCC-C1</t>
        </is>
      </c>
      <c r="F6166" s="12" t="inlineStr">
        <is>
          <t>R1 MCC-C1</t>
        </is>
      </c>
      <c r="G6166" s="12" t="inlineStr"/>
      <c r="H6166" s="12" t="inlineStr">
        <is>
          <t>Water treatment building: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1629</v>
      </c>
      <c r="U6166" s="15" t="n">
        <v>161</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C-C-0161</t>
        </is>
      </c>
      <c r="B6167" s="12" t="inlineStr">
        <is>
          <t>C</t>
        </is>
      </c>
      <c r="C6167" s="12" t="inlineStr">
        <is>
          <t>Grid interface</t>
        </is>
      </c>
      <c r="D6167" s="12" t="inlineStr">
        <is>
          <t>Motor 14 of 20: control / local station</t>
        </is>
      </c>
      <c r="E6167" s="12" t="inlineStr">
        <is>
          <t>MCC-C1</t>
        </is>
      </c>
      <c r="F6167" s="12" t="inlineStr">
        <is>
          <t>R1 MCC-C1</t>
        </is>
      </c>
      <c r="G6167" s="12" t="inlineStr"/>
      <c r="H6167" s="12" t="inlineStr">
        <is>
          <t>Water treatment building: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1629</v>
      </c>
      <c r="U6167" s="15" t="n">
        <v>161</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C-C-0162</t>
        </is>
      </c>
      <c r="B6168" s="12" t="inlineStr">
        <is>
          <t>C</t>
        </is>
      </c>
      <c r="C6168" s="12" t="inlineStr">
        <is>
          <t>Grid interface</t>
        </is>
      </c>
      <c r="D6168" s="12" t="inlineStr">
        <is>
          <t>Motor 15 of 20: control / local station</t>
        </is>
      </c>
      <c r="E6168" s="12" t="inlineStr">
        <is>
          <t>MCC-C1</t>
        </is>
      </c>
      <c r="F6168" s="12" t="inlineStr">
        <is>
          <t>R1 MCC-C1</t>
        </is>
      </c>
      <c r="G6168" s="12" t="inlineStr"/>
      <c r="H6168" s="12" t="inlineStr">
        <is>
          <t>Water treatment building: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1629</v>
      </c>
      <c r="U6168" s="15" t="n">
        <v>161</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C-C-0163</t>
        </is>
      </c>
      <c r="B6169" s="12" t="inlineStr">
        <is>
          <t>C</t>
        </is>
      </c>
      <c r="C6169" s="12" t="inlineStr">
        <is>
          <t>Grid interface</t>
        </is>
      </c>
      <c r="D6169" s="12" t="inlineStr">
        <is>
          <t>Motor 16 of 20: control / local station</t>
        </is>
      </c>
      <c r="E6169" s="12" t="inlineStr">
        <is>
          <t>MCC-C1</t>
        </is>
      </c>
      <c r="F6169" s="12" t="inlineStr">
        <is>
          <t>R1 MCC-C1</t>
        </is>
      </c>
      <c r="G6169" s="12" t="inlineStr"/>
      <c r="H6169" s="12" t="inlineStr">
        <is>
          <t>Water treatment building: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1629</v>
      </c>
      <c r="U6169" s="15" t="n">
        <v>161</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C-C-0164</t>
        </is>
      </c>
      <c r="B6170" s="12" t="inlineStr">
        <is>
          <t>C</t>
        </is>
      </c>
      <c r="C6170" s="12" t="inlineStr">
        <is>
          <t>Grid interface</t>
        </is>
      </c>
      <c r="D6170" s="12" t="inlineStr">
        <is>
          <t>Motor 17 of 20: control / local station</t>
        </is>
      </c>
      <c r="E6170" s="12" t="inlineStr">
        <is>
          <t>MCC-C1</t>
        </is>
      </c>
      <c r="F6170" s="12" t="inlineStr">
        <is>
          <t>R1 MCC-C1</t>
        </is>
      </c>
      <c r="G6170" s="12" t="inlineStr"/>
      <c r="H6170" s="12" t="inlineStr">
        <is>
          <t>Water treatment building: rooftop HVAC, exhaust fans, vents</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Duct bank</t>
        </is>
      </c>
      <c r="T6170" s="15" t="n">
        <v>1629</v>
      </c>
      <c r="U6170" s="15" t="n">
        <v>161</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C-C-0165</t>
        </is>
      </c>
      <c r="B6171" s="12" t="inlineStr">
        <is>
          <t>C</t>
        </is>
      </c>
      <c r="C6171" s="12" t="inlineStr">
        <is>
          <t>Grid interface</t>
        </is>
      </c>
      <c r="D6171" s="12" t="inlineStr">
        <is>
          <t>Motor 18 of 20: control / local station</t>
        </is>
      </c>
      <c r="E6171" s="12" t="inlineStr">
        <is>
          <t>MCC-C1</t>
        </is>
      </c>
      <c r="F6171" s="12" t="inlineStr">
        <is>
          <t>R1 MCC-C1</t>
        </is>
      </c>
      <c r="G6171" s="12" t="inlineStr"/>
      <c r="H6171" s="12" t="inlineStr">
        <is>
          <t>Water treatment building: rooftop HVAC, exhaust fans, vents</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C-C-0166</t>
        </is>
      </c>
      <c r="B6172" s="12" t="inlineStr">
        <is>
          <t>C</t>
        </is>
      </c>
      <c r="C6172" s="12" t="inlineStr">
        <is>
          <t>Grid interface</t>
        </is>
      </c>
      <c r="D6172" s="12" t="inlineStr">
        <is>
          <t>Motor 19 of 20: control / local station</t>
        </is>
      </c>
      <c r="E6172" s="12" t="inlineStr">
        <is>
          <t>MCC-C1</t>
        </is>
      </c>
      <c r="F6172" s="12" t="inlineStr">
        <is>
          <t>R1 MCC-C1</t>
        </is>
      </c>
      <c r="G6172" s="12" t="inlineStr"/>
      <c r="H6172" s="12" t="inlineStr">
        <is>
          <t>Water treatment building: rooftop HVAC, exhaust fans, vents</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C-C-0167</t>
        </is>
      </c>
      <c r="B6173" s="12" t="inlineStr">
        <is>
          <t>C</t>
        </is>
      </c>
      <c r="C6173" s="12" t="inlineStr">
        <is>
          <t>Grid interface</t>
        </is>
      </c>
      <c r="D6173" s="12" t="inlineStr">
        <is>
          <t>Motor 20 of 20: control / local station</t>
        </is>
      </c>
      <c r="E6173" s="12" t="inlineStr">
        <is>
          <t>MCC-C1</t>
        </is>
      </c>
      <c r="F6173" s="12" t="inlineStr">
        <is>
          <t>R1 MCC-C1</t>
        </is>
      </c>
      <c r="G6173" s="12" t="inlineStr"/>
      <c r="H6173" s="12" t="inlineStr">
        <is>
          <t>Water treatment building: rooftop HVAC, exhaust fans, vents</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C-I-0081</t>
        </is>
      </c>
      <c r="B6174" s="12" t="inlineStr">
        <is>
          <t>C</t>
        </is>
      </c>
      <c r="C6174" s="12" t="inlineStr">
        <is>
          <t>Grid interface</t>
        </is>
      </c>
      <c r="D6174" s="12" t="inlineStr">
        <is>
          <t>Analog instrument to JB JB-CO2 compression 3 -AI01: 20 x 1 pr (field cables)</t>
        </is>
      </c>
      <c r="E6174" s="12" t="inlineStr"/>
      <c r="F6174" s="12" t="inlineStr">
        <is>
          <t xml:space="preserve">CO2 compression 3 x ~19 MW + dehydration: rooftop HVAC, exhaust fans, </t>
        </is>
      </c>
      <c r="G6174" s="12" t="inlineStr">
        <is>
          <t>JB-CO2 compression 3 -AI01</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PLTC|1 pr|16</t>
        </is>
      </c>
      <c r="L6174" s="12" t="inlineStr">
        <is>
          <t>1 pr</t>
        </is>
      </c>
      <c r="M6174" s="12" t="inlineStr">
        <is>
          <t>16</t>
        </is>
      </c>
      <c r="N6174" s="12" t="n">
        <v>20</v>
      </c>
      <c r="O6174" s="12" t="n">
        <v>1</v>
      </c>
      <c r="P6174" s="12" t="n"/>
      <c r="Q6174" s="12" t="n"/>
      <c r="R6174" s="12" t="n"/>
      <c r="S6174" s="12" t="inlineStr">
        <is>
          <t>Tray / conduit</t>
        </is>
      </c>
      <c r="T6174" s="15" t="n">
        <v>161</v>
      </c>
      <c r="U6174" s="15" t="n">
        <v>10</v>
      </c>
      <c r="V6174" s="15">
        <f>ROUNDUP((T6174+U6174+2*'Read Me'!$B$13)*(1+'Read Me'!$B$12),-1)</f>
        <v/>
      </c>
      <c r="W6174" s="15">
        <f>V6174*N6174*O6174</f>
        <v/>
      </c>
      <c r="X6174" s="12">
        <f>IF(LEFT(I6174,2)="MV",2*N6174*IF(L6174="1/C",O6174,1),0)</f>
        <v/>
      </c>
      <c r="Y6174" s="12">
        <f>IF(OR(LEFT(K6174,4)="LVAX",LEFT(K6174,6)="MV15AX",LEFT(K6174,4)="CTAX",LEFT(K6174,2)="W|"),2*N6174*O6174,0)</f>
        <v/>
      </c>
      <c r="Z6174" s="12" t="inlineStr">
        <is>
          <t>device-to-JB field wiring, one cable per device</t>
        </is>
      </c>
      <c r="AA6174" s="12">
        <f>N6174*O6174</f>
        <v/>
      </c>
    </row>
    <row r="6175">
      <c r="A6175" s="12" t="inlineStr">
        <is>
          <t>C-I-0082</t>
        </is>
      </c>
      <c r="B6175" s="12" t="inlineStr">
        <is>
          <t>C</t>
        </is>
      </c>
      <c r="C6175" s="12" t="inlineStr">
        <is>
          <t>Grid interface</t>
        </is>
      </c>
      <c r="D6175" s="12" t="inlineStr">
        <is>
          <t>Home run JB-CO2 compression 3 -AI01 to the control / marshalling room</t>
        </is>
      </c>
      <c r="E6175" s="12" t="inlineStr">
        <is>
          <t>R1</t>
        </is>
      </c>
      <c r="F6175" s="12" t="inlineStr">
        <is>
          <t>R1: main electrical building (64 x 180 ft)</t>
        </is>
      </c>
      <c r="G6175" s="12" t="inlineStr">
        <is>
          <t>JB-CO2 compression 3 -AI01</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PLTC|24 pr|18</t>
        </is>
      </c>
      <c r="L6175" s="12" t="inlineStr">
        <is>
          <t>24 pr</t>
        </is>
      </c>
      <c r="M6175" s="12" t="inlineStr">
        <is>
          <t>18</t>
        </is>
      </c>
      <c r="N6175" s="12" t="n">
        <v>1</v>
      </c>
      <c r="O6175" s="12" t="n">
        <v>1</v>
      </c>
      <c r="P6175" s="12" t="n"/>
      <c r="Q6175" s="12" t="n"/>
      <c r="R6175" s="12" t="n"/>
      <c r="S6175" s="12" t="inlineStr">
        <is>
          <t>Tray</t>
        </is>
      </c>
      <c r="T6175" s="15" t="n">
        <v>2186</v>
      </c>
      <c r="U6175" s="15" t="n">
        <v>268</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C-I-0083</t>
        </is>
      </c>
      <c r="B6176" s="12" t="inlineStr">
        <is>
          <t>C</t>
        </is>
      </c>
      <c r="C6176" s="12" t="inlineStr">
        <is>
          <t>Grid interface</t>
        </is>
      </c>
      <c r="D6176" s="12" t="inlineStr">
        <is>
          <t>Analog instrument to JB JB-CO2 compression 3 -AI02: 20 x 1 pr (field cables)</t>
        </is>
      </c>
      <c r="E6176" s="12" t="inlineStr"/>
      <c r="F6176" s="12" t="inlineStr">
        <is>
          <t xml:space="preserve">CO2 compression 3 x ~19 MW + dehydration: rooftop HVAC, exhaust fans, </t>
        </is>
      </c>
      <c r="G6176" s="12" t="inlineStr">
        <is>
          <t>JB-CO2 compression 3 -AI02</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PLTC|1 pr|16</t>
        </is>
      </c>
      <c r="L6176" s="12" t="inlineStr">
        <is>
          <t>1 pr</t>
        </is>
      </c>
      <c r="M6176" s="12" t="inlineStr">
        <is>
          <t>16</t>
        </is>
      </c>
      <c r="N6176" s="12" t="n">
        <v>20</v>
      </c>
      <c r="O6176" s="12" t="n">
        <v>1</v>
      </c>
      <c r="P6176" s="12" t="n"/>
      <c r="Q6176" s="12" t="n"/>
      <c r="R6176" s="12" t="n"/>
      <c r="S6176" s="12" t="inlineStr">
        <is>
          <t>Tray / conduit</t>
        </is>
      </c>
      <c r="T6176" s="15" t="n">
        <v>161</v>
      </c>
      <c r="U6176" s="15" t="n">
        <v>10</v>
      </c>
      <c r="V6176" s="15">
        <f>ROUNDUP((T6176+U6176+2*'Read Me'!$B$13)*(1+'Read Me'!$B$12),-1)</f>
        <v/>
      </c>
      <c r="W6176" s="15">
        <f>V6176*N6176*O6176</f>
        <v/>
      </c>
      <c r="X6176" s="12">
        <f>IF(LEFT(I6176,2)="MV",2*N6176*IF(L6176="1/C",O6176,1),0)</f>
        <v/>
      </c>
      <c r="Y6176" s="12">
        <f>IF(OR(LEFT(K6176,4)="LVAX",LEFT(K6176,6)="MV15AX",LEFT(K6176,4)="CTAX",LEFT(K6176,2)="W|"),2*N6176*O6176,0)</f>
        <v/>
      </c>
      <c r="Z6176" s="12" t="inlineStr">
        <is>
          <t>device-to-JB field wiring, one cable per device</t>
        </is>
      </c>
      <c r="AA6176" s="12">
        <f>N6176*O6176</f>
        <v/>
      </c>
    </row>
    <row r="6177">
      <c r="A6177" s="12" t="inlineStr">
        <is>
          <t>C-I-0084</t>
        </is>
      </c>
      <c r="B6177" s="12" t="inlineStr">
        <is>
          <t>C</t>
        </is>
      </c>
      <c r="C6177" s="12" t="inlineStr">
        <is>
          <t>Grid interface</t>
        </is>
      </c>
      <c r="D6177" s="12" t="inlineStr">
        <is>
          <t>Home run JB-CO2 compression 3 -AI02 to the control / marshalling room</t>
        </is>
      </c>
      <c r="E6177" s="12" t="inlineStr">
        <is>
          <t>R1</t>
        </is>
      </c>
      <c r="F6177" s="12" t="inlineStr">
        <is>
          <t>R1: main electrical building (64 x 180 ft)</t>
        </is>
      </c>
      <c r="G6177" s="12" t="inlineStr">
        <is>
          <t>JB-CO2 compression 3 -AI02</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PLTC|24 pr|18</t>
        </is>
      </c>
      <c r="L6177" s="12" t="inlineStr">
        <is>
          <t>24 pr</t>
        </is>
      </c>
      <c r="M6177" s="12" t="inlineStr">
        <is>
          <t>18</t>
        </is>
      </c>
      <c r="N6177" s="12" t="n">
        <v>1</v>
      </c>
      <c r="O6177" s="12" t="n">
        <v>1</v>
      </c>
      <c r="P6177" s="12" t="n"/>
      <c r="Q6177" s="12" t="n"/>
      <c r="R6177" s="12" t="n"/>
      <c r="S6177" s="12" t="inlineStr">
        <is>
          <t>Tray</t>
        </is>
      </c>
      <c r="T6177" s="15" t="n">
        <v>2186</v>
      </c>
      <c r="U6177" s="15" t="n">
        <v>268</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C-I-0085</t>
        </is>
      </c>
      <c r="B6178" s="12" t="inlineStr">
        <is>
          <t>C</t>
        </is>
      </c>
      <c r="C6178" s="12" t="inlineStr">
        <is>
          <t>Grid interface</t>
        </is>
      </c>
      <c r="D6178" s="12" t="inlineStr">
        <is>
          <t>Analog instrument to JB JB-CO2 compression 3 -AI03: 20 x 1 pr (field cables)</t>
        </is>
      </c>
      <c r="E6178" s="12" t="inlineStr"/>
      <c r="F6178" s="12" t="inlineStr">
        <is>
          <t xml:space="preserve">CO2 compression 3 x ~19 MW + dehydration: rooftop HVAC, exhaust fans, </t>
        </is>
      </c>
      <c r="G6178" s="12" t="inlineStr">
        <is>
          <t>JB-CO2 compression 3 -AI03</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PLTC|1 pr|16</t>
        </is>
      </c>
      <c r="L6178" s="12" t="inlineStr">
        <is>
          <t>1 pr</t>
        </is>
      </c>
      <c r="M6178" s="12" t="inlineStr">
        <is>
          <t>16</t>
        </is>
      </c>
      <c r="N6178" s="12" t="n">
        <v>20</v>
      </c>
      <c r="O6178" s="12" t="n">
        <v>1</v>
      </c>
      <c r="P6178" s="12" t="n"/>
      <c r="Q6178" s="12" t="n"/>
      <c r="R6178" s="12" t="n"/>
      <c r="S6178" s="12" t="inlineStr">
        <is>
          <t>Tray / conduit</t>
        </is>
      </c>
      <c r="T6178" s="15" t="n">
        <v>161</v>
      </c>
      <c r="U6178" s="15" t="n">
        <v>10</v>
      </c>
      <c r="V6178" s="15">
        <f>ROUNDUP((T6178+U6178+2*'Read Me'!$B$13)*(1+'Read Me'!$B$12),-1)</f>
        <v/>
      </c>
      <c r="W6178" s="15">
        <f>V6178*N6178*O6178</f>
        <v/>
      </c>
      <c r="X6178" s="12">
        <f>IF(LEFT(I6178,2)="MV",2*N6178*IF(L6178="1/C",O6178,1),0)</f>
        <v/>
      </c>
      <c r="Y6178" s="12">
        <f>IF(OR(LEFT(K6178,4)="LVAX",LEFT(K6178,6)="MV15AX",LEFT(K6178,4)="CTAX",LEFT(K6178,2)="W|"),2*N6178*O6178,0)</f>
        <v/>
      </c>
      <c r="Z6178" s="12" t="inlineStr">
        <is>
          <t>device-to-JB field wiring, one cable per device</t>
        </is>
      </c>
      <c r="AA6178" s="12">
        <f>N6178*O6178</f>
        <v/>
      </c>
    </row>
    <row r="6179">
      <c r="A6179" s="12" t="inlineStr">
        <is>
          <t>C-I-0086</t>
        </is>
      </c>
      <c r="B6179" s="12" t="inlineStr">
        <is>
          <t>C</t>
        </is>
      </c>
      <c r="C6179" s="12" t="inlineStr">
        <is>
          <t>Grid interface</t>
        </is>
      </c>
      <c r="D6179" s="12" t="inlineStr">
        <is>
          <t>Home run JB-CO2 compression 3 -AI03 to the control / marshalling room</t>
        </is>
      </c>
      <c r="E6179" s="12" t="inlineStr">
        <is>
          <t>R1</t>
        </is>
      </c>
      <c r="F6179" s="12" t="inlineStr">
        <is>
          <t>R1: main electrical building (64 x 180 ft)</t>
        </is>
      </c>
      <c r="G6179" s="12" t="inlineStr">
        <is>
          <t>JB-CO2 compression 3 -AI03</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PLTC|24 pr|18</t>
        </is>
      </c>
      <c r="L6179" s="12" t="inlineStr">
        <is>
          <t>24 pr</t>
        </is>
      </c>
      <c r="M6179" s="12" t="inlineStr">
        <is>
          <t>18</t>
        </is>
      </c>
      <c r="N6179" s="12" t="n">
        <v>1</v>
      </c>
      <c r="O6179" s="12" t="n">
        <v>1</v>
      </c>
      <c r="P6179" s="12" t="n"/>
      <c r="Q6179" s="12" t="n"/>
      <c r="R6179" s="12" t="n"/>
      <c r="S6179" s="12" t="inlineStr">
        <is>
          <t>Tray</t>
        </is>
      </c>
      <c r="T6179" s="15" t="n">
        <v>2186</v>
      </c>
      <c r="U6179" s="15" t="n">
        <v>268</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C-I-0087</t>
        </is>
      </c>
      <c r="B6180" s="12" t="inlineStr">
        <is>
          <t>C</t>
        </is>
      </c>
      <c r="C6180" s="12" t="inlineStr">
        <is>
          <t>Grid interface</t>
        </is>
      </c>
      <c r="D6180" s="12" t="inlineStr">
        <is>
          <t>Analog instrument to JB JB-CO2 compression 3 -AI04: 20 x 1 pr (field cables)</t>
        </is>
      </c>
      <c r="E6180" s="12" t="inlineStr"/>
      <c r="F6180" s="12" t="inlineStr">
        <is>
          <t xml:space="preserve">CO2 compression 3 x ~19 MW + dehydration: rooftop HVAC, exhaust fans, </t>
        </is>
      </c>
      <c r="G6180" s="12" t="inlineStr">
        <is>
          <t>JB-CO2 compression 3 -AI04</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PLTC|1 pr|16</t>
        </is>
      </c>
      <c r="L6180" s="12" t="inlineStr">
        <is>
          <t>1 pr</t>
        </is>
      </c>
      <c r="M6180" s="12" t="inlineStr">
        <is>
          <t>16</t>
        </is>
      </c>
      <c r="N6180" s="12" t="n">
        <v>20</v>
      </c>
      <c r="O6180" s="12" t="n">
        <v>1</v>
      </c>
      <c r="P6180" s="12" t="n"/>
      <c r="Q6180" s="12" t="n"/>
      <c r="R6180" s="12" t="n"/>
      <c r="S6180" s="12" t="inlineStr">
        <is>
          <t>Tray / conduit</t>
        </is>
      </c>
      <c r="T6180" s="15" t="n">
        <v>161</v>
      </c>
      <c r="U6180" s="15" t="n">
        <v>10</v>
      </c>
      <c r="V6180" s="15">
        <f>ROUNDUP((T6180+U6180+2*'Read Me'!$B$13)*(1+'Read Me'!$B$12),-1)</f>
        <v/>
      </c>
      <c r="W6180" s="15">
        <f>V6180*N6180*O6180</f>
        <v/>
      </c>
      <c r="X6180" s="12">
        <f>IF(LEFT(I6180,2)="MV",2*N6180*IF(L6180="1/C",O6180,1),0)</f>
        <v/>
      </c>
      <c r="Y6180" s="12">
        <f>IF(OR(LEFT(K6180,4)="LVAX",LEFT(K6180,6)="MV15AX",LEFT(K6180,4)="CTAX",LEFT(K6180,2)="W|"),2*N6180*O6180,0)</f>
        <v/>
      </c>
      <c r="Z6180" s="12" t="inlineStr">
        <is>
          <t>device-to-JB field wiring, one cable per device</t>
        </is>
      </c>
      <c r="AA6180" s="12">
        <f>N6180*O6180</f>
        <v/>
      </c>
    </row>
    <row r="6181">
      <c r="A6181" s="12" t="inlineStr">
        <is>
          <t>C-I-0088</t>
        </is>
      </c>
      <c r="B6181" s="12" t="inlineStr">
        <is>
          <t>C</t>
        </is>
      </c>
      <c r="C6181" s="12" t="inlineStr">
        <is>
          <t>Grid interface</t>
        </is>
      </c>
      <c r="D6181" s="12" t="inlineStr">
        <is>
          <t>Home run JB-CO2 compression 3 -AI04 to the control / marshalling room</t>
        </is>
      </c>
      <c r="E6181" s="12" t="inlineStr">
        <is>
          <t>R1</t>
        </is>
      </c>
      <c r="F6181" s="12" t="inlineStr">
        <is>
          <t>R1: main electrical building (64 x 180 ft)</t>
        </is>
      </c>
      <c r="G6181" s="12" t="inlineStr">
        <is>
          <t>JB-CO2 compression 3 -AI04</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PLTC|24 pr|18</t>
        </is>
      </c>
      <c r="L6181" s="12" t="inlineStr">
        <is>
          <t>24 pr</t>
        </is>
      </c>
      <c r="M6181" s="12" t="inlineStr">
        <is>
          <t>18</t>
        </is>
      </c>
      <c r="N6181" s="12" t="n">
        <v>1</v>
      </c>
      <c r="O6181" s="12" t="n">
        <v>1</v>
      </c>
      <c r="P6181" s="12" t="n"/>
      <c r="Q6181" s="12" t="n"/>
      <c r="R6181" s="12" t="n"/>
      <c r="S6181" s="12" t="inlineStr">
        <is>
          <t>Tray</t>
        </is>
      </c>
      <c r="T6181" s="15" t="n">
        <v>2186</v>
      </c>
      <c r="U6181" s="15" t="n">
        <v>268</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C-I-0089</t>
        </is>
      </c>
      <c r="B6182" s="12" t="inlineStr">
        <is>
          <t>C</t>
        </is>
      </c>
      <c r="C6182" s="12" t="inlineStr">
        <is>
          <t>Grid interface</t>
        </is>
      </c>
      <c r="D6182" s="12" t="inlineStr">
        <is>
          <t>Analog instrument to JB JB-CO2 compression 3 -AI05: 20 x 1 pr (field cables)</t>
        </is>
      </c>
      <c r="E6182" s="12" t="inlineStr"/>
      <c r="F6182" s="12" t="inlineStr">
        <is>
          <t xml:space="preserve">CO2 compression 3 x ~19 MW + dehydration: rooftop HVAC, exhaust fans, </t>
        </is>
      </c>
      <c r="G6182" s="12" t="inlineStr">
        <is>
          <t>JB-CO2 compression 3 -AI05</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PLTC|1 pr|16</t>
        </is>
      </c>
      <c r="L6182" s="12" t="inlineStr">
        <is>
          <t>1 pr</t>
        </is>
      </c>
      <c r="M6182" s="12" t="inlineStr">
        <is>
          <t>16</t>
        </is>
      </c>
      <c r="N6182" s="12" t="n">
        <v>20</v>
      </c>
      <c r="O6182" s="12" t="n">
        <v>1</v>
      </c>
      <c r="P6182" s="12" t="n"/>
      <c r="Q6182" s="12" t="n"/>
      <c r="R6182" s="12" t="n"/>
      <c r="S6182" s="12" t="inlineStr">
        <is>
          <t>Tray / conduit</t>
        </is>
      </c>
      <c r="T6182" s="15" t="n">
        <v>161</v>
      </c>
      <c r="U6182" s="15" t="n">
        <v>10</v>
      </c>
      <c r="V6182" s="15">
        <f>ROUNDUP((T6182+U6182+2*'Read Me'!$B$13)*(1+'Read Me'!$B$12),-1)</f>
        <v/>
      </c>
      <c r="W6182" s="15">
        <f>V6182*N6182*O6182</f>
        <v/>
      </c>
      <c r="X6182" s="12">
        <f>IF(LEFT(I6182,2)="MV",2*N6182*IF(L6182="1/C",O6182,1),0)</f>
        <v/>
      </c>
      <c r="Y6182" s="12">
        <f>IF(OR(LEFT(K6182,4)="LVAX",LEFT(K6182,6)="MV15AX",LEFT(K6182,4)="CTAX",LEFT(K6182,2)="W|"),2*N6182*O6182,0)</f>
        <v/>
      </c>
      <c r="Z6182" s="12" t="inlineStr">
        <is>
          <t>device-to-JB field wiring, one cable per device</t>
        </is>
      </c>
      <c r="AA6182" s="12">
        <f>N6182*O6182</f>
        <v/>
      </c>
    </row>
    <row r="6183">
      <c r="A6183" s="12" t="inlineStr">
        <is>
          <t>C-I-0090</t>
        </is>
      </c>
      <c r="B6183" s="12" t="inlineStr">
        <is>
          <t>C</t>
        </is>
      </c>
      <c r="C6183" s="12" t="inlineStr">
        <is>
          <t>Grid interface</t>
        </is>
      </c>
      <c r="D6183" s="12" t="inlineStr">
        <is>
          <t>Home run JB-CO2 compression 3 -AI05 to the control / marshalling room</t>
        </is>
      </c>
      <c r="E6183" s="12" t="inlineStr">
        <is>
          <t>R1</t>
        </is>
      </c>
      <c r="F6183" s="12" t="inlineStr">
        <is>
          <t>R1: main electrical building (64 x 180 ft)</t>
        </is>
      </c>
      <c r="G6183" s="12" t="inlineStr">
        <is>
          <t>JB-CO2 compression 3 -AI05</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PLTC|24 pr|18</t>
        </is>
      </c>
      <c r="L6183" s="12" t="inlineStr">
        <is>
          <t>24 pr</t>
        </is>
      </c>
      <c r="M6183" s="12" t="inlineStr">
        <is>
          <t>18</t>
        </is>
      </c>
      <c r="N6183" s="12" t="n">
        <v>1</v>
      </c>
      <c r="O6183" s="12" t="n">
        <v>1</v>
      </c>
      <c r="P6183" s="12" t="n"/>
      <c r="Q6183" s="12" t="n"/>
      <c r="R6183" s="12" t="n"/>
      <c r="S6183" s="12" t="inlineStr">
        <is>
          <t>Tray</t>
        </is>
      </c>
      <c r="T6183" s="15" t="n">
        <v>2186</v>
      </c>
      <c r="U6183" s="15" t="n">
        <v>268</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C-I-0091</t>
        </is>
      </c>
      <c r="B6184" s="12" t="inlineStr">
        <is>
          <t>C</t>
        </is>
      </c>
      <c r="C6184" s="12" t="inlineStr">
        <is>
          <t>Grid interface</t>
        </is>
      </c>
      <c r="D6184" s="12" t="inlineStr">
        <is>
          <t>Analog instrument to JB JB-CO2 compression 3 -AI06: 20 x 1 pr (field cables)</t>
        </is>
      </c>
      <c r="E6184" s="12" t="inlineStr"/>
      <c r="F6184" s="12" t="inlineStr">
        <is>
          <t xml:space="preserve">CO2 compression 3 x ~19 MW + dehydration: rooftop HVAC, exhaust fans, </t>
        </is>
      </c>
      <c r="G6184" s="12" t="inlineStr">
        <is>
          <t>JB-CO2 compression 3 -AI06</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PLTC|1 pr|16</t>
        </is>
      </c>
      <c r="L6184" s="12" t="inlineStr">
        <is>
          <t>1 pr</t>
        </is>
      </c>
      <c r="M6184" s="12" t="inlineStr">
        <is>
          <t>16</t>
        </is>
      </c>
      <c r="N6184" s="12" t="n">
        <v>20</v>
      </c>
      <c r="O6184" s="12" t="n">
        <v>1</v>
      </c>
      <c r="P6184" s="12" t="n"/>
      <c r="Q6184" s="12" t="n"/>
      <c r="R6184" s="12" t="n"/>
      <c r="S6184" s="12" t="inlineStr">
        <is>
          <t>Tray / conduit</t>
        </is>
      </c>
      <c r="T6184" s="15" t="n">
        <v>161</v>
      </c>
      <c r="U6184" s="15" t="n">
        <v>10</v>
      </c>
      <c r="V6184" s="15">
        <f>ROUNDUP((T6184+U6184+2*'Read Me'!$B$13)*(1+'Read Me'!$B$12),-1)</f>
        <v/>
      </c>
      <c r="W6184" s="15">
        <f>V6184*N6184*O6184</f>
        <v/>
      </c>
      <c r="X6184" s="12">
        <f>IF(LEFT(I6184,2)="MV",2*N6184*IF(L6184="1/C",O6184,1),0)</f>
        <v/>
      </c>
      <c r="Y6184" s="12">
        <f>IF(OR(LEFT(K6184,4)="LVAX",LEFT(K6184,6)="MV15AX",LEFT(K6184,4)="CTAX",LEFT(K6184,2)="W|"),2*N6184*O6184,0)</f>
        <v/>
      </c>
      <c r="Z6184" s="12" t="inlineStr">
        <is>
          <t>device-to-JB field wiring, one cable per device</t>
        </is>
      </c>
      <c r="AA6184" s="12">
        <f>N6184*O6184</f>
        <v/>
      </c>
    </row>
    <row r="6185">
      <c r="A6185" s="12" t="inlineStr">
        <is>
          <t>C-I-0092</t>
        </is>
      </c>
      <c r="B6185" s="12" t="inlineStr">
        <is>
          <t>C</t>
        </is>
      </c>
      <c r="C6185" s="12" t="inlineStr">
        <is>
          <t>Grid interface</t>
        </is>
      </c>
      <c r="D6185" s="12" t="inlineStr">
        <is>
          <t>Home run JB-CO2 compression 3 -AI06 to the control / marshalling room</t>
        </is>
      </c>
      <c r="E6185" s="12" t="inlineStr">
        <is>
          <t>R1</t>
        </is>
      </c>
      <c r="F6185" s="12" t="inlineStr">
        <is>
          <t>R1: main electrical building (64 x 180 ft)</t>
        </is>
      </c>
      <c r="G6185" s="12" t="inlineStr">
        <is>
          <t>JB-CO2 compression 3 -AI06</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PLTC|24 pr|18</t>
        </is>
      </c>
      <c r="L6185" s="12" t="inlineStr">
        <is>
          <t>24 pr</t>
        </is>
      </c>
      <c r="M6185" s="12" t="inlineStr">
        <is>
          <t>18</t>
        </is>
      </c>
      <c r="N6185" s="12" t="n">
        <v>1</v>
      </c>
      <c r="O6185" s="12" t="n">
        <v>1</v>
      </c>
      <c r="P6185" s="12" t="n"/>
      <c r="Q6185" s="12" t="n"/>
      <c r="R6185" s="12" t="n"/>
      <c r="S6185" s="12" t="inlineStr">
        <is>
          <t>Tray</t>
        </is>
      </c>
      <c r="T6185" s="15" t="n">
        <v>2186</v>
      </c>
      <c r="U6185" s="15" t="n">
        <v>268</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C-I-0093</t>
        </is>
      </c>
      <c r="B6186" s="12" t="inlineStr">
        <is>
          <t>C</t>
        </is>
      </c>
      <c r="C6186" s="12" t="inlineStr">
        <is>
          <t>Grid interface</t>
        </is>
      </c>
      <c r="D6186" s="12" t="inlineStr">
        <is>
          <t>Analog instrument to JB JB-CO2 compression 3 -AI07: 20 x 1 pr (field cables)</t>
        </is>
      </c>
      <c r="E6186" s="12" t="inlineStr"/>
      <c r="F6186" s="12" t="inlineStr">
        <is>
          <t xml:space="preserve">CO2 compression 3 x ~19 MW + dehydration: rooftop HVAC, exhaust fans, </t>
        </is>
      </c>
      <c r="G6186" s="12" t="inlineStr">
        <is>
          <t>JB-CO2 compression 3 -AI07</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PLTC|1 pr|16</t>
        </is>
      </c>
      <c r="L6186" s="12" t="inlineStr">
        <is>
          <t>1 pr</t>
        </is>
      </c>
      <c r="M6186" s="12" t="inlineStr">
        <is>
          <t>16</t>
        </is>
      </c>
      <c r="N6186" s="12" t="n">
        <v>20</v>
      </c>
      <c r="O6186" s="12" t="n">
        <v>1</v>
      </c>
      <c r="P6186" s="12" t="n"/>
      <c r="Q6186" s="12" t="n"/>
      <c r="R6186" s="12" t="n"/>
      <c r="S6186" s="12" t="inlineStr">
        <is>
          <t>Tray / conduit</t>
        </is>
      </c>
      <c r="T6186" s="15" t="n">
        <v>161</v>
      </c>
      <c r="U6186" s="15" t="n">
        <v>10</v>
      </c>
      <c r="V6186" s="15">
        <f>ROUNDUP((T6186+U6186+2*'Read Me'!$B$13)*(1+'Read Me'!$B$12),-1)</f>
        <v/>
      </c>
      <c r="W6186" s="15">
        <f>V6186*N6186*O6186</f>
        <v/>
      </c>
      <c r="X6186" s="12">
        <f>IF(LEFT(I6186,2)="MV",2*N6186*IF(L6186="1/C",O6186,1),0)</f>
        <v/>
      </c>
      <c r="Y6186" s="12">
        <f>IF(OR(LEFT(K6186,4)="LVAX",LEFT(K6186,6)="MV15AX",LEFT(K6186,4)="CTAX",LEFT(K6186,2)="W|"),2*N6186*O6186,0)</f>
        <v/>
      </c>
      <c r="Z6186" s="12" t="inlineStr">
        <is>
          <t>device-to-JB field wiring, one cable per device</t>
        </is>
      </c>
      <c r="AA6186" s="12">
        <f>N6186*O6186</f>
        <v/>
      </c>
    </row>
    <row r="6187">
      <c r="A6187" s="12" t="inlineStr">
        <is>
          <t>C-I-0094</t>
        </is>
      </c>
      <c r="B6187" s="12" t="inlineStr">
        <is>
          <t>C</t>
        </is>
      </c>
      <c r="C6187" s="12" t="inlineStr">
        <is>
          <t>Grid interface</t>
        </is>
      </c>
      <c r="D6187" s="12" t="inlineStr">
        <is>
          <t>Home run JB-CO2 compression 3 -AI07 to the control / marshalling room</t>
        </is>
      </c>
      <c r="E6187" s="12" t="inlineStr">
        <is>
          <t>R1</t>
        </is>
      </c>
      <c r="F6187" s="12" t="inlineStr">
        <is>
          <t>R1: main electrical building (64 x 180 ft)</t>
        </is>
      </c>
      <c r="G6187" s="12" t="inlineStr">
        <is>
          <t>JB-CO2 compression 3 -AI07</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PLTC|24 pr|18</t>
        </is>
      </c>
      <c r="L6187" s="12" t="inlineStr">
        <is>
          <t>24 pr</t>
        </is>
      </c>
      <c r="M6187" s="12" t="inlineStr">
        <is>
          <t>18</t>
        </is>
      </c>
      <c r="N6187" s="12" t="n">
        <v>1</v>
      </c>
      <c r="O6187" s="12" t="n">
        <v>1</v>
      </c>
      <c r="P6187" s="12" t="n"/>
      <c r="Q6187" s="12" t="n"/>
      <c r="R6187" s="12" t="n"/>
      <c r="S6187" s="12" t="inlineStr">
        <is>
          <t>Tray</t>
        </is>
      </c>
      <c r="T6187" s="15" t="n">
        <v>2186</v>
      </c>
      <c r="U6187" s="15" t="n">
        <v>268</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C-I-0095</t>
        </is>
      </c>
      <c r="B6188" s="12" t="inlineStr">
        <is>
          <t>C</t>
        </is>
      </c>
      <c r="C6188" s="12" t="inlineStr">
        <is>
          <t>Grid interface</t>
        </is>
      </c>
      <c r="D6188" s="12" t="inlineStr">
        <is>
          <t>Analog instrument to JB JB-CO2 compression 3 -AI08: 10 x 1 pr (field cables)</t>
        </is>
      </c>
      <c r="E6188" s="12" t="inlineStr"/>
      <c r="F6188" s="12" t="inlineStr">
        <is>
          <t xml:space="preserve">CO2 compression 3 x ~19 MW + dehydration: rooftop HVAC, exhaust fans, </t>
        </is>
      </c>
      <c r="G6188" s="12" t="inlineStr">
        <is>
          <t>JB-CO2 compression 3 -AI08</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PLTC|1 pr|16</t>
        </is>
      </c>
      <c r="L6188" s="12" t="inlineStr">
        <is>
          <t>1 pr</t>
        </is>
      </c>
      <c r="M6188" s="12" t="inlineStr">
        <is>
          <t>16</t>
        </is>
      </c>
      <c r="N6188" s="12" t="n">
        <v>10</v>
      </c>
      <c r="O6188" s="12" t="n">
        <v>1</v>
      </c>
      <c r="P6188" s="12" t="n"/>
      <c r="Q6188" s="12" t="n"/>
      <c r="R6188" s="12" t="n"/>
      <c r="S6188" s="12" t="inlineStr">
        <is>
          <t>Tray / conduit</t>
        </is>
      </c>
      <c r="T6188" s="15" t="n">
        <v>161</v>
      </c>
      <c r="U6188" s="15" t="n">
        <v>10</v>
      </c>
      <c r="V6188" s="15">
        <f>ROUNDUP((T6188+U6188+2*'Read Me'!$B$13)*(1+'Read Me'!$B$12),-1)</f>
        <v/>
      </c>
      <c r="W6188" s="15">
        <f>V6188*N6188*O6188</f>
        <v/>
      </c>
      <c r="X6188" s="12">
        <f>IF(LEFT(I6188,2)="MV",2*N6188*IF(L6188="1/C",O6188,1),0)</f>
        <v/>
      </c>
      <c r="Y6188" s="12">
        <f>IF(OR(LEFT(K6188,4)="LVAX",LEFT(K6188,6)="MV15AX",LEFT(K6188,4)="CTAX",LEFT(K6188,2)="W|"),2*N6188*O6188,0)</f>
        <v/>
      </c>
      <c r="Z6188" s="12" t="inlineStr">
        <is>
          <t>device-to-JB field wiring, one cable per device</t>
        </is>
      </c>
      <c r="AA6188" s="12">
        <f>N6188*O6188</f>
        <v/>
      </c>
    </row>
    <row r="6189">
      <c r="A6189" s="12" t="inlineStr">
        <is>
          <t>C-I-0096</t>
        </is>
      </c>
      <c r="B6189" s="12" t="inlineStr">
        <is>
          <t>C</t>
        </is>
      </c>
      <c r="C6189" s="12" t="inlineStr">
        <is>
          <t>Grid interface</t>
        </is>
      </c>
      <c r="D6189" s="12" t="inlineStr">
        <is>
          <t>Home run JB-CO2 compression 3 -AI08 to the control / marshalling room</t>
        </is>
      </c>
      <c r="E6189" s="12" t="inlineStr">
        <is>
          <t>R1</t>
        </is>
      </c>
      <c r="F6189" s="12" t="inlineStr">
        <is>
          <t>R1: main electrical building (64 x 180 ft)</t>
        </is>
      </c>
      <c r="G6189" s="12" t="inlineStr">
        <is>
          <t>JB-CO2 compression 3 -AI08</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PLTC|24 pr|18</t>
        </is>
      </c>
      <c r="L6189" s="12" t="inlineStr">
        <is>
          <t>24 pr</t>
        </is>
      </c>
      <c r="M6189" s="12" t="inlineStr">
        <is>
          <t>18</t>
        </is>
      </c>
      <c r="N6189" s="12" t="n">
        <v>1</v>
      </c>
      <c r="O6189" s="12" t="n">
        <v>1</v>
      </c>
      <c r="P6189" s="12" t="n"/>
      <c r="Q6189" s="12" t="n"/>
      <c r="R6189" s="12" t="n"/>
      <c r="S6189" s="12" t="inlineStr">
        <is>
          <t>Tray</t>
        </is>
      </c>
      <c r="T6189" s="15" t="n">
        <v>2186</v>
      </c>
      <c r="U6189" s="15" t="n">
        <v>268</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C-I-0097</t>
        </is>
      </c>
      <c r="B6190" s="12" t="inlineStr">
        <is>
          <t>C</t>
        </is>
      </c>
      <c r="C6190" s="12" t="inlineStr">
        <is>
          <t>Grid interface</t>
        </is>
      </c>
      <c r="D6190" s="12" t="inlineStr">
        <is>
          <t>Discrete device to JB JB-CO2 compression 3 -DI01: 20 x 1 pr (field cables)</t>
        </is>
      </c>
      <c r="E6190" s="12" t="inlineStr"/>
      <c r="F6190" s="12" t="inlineStr">
        <is>
          <t xml:space="preserve">CO2 compression 3 x ~19 MW + dehydration: rooftop HVAC, exhaust fans, </t>
        </is>
      </c>
      <c r="G6190" s="12" t="inlineStr">
        <is>
          <t>JB-CO2 compression 3 -DI01</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PLTC|1 pr|16</t>
        </is>
      </c>
      <c r="L6190" s="12" t="inlineStr">
        <is>
          <t>1 pr</t>
        </is>
      </c>
      <c r="M6190" s="12" t="inlineStr">
        <is>
          <t>16</t>
        </is>
      </c>
      <c r="N6190" s="12" t="n">
        <v>20</v>
      </c>
      <c r="O6190" s="12" t="n">
        <v>1</v>
      </c>
      <c r="P6190" s="12" t="n"/>
      <c r="Q6190" s="12" t="n"/>
      <c r="R6190" s="12" t="n"/>
      <c r="S6190" s="12" t="inlineStr">
        <is>
          <t>Tray / conduit</t>
        </is>
      </c>
      <c r="T6190" s="15" t="n">
        <v>161</v>
      </c>
      <c r="U6190" s="15" t="n">
        <v>10</v>
      </c>
      <c r="V6190" s="15">
        <f>ROUNDUP((T6190+U6190+2*'Read Me'!$B$13)*(1+'Read Me'!$B$12),-1)</f>
        <v/>
      </c>
      <c r="W6190" s="15">
        <f>V6190*N6190*O6190</f>
        <v/>
      </c>
      <c r="X6190" s="12">
        <f>IF(LEFT(I6190,2)="MV",2*N6190*IF(L6190="1/C",O6190,1),0)</f>
        <v/>
      </c>
      <c r="Y6190" s="12">
        <f>IF(OR(LEFT(K6190,4)="LVAX",LEFT(K6190,6)="MV15AX",LEFT(K6190,4)="CTAX",LEFT(K6190,2)="W|"),2*N6190*O6190,0)</f>
        <v/>
      </c>
      <c r="Z6190" s="12" t="inlineStr">
        <is>
          <t>device-to-JB field wiring, one cable per device</t>
        </is>
      </c>
      <c r="AA6190" s="12">
        <f>N6190*O6190</f>
        <v/>
      </c>
    </row>
    <row r="6191">
      <c r="A6191" s="12" t="inlineStr">
        <is>
          <t>C-I-0098</t>
        </is>
      </c>
      <c r="B6191" s="12" t="inlineStr">
        <is>
          <t>C</t>
        </is>
      </c>
      <c r="C6191" s="12" t="inlineStr">
        <is>
          <t>Grid interface</t>
        </is>
      </c>
      <c r="D6191" s="12" t="inlineStr">
        <is>
          <t>Home run JB-CO2 compression 3 -DI01 to the control / marshalling room</t>
        </is>
      </c>
      <c r="E6191" s="12" t="inlineStr">
        <is>
          <t>R1</t>
        </is>
      </c>
      <c r="F6191" s="12" t="inlineStr">
        <is>
          <t>R1: main electrical building (64 x 180 ft)</t>
        </is>
      </c>
      <c r="G6191" s="12" t="inlineStr">
        <is>
          <t>JB-CO2 compression 3 -DI01</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PLTC|24 pr|18</t>
        </is>
      </c>
      <c r="L6191" s="12" t="inlineStr">
        <is>
          <t>24 pr</t>
        </is>
      </c>
      <c r="M6191" s="12" t="inlineStr">
        <is>
          <t>18</t>
        </is>
      </c>
      <c r="N6191" s="12" t="n">
        <v>1</v>
      </c>
      <c r="O6191" s="12" t="n">
        <v>1</v>
      </c>
      <c r="P6191" s="12" t="n"/>
      <c r="Q6191" s="12" t="n"/>
      <c r="R6191" s="12" t="n"/>
      <c r="S6191" s="12" t="inlineStr">
        <is>
          <t>Tray</t>
        </is>
      </c>
      <c r="T6191" s="15" t="n">
        <v>2186</v>
      </c>
      <c r="U6191" s="15" t="n">
        <v>268</v>
      </c>
      <c r="V6191" s="15">
        <f>ROUNDUP((T6191+U6191+2*'Read Me'!$B$13)*(1+'Read Me'!$B$12),-1)</f>
        <v/>
      </c>
      <c r="W6191" s="15">
        <f>V6191*N6191*O6191</f>
        <v/>
      </c>
      <c r="X6191" s="12">
        <f>IF(LEFT(I6191,2)="MV",2*N6191*IF(L6191="1/C",O6191,1),0)</f>
        <v/>
      </c>
      <c r="Y6191" s="12">
        <f>IF(OR(LEFT(K6191,4)="LVAX",LEFT(K6191,6)="MV15AX",LEFT(K6191,4)="CTAX",LEFT(K6191,2)="W|"),2*N6191*O6191,0)</f>
        <v/>
      </c>
      <c r="Z6191" s="12" t="inlineStr"/>
      <c r="AA6191" s="12">
        <f>N6191*O6191</f>
        <v/>
      </c>
    </row>
    <row r="6192">
      <c r="A6192" s="12" t="inlineStr">
        <is>
          <t>C-I-0099</t>
        </is>
      </c>
      <c r="B6192" s="12" t="inlineStr">
        <is>
          <t>C</t>
        </is>
      </c>
      <c r="C6192" s="12" t="inlineStr">
        <is>
          <t>Grid interface</t>
        </is>
      </c>
      <c r="D6192" s="12" t="inlineStr">
        <is>
          <t>Discrete device to JB JB-CO2 compression 3 -DI02: 20 x 1 pr (field cables)</t>
        </is>
      </c>
      <c r="E6192" s="12" t="inlineStr"/>
      <c r="F6192" s="12" t="inlineStr">
        <is>
          <t xml:space="preserve">CO2 compression 3 x ~19 MW + dehydration: rooftop HVAC, exhaust fans, </t>
        </is>
      </c>
      <c r="G6192" s="12" t="inlineStr">
        <is>
          <t>JB-CO2 compression 3 -DI02</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PLTC|1 pr|16</t>
        </is>
      </c>
      <c r="L6192" s="12" t="inlineStr">
        <is>
          <t>1 pr</t>
        </is>
      </c>
      <c r="M6192" s="12" t="inlineStr">
        <is>
          <t>16</t>
        </is>
      </c>
      <c r="N6192" s="12" t="n">
        <v>20</v>
      </c>
      <c r="O6192" s="12" t="n">
        <v>1</v>
      </c>
      <c r="P6192" s="12" t="n"/>
      <c r="Q6192" s="12" t="n"/>
      <c r="R6192" s="12" t="n"/>
      <c r="S6192" s="12" t="inlineStr">
        <is>
          <t>Tray / conduit</t>
        </is>
      </c>
      <c r="T6192" s="15" t="n">
        <v>161</v>
      </c>
      <c r="U6192" s="15" t="n">
        <v>10</v>
      </c>
      <c r="V6192" s="15">
        <f>ROUNDUP((T6192+U6192+2*'Read Me'!$B$13)*(1+'Read Me'!$B$12),-1)</f>
        <v/>
      </c>
      <c r="W6192" s="15">
        <f>V6192*N6192*O6192</f>
        <v/>
      </c>
      <c r="X6192" s="12">
        <f>IF(LEFT(I6192,2)="MV",2*N6192*IF(L6192="1/C",O6192,1),0)</f>
        <v/>
      </c>
      <c r="Y6192" s="12">
        <f>IF(OR(LEFT(K6192,4)="LVAX",LEFT(K6192,6)="MV15AX",LEFT(K6192,4)="CTAX",LEFT(K6192,2)="W|"),2*N6192*O6192,0)</f>
        <v/>
      </c>
      <c r="Z6192" s="12" t="inlineStr">
        <is>
          <t>device-to-JB field wiring, one cable per device</t>
        </is>
      </c>
      <c r="AA6192" s="12">
        <f>N6192*O6192</f>
        <v/>
      </c>
    </row>
    <row r="6193">
      <c r="A6193" s="12" t="inlineStr">
        <is>
          <t>C-I-0100</t>
        </is>
      </c>
      <c r="B6193" s="12" t="inlineStr">
        <is>
          <t>C</t>
        </is>
      </c>
      <c r="C6193" s="12" t="inlineStr">
        <is>
          <t>Grid interface</t>
        </is>
      </c>
      <c r="D6193" s="12" t="inlineStr">
        <is>
          <t>Home run JB-CO2 compression 3 -DI02 to the control / marshalling room</t>
        </is>
      </c>
      <c r="E6193" s="12" t="inlineStr">
        <is>
          <t>R1</t>
        </is>
      </c>
      <c r="F6193" s="12" t="inlineStr">
        <is>
          <t>R1: main electrical building (64 x 180 ft)</t>
        </is>
      </c>
      <c r="G6193" s="12" t="inlineStr">
        <is>
          <t>JB-CO2 compression 3 -DI02</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PLTC|24 pr|18</t>
        </is>
      </c>
      <c r="L6193" s="12" t="inlineStr">
        <is>
          <t>24 pr</t>
        </is>
      </c>
      <c r="M6193" s="12" t="inlineStr">
        <is>
          <t>18</t>
        </is>
      </c>
      <c r="N6193" s="12" t="n">
        <v>1</v>
      </c>
      <c r="O6193" s="12" t="n">
        <v>1</v>
      </c>
      <c r="P6193" s="12" t="n"/>
      <c r="Q6193" s="12" t="n"/>
      <c r="R6193" s="12" t="n"/>
      <c r="S6193" s="12" t="inlineStr">
        <is>
          <t>Tray</t>
        </is>
      </c>
      <c r="T6193" s="15" t="n">
        <v>2186</v>
      </c>
      <c r="U6193" s="15" t="n">
        <v>268</v>
      </c>
      <c r="V6193" s="15">
        <f>ROUNDUP((T6193+U6193+2*'Read Me'!$B$13)*(1+'Read Me'!$B$12),-1)</f>
        <v/>
      </c>
      <c r="W6193" s="15">
        <f>V6193*N6193*O6193</f>
        <v/>
      </c>
      <c r="X6193" s="12">
        <f>IF(LEFT(I6193,2)="MV",2*N6193*IF(L6193="1/C",O6193,1),0)</f>
        <v/>
      </c>
      <c r="Y6193" s="12">
        <f>IF(OR(LEFT(K6193,4)="LVAX",LEFT(K6193,6)="MV15AX",LEFT(K6193,4)="CTAX",LEFT(K6193,2)="W|"),2*N6193*O6193,0)</f>
        <v/>
      </c>
      <c r="Z6193" s="12" t="inlineStr"/>
      <c r="AA6193" s="12">
        <f>N6193*O6193</f>
        <v/>
      </c>
    </row>
    <row r="6194">
      <c r="A6194" s="12" t="inlineStr">
        <is>
          <t>C-I-0101</t>
        </is>
      </c>
      <c r="B6194" s="12" t="inlineStr">
        <is>
          <t>C</t>
        </is>
      </c>
      <c r="C6194" s="12" t="inlineStr">
        <is>
          <t>Grid interface</t>
        </is>
      </c>
      <c r="D6194" s="12" t="inlineStr">
        <is>
          <t>Discrete device to JB JB-CO2 compression 3 -DI03: 20 x 1 pr (field cables)</t>
        </is>
      </c>
      <c r="E6194" s="12" t="inlineStr"/>
      <c r="F6194" s="12" t="inlineStr">
        <is>
          <t xml:space="preserve">CO2 compression 3 x ~19 MW + dehydration: rooftop HVAC, exhaust fans, </t>
        </is>
      </c>
      <c r="G6194" s="12" t="inlineStr">
        <is>
          <t>JB-CO2 compression 3 -DI03</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PLTC|1 pr|16</t>
        </is>
      </c>
      <c r="L6194" s="12" t="inlineStr">
        <is>
          <t>1 pr</t>
        </is>
      </c>
      <c r="M6194" s="12" t="inlineStr">
        <is>
          <t>16</t>
        </is>
      </c>
      <c r="N6194" s="12" t="n">
        <v>20</v>
      </c>
      <c r="O6194" s="12" t="n">
        <v>1</v>
      </c>
      <c r="P6194" s="12" t="n"/>
      <c r="Q6194" s="12" t="n"/>
      <c r="R6194" s="12" t="n"/>
      <c r="S6194" s="12" t="inlineStr">
        <is>
          <t>Tray / conduit</t>
        </is>
      </c>
      <c r="T6194" s="15" t="n">
        <v>161</v>
      </c>
      <c r="U6194" s="15" t="n">
        <v>10</v>
      </c>
      <c r="V6194" s="15">
        <f>ROUNDUP((T6194+U6194+2*'Read Me'!$B$13)*(1+'Read Me'!$B$12),-1)</f>
        <v/>
      </c>
      <c r="W6194" s="15">
        <f>V6194*N6194*O6194</f>
        <v/>
      </c>
      <c r="X6194" s="12">
        <f>IF(LEFT(I6194,2)="MV",2*N6194*IF(L6194="1/C",O6194,1),0)</f>
        <v/>
      </c>
      <c r="Y6194" s="12">
        <f>IF(OR(LEFT(K6194,4)="LVAX",LEFT(K6194,6)="MV15AX",LEFT(K6194,4)="CTAX",LEFT(K6194,2)="W|"),2*N6194*O6194,0)</f>
        <v/>
      </c>
      <c r="Z6194" s="12" t="inlineStr">
        <is>
          <t>device-to-JB field wiring, one cable per device</t>
        </is>
      </c>
      <c r="AA6194" s="12">
        <f>N6194*O6194</f>
        <v/>
      </c>
    </row>
    <row r="6195">
      <c r="A6195" s="12" t="inlineStr">
        <is>
          <t>C-I-0102</t>
        </is>
      </c>
      <c r="B6195" s="12" t="inlineStr">
        <is>
          <t>C</t>
        </is>
      </c>
      <c r="C6195" s="12" t="inlineStr">
        <is>
          <t>Grid interface</t>
        </is>
      </c>
      <c r="D6195" s="12" t="inlineStr">
        <is>
          <t>Home run JB-CO2 compression 3 -DI03 to the control / marshalling room</t>
        </is>
      </c>
      <c r="E6195" s="12" t="inlineStr">
        <is>
          <t>R1</t>
        </is>
      </c>
      <c r="F6195" s="12" t="inlineStr">
        <is>
          <t>R1: main electrical building (64 x 180 ft)</t>
        </is>
      </c>
      <c r="G6195" s="12" t="inlineStr">
        <is>
          <t>JB-CO2 compression 3 -DI03</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PLTC|24 pr|18</t>
        </is>
      </c>
      <c r="L6195" s="12" t="inlineStr">
        <is>
          <t>24 pr</t>
        </is>
      </c>
      <c r="M6195" s="12" t="inlineStr">
        <is>
          <t>18</t>
        </is>
      </c>
      <c r="N6195" s="12" t="n">
        <v>1</v>
      </c>
      <c r="O6195" s="12" t="n">
        <v>1</v>
      </c>
      <c r="P6195" s="12" t="n"/>
      <c r="Q6195" s="12" t="n"/>
      <c r="R6195" s="12" t="n"/>
      <c r="S6195" s="12" t="inlineStr">
        <is>
          <t>Tray</t>
        </is>
      </c>
      <c r="T6195" s="15" t="n">
        <v>2186</v>
      </c>
      <c r="U6195" s="15" t="n">
        <v>268</v>
      </c>
      <c r="V6195" s="15">
        <f>ROUNDUP((T6195+U6195+2*'Read Me'!$B$13)*(1+'Read Me'!$B$12),-1)</f>
        <v/>
      </c>
      <c r="W6195" s="15">
        <f>V6195*N6195*O6195</f>
        <v/>
      </c>
      <c r="X6195" s="12">
        <f>IF(LEFT(I6195,2)="MV",2*N6195*IF(L6195="1/C",O6195,1),0)</f>
        <v/>
      </c>
      <c r="Y6195" s="12">
        <f>IF(OR(LEFT(K6195,4)="LVAX",LEFT(K6195,6)="MV15AX",LEFT(K6195,4)="CTAX",LEFT(K6195,2)="W|"),2*N6195*O6195,0)</f>
        <v/>
      </c>
      <c r="Z6195" s="12" t="inlineStr"/>
      <c r="AA6195" s="12">
        <f>N6195*O6195</f>
        <v/>
      </c>
    </row>
    <row r="6196">
      <c r="A6196" s="12" t="inlineStr">
        <is>
          <t>C-I-0103</t>
        </is>
      </c>
      <c r="B6196" s="12" t="inlineStr">
        <is>
          <t>C</t>
        </is>
      </c>
      <c r="C6196" s="12" t="inlineStr">
        <is>
          <t>Grid interface</t>
        </is>
      </c>
      <c r="D6196" s="12" t="inlineStr">
        <is>
          <t>Discrete device to JB JB-CO2 compression 3 -DI04: 20 x 1 pr (field cables)</t>
        </is>
      </c>
      <c r="E6196" s="12" t="inlineStr"/>
      <c r="F6196" s="12" t="inlineStr">
        <is>
          <t xml:space="preserve">CO2 compression 3 x ~19 MW + dehydration: rooftop HVAC, exhaust fans, </t>
        </is>
      </c>
      <c r="G6196" s="12" t="inlineStr">
        <is>
          <t>JB-CO2 compression 3 -DI04</t>
        </is>
      </c>
      <c r="H6196" s="12" t="inlineStr">
        <is>
          <t xml:space="preserve">CO2 compression 3 x ~19 MW + dehydration: rooftop HVAC, exhaust fans, </t>
        </is>
      </c>
      <c r="I6196" s="12" t="inlineStr">
        <is>
          <t>Instrumentation</t>
        </is>
      </c>
      <c r="J6196" s="12" t="inlineStr">
        <is>
          <t>Instrumentation PLTC / TC-ER 300 V, #18 twisted shielded pairs, overall shield</t>
        </is>
      </c>
      <c r="K6196" s="12" t="inlineStr">
        <is>
          <t>PLTC|1 pr|16</t>
        </is>
      </c>
      <c r="L6196" s="12" t="inlineStr">
        <is>
          <t>1 pr</t>
        </is>
      </c>
      <c r="M6196" s="12" t="inlineStr">
        <is>
          <t>16</t>
        </is>
      </c>
      <c r="N6196" s="12" t="n">
        <v>20</v>
      </c>
      <c r="O6196" s="12" t="n">
        <v>1</v>
      </c>
      <c r="P6196" s="12" t="n"/>
      <c r="Q6196" s="12" t="n"/>
      <c r="R6196" s="12" t="n"/>
      <c r="S6196" s="12" t="inlineStr">
        <is>
          <t>Tray / conduit</t>
        </is>
      </c>
      <c r="T6196" s="15" t="n">
        <v>161</v>
      </c>
      <c r="U6196" s="15" t="n">
        <v>10</v>
      </c>
      <c r="V6196" s="15">
        <f>ROUNDUP((T6196+U6196+2*'Read Me'!$B$13)*(1+'Read Me'!$B$12),-1)</f>
        <v/>
      </c>
      <c r="W6196" s="15">
        <f>V6196*N6196*O6196</f>
        <v/>
      </c>
      <c r="X6196" s="12">
        <f>IF(LEFT(I6196,2)="MV",2*N6196*IF(L6196="1/C",O6196,1),0)</f>
        <v/>
      </c>
      <c r="Y6196" s="12">
        <f>IF(OR(LEFT(K6196,4)="LVAX",LEFT(K6196,6)="MV15AX",LEFT(K6196,4)="CTAX",LEFT(K6196,2)="W|"),2*N6196*O6196,0)</f>
        <v/>
      </c>
      <c r="Z6196" s="12" t="inlineStr">
        <is>
          <t>device-to-JB field wiring, one cable per device</t>
        </is>
      </c>
      <c r="AA6196" s="12">
        <f>N6196*O6196</f>
        <v/>
      </c>
    </row>
    <row r="6197">
      <c r="A6197" s="12" t="inlineStr">
        <is>
          <t>C-I-0104</t>
        </is>
      </c>
      <c r="B6197" s="12" t="inlineStr">
        <is>
          <t>C</t>
        </is>
      </c>
      <c r="C6197" s="12" t="inlineStr">
        <is>
          <t>Grid interface</t>
        </is>
      </c>
      <c r="D6197" s="12" t="inlineStr">
        <is>
          <t>Home run JB-CO2 compression 3 -DI04 to the control / marshalling room</t>
        </is>
      </c>
      <c r="E6197" s="12" t="inlineStr">
        <is>
          <t>R1</t>
        </is>
      </c>
      <c r="F6197" s="12" t="inlineStr">
        <is>
          <t>R1: main electrical building (64 x 180 ft)</t>
        </is>
      </c>
      <c r="G6197" s="12" t="inlineStr">
        <is>
          <t>JB-CO2 compression 3 -DI04</t>
        </is>
      </c>
      <c r="H6197" s="12" t="inlineStr">
        <is>
          <t xml:space="preserve">CO2 compression 3 x ~19 MW + dehydration: rooftop HVAC, exhaust fans, </t>
        </is>
      </c>
      <c r="I6197" s="12" t="inlineStr">
        <is>
          <t>Instrumentation</t>
        </is>
      </c>
      <c r="J6197" s="12" t="inlineStr">
        <is>
          <t>Instrumentation PLTC / TC-ER 300 V, #18 twisted shielded pairs, overall shield</t>
        </is>
      </c>
      <c r="K6197" s="12" t="inlineStr">
        <is>
          <t>PLTC|24 pr|18</t>
        </is>
      </c>
      <c r="L6197" s="12" t="inlineStr">
        <is>
          <t>24 pr</t>
        </is>
      </c>
      <c r="M6197" s="12" t="inlineStr">
        <is>
          <t>18</t>
        </is>
      </c>
      <c r="N6197" s="12" t="n">
        <v>1</v>
      </c>
      <c r="O6197" s="12" t="n">
        <v>1</v>
      </c>
      <c r="P6197" s="12" t="n"/>
      <c r="Q6197" s="12" t="n"/>
      <c r="R6197" s="12" t="n"/>
      <c r="S6197" s="12" t="inlineStr">
        <is>
          <t>Tray</t>
        </is>
      </c>
      <c r="T6197" s="15" t="n">
        <v>2186</v>
      </c>
      <c r="U6197" s="15" t="n">
        <v>268</v>
      </c>
      <c r="V6197" s="15">
        <f>ROUNDUP((T6197+U6197+2*'Read Me'!$B$13)*(1+'Read Me'!$B$12),-1)</f>
        <v/>
      </c>
      <c r="W6197" s="15">
        <f>V6197*N6197*O6197</f>
        <v/>
      </c>
      <c r="X6197" s="12">
        <f>IF(LEFT(I6197,2)="MV",2*N6197*IF(L6197="1/C",O6197,1),0)</f>
        <v/>
      </c>
      <c r="Y6197" s="12">
        <f>IF(OR(LEFT(K6197,4)="LVAX",LEFT(K6197,6)="MV15AX",LEFT(K6197,4)="CTAX",LEFT(K6197,2)="W|"),2*N6197*O6197,0)</f>
        <v/>
      </c>
      <c r="Z6197" s="12" t="inlineStr"/>
      <c r="AA6197" s="12">
        <f>N6197*O6197</f>
        <v/>
      </c>
    </row>
    <row r="6198">
      <c r="A6198" s="12" t="inlineStr">
        <is>
          <t>C-I-0105</t>
        </is>
      </c>
      <c r="B6198" s="12" t="inlineStr">
        <is>
          <t>C</t>
        </is>
      </c>
      <c r="C6198" s="12" t="inlineStr">
        <is>
          <t>Grid interface</t>
        </is>
      </c>
      <c r="D6198" s="12" t="inlineStr">
        <is>
          <t>Discrete device to JB JB-CO2 compression 3 -DI05: 20 x 1 pr (field cables)</t>
        </is>
      </c>
      <c r="E6198" s="12" t="inlineStr"/>
      <c r="F6198" s="12" t="inlineStr">
        <is>
          <t xml:space="preserve">CO2 compression 3 x ~19 MW + dehydration: rooftop HVAC, exhaust fans, </t>
        </is>
      </c>
      <c r="G6198" s="12" t="inlineStr">
        <is>
          <t>JB-CO2 compression 3 -DI05</t>
        </is>
      </c>
      <c r="H6198" s="12" t="inlineStr">
        <is>
          <t xml:space="preserve">CO2 compression 3 x ~19 MW + dehydration: rooftop HVAC, exhaust fans, </t>
        </is>
      </c>
      <c r="I6198" s="12" t="inlineStr">
        <is>
          <t>Instrumentation</t>
        </is>
      </c>
      <c r="J6198" s="12" t="inlineStr">
        <is>
          <t>Instrumentation PLTC / TC-ER 300 V, #18 twisted shielded pairs, overall shield</t>
        </is>
      </c>
      <c r="K6198" s="12" t="inlineStr">
        <is>
          <t>PLTC|1 pr|16</t>
        </is>
      </c>
      <c r="L6198" s="12" t="inlineStr">
        <is>
          <t>1 pr</t>
        </is>
      </c>
      <c r="M6198" s="12" t="inlineStr">
        <is>
          <t>16</t>
        </is>
      </c>
      <c r="N6198" s="12" t="n">
        <v>20</v>
      </c>
      <c r="O6198" s="12" t="n">
        <v>1</v>
      </c>
      <c r="P6198" s="12" t="n"/>
      <c r="Q6198" s="12" t="n"/>
      <c r="R6198" s="12" t="n"/>
      <c r="S6198" s="12" t="inlineStr">
        <is>
          <t>Tray / conduit</t>
        </is>
      </c>
      <c r="T6198" s="15" t="n">
        <v>161</v>
      </c>
      <c r="U6198" s="15" t="n">
        <v>10</v>
      </c>
      <c r="V6198" s="15">
        <f>ROUNDUP((T6198+U6198+2*'Read Me'!$B$13)*(1+'Read Me'!$B$12),-1)</f>
        <v/>
      </c>
      <c r="W6198" s="15">
        <f>V6198*N6198*O6198</f>
        <v/>
      </c>
      <c r="X6198" s="12">
        <f>IF(LEFT(I6198,2)="MV",2*N6198*IF(L6198="1/C",O6198,1),0)</f>
        <v/>
      </c>
      <c r="Y6198" s="12">
        <f>IF(OR(LEFT(K6198,4)="LVAX",LEFT(K6198,6)="MV15AX",LEFT(K6198,4)="CTAX",LEFT(K6198,2)="W|"),2*N6198*O6198,0)</f>
        <v/>
      </c>
      <c r="Z6198" s="12" t="inlineStr">
        <is>
          <t>device-to-JB field wiring, one cable per device</t>
        </is>
      </c>
      <c r="AA6198" s="12">
        <f>N6198*O6198</f>
        <v/>
      </c>
    </row>
    <row r="6199">
      <c r="A6199" s="12" t="inlineStr">
        <is>
          <t>C-I-0106</t>
        </is>
      </c>
      <c r="B6199" s="12" t="inlineStr">
        <is>
          <t>C</t>
        </is>
      </c>
      <c r="C6199" s="12" t="inlineStr">
        <is>
          <t>Grid interface</t>
        </is>
      </c>
      <c r="D6199" s="12" t="inlineStr">
        <is>
          <t>Home run JB-CO2 compression 3 -DI05 to the control / marshalling room</t>
        </is>
      </c>
      <c r="E6199" s="12" t="inlineStr">
        <is>
          <t>R1</t>
        </is>
      </c>
      <c r="F6199" s="12" t="inlineStr">
        <is>
          <t>R1: main electrical building (64 x 180 ft)</t>
        </is>
      </c>
      <c r="G6199" s="12" t="inlineStr">
        <is>
          <t>JB-CO2 compression 3 -DI05</t>
        </is>
      </c>
      <c r="H6199" s="12" t="inlineStr">
        <is>
          <t xml:space="preserve">CO2 compression 3 x ~19 MW + dehydration: rooftop HVAC, exhaust fans, </t>
        </is>
      </c>
      <c r="I6199" s="12" t="inlineStr">
        <is>
          <t>Instrumentation</t>
        </is>
      </c>
      <c r="J6199" s="12" t="inlineStr">
        <is>
          <t>Instrumentation PLTC / TC-ER 300 V, #18 twisted shielded pairs, overall shield</t>
        </is>
      </c>
      <c r="K6199" s="12" t="inlineStr">
        <is>
          <t>PLTC|24 pr|18</t>
        </is>
      </c>
      <c r="L6199" s="12" t="inlineStr">
        <is>
          <t>24 pr</t>
        </is>
      </c>
      <c r="M6199" s="12" t="inlineStr">
        <is>
          <t>18</t>
        </is>
      </c>
      <c r="N6199" s="12" t="n">
        <v>1</v>
      </c>
      <c r="O6199" s="12" t="n">
        <v>1</v>
      </c>
      <c r="P6199" s="12" t="n"/>
      <c r="Q6199" s="12" t="n"/>
      <c r="R6199" s="12" t="n"/>
      <c r="S6199" s="12" t="inlineStr">
        <is>
          <t>Tray</t>
        </is>
      </c>
      <c r="T6199" s="15" t="n">
        <v>2186</v>
      </c>
      <c r="U6199" s="15" t="n">
        <v>268</v>
      </c>
      <c r="V6199" s="15">
        <f>ROUNDUP((T6199+U6199+2*'Read Me'!$B$13)*(1+'Read Me'!$B$12),-1)</f>
        <v/>
      </c>
      <c r="W6199" s="15">
        <f>V6199*N6199*O6199</f>
        <v/>
      </c>
      <c r="X6199" s="12">
        <f>IF(LEFT(I6199,2)="MV",2*N6199*IF(L6199="1/C",O6199,1),0)</f>
        <v/>
      </c>
      <c r="Y6199" s="12">
        <f>IF(OR(LEFT(K6199,4)="LVAX",LEFT(K6199,6)="MV15AX",LEFT(K6199,4)="CTAX",LEFT(K6199,2)="W|"),2*N6199*O6199,0)</f>
        <v/>
      </c>
      <c r="Z6199" s="12" t="inlineStr"/>
      <c r="AA6199" s="12">
        <f>N6199*O6199</f>
        <v/>
      </c>
    </row>
    <row r="6200">
      <c r="A6200" s="12" t="inlineStr">
        <is>
          <t>C-I-0107</t>
        </is>
      </c>
      <c r="B6200" s="12" t="inlineStr">
        <is>
          <t>C</t>
        </is>
      </c>
      <c r="C6200" s="12" t="inlineStr">
        <is>
          <t>Grid interface</t>
        </is>
      </c>
      <c r="D6200" s="12" t="inlineStr">
        <is>
          <t>RTD to JB JB-CO2 compression 3 -RTD01: 10 x 1 tri (field cables)</t>
        </is>
      </c>
      <c r="E6200" s="12" t="inlineStr"/>
      <c r="F6200" s="12" t="inlineStr">
        <is>
          <t xml:space="preserve">CO2 compression 3 x ~19 MW + dehydration: rooftop HVAC, exhaust fans, </t>
        </is>
      </c>
      <c r="G6200" s="12" t="inlineStr">
        <is>
          <t>JB-CO2 compression 3 -RTD01</t>
        </is>
      </c>
      <c r="H6200" s="12" t="inlineStr">
        <is>
          <t xml:space="preserve">CO2 compression 3 x ~19 MW + dehydration: rooftop HVAC, exhaust fans, </t>
        </is>
      </c>
      <c r="I6200" s="12" t="inlineStr">
        <is>
          <t>Instrumentation</t>
        </is>
      </c>
      <c r="J6200" s="12" t="inlineStr">
        <is>
          <t>RTD cable, #18 shielded triads, PLTC</t>
        </is>
      </c>
      <c r="K6200" s="12" t="inlineStr">
        <is>
          <t>RTD|1 tri|18</t>
        </is>
      </c>
      <c r="L6200" s="12" t="inlineStr">
        <is>
          <t>1 tri</t>
        </is>
      </c>
      <c r="M6200" s="12" t="inlineStr">
        <is>
          <t>18</t>
        </is>
      </c>
      <c r="N6200" s="12" t="n">
        <v>10</v>
      </c>
      <c r="O6200" s="12" t="n">
        <v>1</v>
      </c>
      <c r="P6200" s="12" t="n"/>
      <c r="Q6200" s="12" t="n"/>
      <c r="R6200" s="12" t="n"/>
      <c r="S6200" s="12" t="inlineStr">
        <is>
          <t>Tray / conduit</t>
        </is>
      </c>
      <c r="T6200" s="15" t="n">
        <v>161</v>
      </c>
      <c r="U6200" s="15" t="n">
        <v>10</v>
      </c>
      <c r="V6200" s="15">
        <f>ROUNDUP((T6200+U6200+2*'Read Me'!$B$13)*(1+'Read Me'!$B$12),-1)</f>
        <v/>
      </c>
      <c r="W6200" s="15">
        <f>V6200*N6200*O6200</f>
        <v/>
      </c>
      <c r="X6200" s="12">
        <f>IF(LEFT(I6200,2)="MV",2*N6200*IF(L6200="1/C",O6200,1),0)</f>
        <v/>
      </c>
      <c r="Y6200" s="12">
        <f>IF(OR(LEFT(K6200,4)="LVAX",LEFT(K6200,6)="MV15AX",LEFT(K6200,4)="CTAX",LEFT(K6200,2)="W|"),2*N6200*O6200,0)</f>
        <v/>
      </c>
      <c r="Z6200" s="12" t="inlineStr">
        <is>
          <t>device-to-JB field wiring, one cable per device</t>
        </is>
      </c>
      <c r="AA6200" s="12">
        <f>N6200*O6200</f>
        <v/>
      </c>
    </row>
    <row r="6201">
      <c r="A6201" s="12" t="inlineStr">
        <is>
          <t>C-I-0108</t>
        </is>
      </c>
      <c r="B6201" s="12" t="inlineStr">
        <is>
          <t>C</t>
        </is>
      </c>
      <c r="C6201" s="12" t="inlineStr">
        <is>
          <t>Grid interface</t>
        </is>
      </c>
      <c r="D6201" s="12" t="inlineStr">
        <is>
          <t>Home run JB-CO2 compression 3 -RTD01 to the control / marshalling room</t>
        </is>
      </c>
      <c r="E6201" s="12" t="inlineStr">
        <is>
          <t>R1</t>
        </is>
      </c>
      <c r="F6201" s="12" t="inlineStr">
        <is>
          <t>R1: main electrical building (64 x 180 ft)</t>
        </is>
      </c>
      <c r="G6201" s="12" t="inlineStr">
        <is>
          <t>JB-CO2 compression 3 -RTD01</t>
        </is>
      </c>
      <c r="H6201" s="12" t="inlineStr">
        <is>
          <t xml:space="preserve">CO2 compression 3 x ~19 MW + dehydration: rooftop HVAC, exhaust fans, </t>
        </is>
      </c>
      <c r="I6201" s="12" t="inlineStr">
        <is>
          <t>Instrumentation</t>
        </is>
      </c>
      <c r="J6201" s="12" t="inlineStr">
        <is>
          <t>RTD cable, #18 shielded triads, PLTC</t>
        </is>
      </c>
      <c r="K6201" s="12" t="inlineStr">
        <is>
          <t>RTD|12 tri|18</t>
        </is>
      </c>
      <c r="L6201" s="12" t="inlineStr">
        <is>
          <t>12 tri</t>
        </is>
      </c>
      <c r="M6201" s="12" t="inlineStr">
        <is>
          <t>18</t>
        </is>
      </c>
      <c r="N6201" s="12" t="n">
        <v>1</v>
      </c>
      <c r="O6201" s="12" t="n">
        <v>1</v>
      </c>
      <c r="P6201" s="12" t="n"/>
      <c r="Q6201" s="12" t="n"/>
      <c r="R6201" s="12" t="n"/>
      <c r="S6201" s="12" t="inlineStr">
        <is>
          <t>Tray</t>
        </is>
      </c>
      <c r="T6201" s="15" t="n">
        <v>2186</v>
      </c>
      <c r="U6201" s="15" t="n">
        <v>268</v>
      </c>
      <c r="V6201" s="15">
        <f>ROUNDUP((T6201+U6201+2*'Read Me'!$B$13)*(1+'Read Me'!$B$12),-1)</f>
        <v/>
      </c>
      <c r="W6201" s="15">
        <f>V6201*N6201*O6201</f>
        <v/>
      </c>
      <c r="X6201" s="12">
        <f>IF(LEFT(I6201,2)="MV",2*N6201*IF(L6201="1/C",O6201,1),0)</f>
        <v/>
      </c>
      <c r="Y6201" s="12">
        <f>IF(OR(LEFT(K6201,4)="LVAX",LEFT(K6201,6)="MV15AX",LEFT(K6201,4)="CTAX",LEFT(K6201,2)="W|"),2*N6201*O6201,0)</f>
        <v/>
      </c>
      <c r="Z6201" s="12" t="inlineStr"/>
      <c r="AA6201" s="12">
        <f>N6201*O6201</f>
        <v/>
      </c>
    </row>
    <row r="6202">
      <c r="A6202" s="12" t="inlineStr">
        <is>
          <t>C-I-0109</t>
        </is>
      </c>
      <c r="B6202" s="12" t="inlineStr">
        <is>
          <t>C</t>
        </is>
      </c>
      <c r="C6202" s="12" t="inlineStr">
        <is>
          <t>Grid interface</t>
        </is>
      </c>
      <c r="D6202" s="12" t="inlineStr">
        <is>
          <t>RTD to JB JB-CO2 compression 3 -RTD02: 10 x 1 tri (field cables)</t>
        </is>
      </c>
      <c r="E6202" s="12" t="inlineStr"/>
      <c r="F6202" s="12" t="inlineStr">
        <is>
          <t xml:space="preserve">CO2 compression 3 x ~19 MW + dehydration: rooftop HVAC, exhaust fans, </t>
        </is>
      </c>
      <c r="G6202" s="12" t="inlineStr">
        <is>
          <t>JB-CO2 compression 3 -RTD02</t>
        </is>
      </c>
      <c r="H6202" s="12" t="inlineStr">
        <is>
          <t xml:space="preserve">CO2 compression 3 x ~19 MW + dehydration: rooftop HVAC, exhaust fans, </t>
        </is>
      </c>
      <c r="I6202" s="12" t="inlineStr">
        <is>
          <t>Instrumentation</t>
        </is>
      </c>
      <c r="J6202" s="12" t="inlineStr">
        <is>
          <t>RTD cable, #18 shielded triads, PLTC</t>
        </is>
      </c>
      <c r="K6202" s="12" t="inlineStr">
        <is>
          <t>RTD|1 tri|18</t>
        </is>
      </c>
      <c r="L6202" s="12" t="inlineStr">
        <is>
          <t>1 tri</t>
        </is>
      </c>
      <c r="M6202" s="12" t="inlineStr">
        <is>
          <t>18</t>
        </is>
      </c>
      <c r="N6202" s="12" t="n">
        <v>10</v>
      </c>
      <c r="O6202" s="12" t="n">
        <v>1</v>
      </c>
      <c r="P6202" s="12" t="n"/>
      <c r="Q6202" s="12" t="n"/>
      <c r="R6202" s="12" t="n"/>
      <c r="S6202" s="12" t="inlineStr">
        <is>
          <t>Tray / conduit</t>
        </is>
      </c>
      <c r="T6202" s="15" t="n">
        <v>161</v>
      </c>
      <c r="U6202" s="15" t="n">
        <v>10</v>
      </c>
      <c r="V6202" s="15">
        <f>ROUNDUP((T6202+U6202+2*'Read Me'!$B$13)*(1+'Read Me'!$B$12),-1)</f>
        <v/>
      </c>
      <c r="W6202" s="15">
        <f>V6202*N6202*O6202</f>
        <v/>
      </c>
      <c r="X6202" s="12">
        <f>IF(LEFT(I6202,2)="MV",2*N6202*IF(L6202="1/C",O6202,1),0)</f>
        <v/>
      </c>
      <c r="Y6202" s="12">
        <f>IF(OR(LEFT(K6202,4)="LVAX",LEFT(K6202,6)="MV15AX",LEFT(K6202,4)="CTAX",LEFT(K6202,2)="W|"),2*N6202*O6202,0)</f>
        <v/>
      </c>
      <c r="Z6202" s="12" t="inlineStr">
        <is>
          <t>device-to-JB field wiring, one cable per device</t>
        </is>
      </c>
      <c r="AA6202" s="12">
        <f>N6202*O6202</f>
        <v/>
      </c>
    </row>
    <row r="6203">
      <c r="A6203" s="12" t="inlineStr">
        <is>
          <t>C-I-0110</t>
        </is>
      </c>
      <c r="B6203" s="12" t="inlineStr">
        <is>
          <t>C</t>
        </is>
      </c>
      <c r="C6203" s="12" t="inlineStr">
        <is>
          <t>Grid interface</t>
        </is>
      </c>
      <c r="D6203" s="12" t="inlineStr">
        <is>
          <t>Home run JB-CO2 compression 3 -RTD02 to the control / marshalling room</t>
        </is>
      </c>
      <c r="E6203" s="12" t="inlineStr">
        <is>
          <t>R1</t>
        </is>
      </c>
      <c r="F6203" s="12" t="inlineStr">
        <is>
          <t>R1: main electrical building (64 x 180 ft)</t>
        </is>
      </c>
      <c r="G6203" s="12" t="inlineStr">
        <is>
          <t>JB-CO2 compression 3 -RTD02</t>
        </is>
      </c>
      <c r="H6203" s="12" t="inlineStr">
        <is>
          <t xml:space="preserve">CO2 compression 3 x ~19 MW + dehydration: rooftop HVAC, exhaust fans, </t>
        </is>
      </c>
      <c r="I6203" s="12" t="inlineStr">
        <is>
          <t>Instrumentation</t>
        </is>
      </c>
      <c r="J6203" s="12" t="inlineStr">
        <is>
          <t>RTD cable, #18 shielded triads, PLTC</t>
        </is>
      </c>
      <c r="K6203" s="12" t="inlineStr">
        <is>
          <t>RTD|12 tri|18</t>
        </is>
      </c>
      <c r="L6203" s="12" t="inlineStr">
        <is>
          <t>12 tri</t>
        </is>
      </c>
      <c r="M6203" s="12" t="inlineStr">
        <is>
          <t>18</t>
        </is>
      </c>
      <c r="N6203" s="12" t="n">
        <v>1</v>
      </c>
      <c r="O6203" s="12" t="n">
        <v>1</v>
      </c>
      <c r="P6203" s="12" t="n"/>
      <c r="Q6203" s="12" t="n"/>
      <c r="R6203" s="12" t="n"/>
      <c r="S6203" s="12" t="inlineStr">
        <is>
          <t>Tray</t>
        </is>
      </c>
      <c r="T6203" s="15" t="n">
        <v>2186</v>
      </c>
      <c r="U6203" s="15" t="n">
        <v>268</v>
      </c>
      <c r="V6203" s="15">
        <f>ROUNDUP((T6203+U6203+2*'Read Me'!$B$13)*(1+'Read Me'!$B$12),-1)</f>
        <v/>
      </c>
      <c r="W6203" s="15">
        <f>V6203*N6203*O6203</f>
        <v/>
      </c>
      <c r="X6203" s="12">
        <f>IF(LEFT(I6203,2)="MV",2*N6203*IF(L6203="1/C",O6203,1),0)</f>
        <v/>
      </c>
      <c r="Y6203" s="12">
        <f>IF(OR(LEFT(K6203,4)="LVAX",LEFT(K6203,6)="MV15AX",LEFT(K6203,4)="CTAX",LEFT(K6203,2)="W|"),2*N6203*O6203,0)</f>
        <v/>
      </c>
      <c r="Z6203" s="12" t="inlineStr"/>
      <c r="AA6203" s="12">
        <f>N6203*O6203</f>
        <v/>
      </c>
    </row>
    <row r="6204">
      <c r="A6204" s="12" t="inlineStr">
        <is>
          <t>C-I-0111</t>
        </is>
      </c>
      <c r="B6204" s="12" t="inlineStr">
        <is>
          <t>C</t>
        </is>
      </c>
      <c r="C6204" s="12" t="inlineStr">
        <is>
          <t>Grid interface</t>
        </is>
      </c>
      <c r="D6204" s="12" t="inlineStr">
        <is>
          <t>RTD to JB JB-CO2 compression 3 -RTD03: 10 x 1 tri (field cables)</t>
        </is>
      </c>
      <c r="E6204" s="12" t="inlineStr"/>
      <c r="F6204" s="12" t="inlineStr">
        <is>
          <t xml:space="preserve">CO2 compression 3 x ~19 MW + dehydration: rooftop HVAC, exhaust fans, </t>
        </is>
      </c>
      <c r="G6204" s="12" t="inlineStr">
        <is>
          <t>JB-CO2 compression 3 -RTD03</t>
        </is>
      </c>
      <c r="H6204" s="12" t="inlineStr">
        <is>
          <t xml:space="preserve">CO2 compression 3 x ~19 MW + dehydration: rooftop HVAC, exhaust fans, </t>
        </is>
      </c>
      <c r="I6204" s="12" t="inlineStr">
        <is>
          <t>Instrumentation</t>
        </is>
      </c>
      <c r="J6204" s="12" t="inlineStr">
        <is>
          <t>RTD cable, #18 shielded triads, PLTC</t>
        </is>
      </c>
      <c r="K6204" s="12" t="inlineStr">
        <is>
          <t>RTD|1 tri|18</t>
        </is>
      </c>
      <c r="L6204" s="12" t="inlineStr">
        <is>
          <t>1 tri</t>
        </is>
      </c>
      <c r="M6204" s="12" t="inlineStr">
        <is>
          <t>18</t>
        </is>
      </c>
      <c r="N6204" s="12" t="n">
        <v>10</v>
      </c>
      <c r="O6204" s="12" t="n">
        <v>1</v>
      </c>
      <c r="P6204" s="12" t="n"/>
      <c r="Q6204" s="12" t="n"/>
      <c r="R6204" s="12" t="n"/>
      <c r="S6204" s="12" t="inlineStr">
        <is>
          <t>Tray / conduit</t>
        </is>
      </c>
      <c r="T6204" s="15" t="n">
        <v>161</v>
      </c>
      <c r="U6204" s="15" t="n">
        <v>10</v>
      </c>
      <c r="V6204" s="15">
        <f>ROUNDUP((T6204+U6204+2*'Read Me'!$B$13)*(1+'Read Me'!$B$12),-1)</f>
        <v/>
      </c>
      <c r="W6204" s="15">
        <f>V6204*N6204*O6204</f>
        <v/>
      </c>
      <c r="X6204" s="12">
        <f>IF(LEFT(I6204,2)="MV",2*N6204*IF(L6204="1/C",O6204,1),0)</f>
        <v/>
      </c>
      <c r="Y6204" s="12">
        <f>IF(OR(LEFT(K6204,4)="LVAX",LEFT(K6204,6)="MV15AX",LEFT(K6204,4)="CTAX",LEFT(K6204,2)="W|"),2*N6204*O6204,0)</f>
        <v/>
      </c>
      <c r="Z6204" s="12" t="inlineStr">
        <is>
          <t>device-to-JB field wiring, one cable per device</t>
        </is>
      </c>
      <c r="AA6204" s="12">
        <f>N6204*O6204</f>
        <v/>
      </c>
    </row>
    <row r="6205">
      <c r="A6205" s="12" t="inlineStr">
        <is>
          <t>C-I-0112</t>
        </is>
      </c>
      <c r="B6205" s="12" t="inlineStr">
        <is>
          <t>C</t>
        </is>
      </c>
      <c r="C6205" s="12" t="inlineStr">
        <is>
          <t>Grid interface</t>
        </is>
      </c>
      <c r="D6205" s="12" t="inlineStr">
        <is>
          <t>Home run JB-CO2 compression 3 -RTD03 to the control / marshalling room</t>
        </is>
      </c>
      <c r="E6205" s="12" t="inlineStr">
        <is>
          <t>R1</t>
        </is>
      </c>
      <c r="F6205" s="12" t="inlineStr">
        <is>
          <t>R1: main electrical building (64 x 180 ft)</t>
        </is>
      </c>
      <c r="G6205" s="12" t="inlineStr">
        <is>
          <t>JB-CO2 compression 3 -RTD03</t>
        </is>
      </c>
      <c r="H6205" s="12" t="inlineStr">
        <is>
          <t xml:space="preserve">CO2 compression 3 x ~19 MW + dehydration: rooftop HVAC, exhaust fans, </t>
        </is>
      </c>
      <c r="I6205" s="12" t="inlineStr">
        <is>
          <t>Instrumentation</t>
        </is>
      </c>
      <c r="J6205" s="12" t="inlineStr">
        <is>
          <t>RTD cable, #18 shielded triads, PLTC</t>
        </is>
      </c>
      <c r="K6205" s="12" t="inlineStr">
        <is>
          <t>RTD|12 tri|18</t>
        </is>
      </c>
      <c r="L6205" s="12" t="inlineStr">
        <is>
          <t>12 tri</t>
        </is>
      </c>
      <c r="M6205" s="12" t="inlineStr">
        <is>
          <t>18</t>
        </is>
      </c>
      <c r="N6205" s="12" t="n">
        <v>1</v>
      </c>
      <c r="O6205" s="12" t="n">
        <v>1</v>
      </c>
      <c r="P6205" s="12" t="n"/>
      <c r="Q6205" s="12" t="n"/>
      <c r="R6205" s="12" t="n"/>
      <c r="S6205" s="12" t="inlineStr">
        <is>
          <t>Tray</t>
        </is>
      </c>
      <c r="T6205" s="15" t="n">
        <v>2186</v>
      </c>
      <c r="U6205" s="15" t="n">
        <v>268</v>
      </c>
      <c r="V6205" s="15">
        <f>ROUNDUP((T6205+U6205+2*'Read Me'!$B$13)*(1+'Read Me'!$B$12),-1)</f>
        <v/>
      </c>
      <c r="W6205" s="15">
        <f>V6205*N6205*O6205</f>
        <v/>
      </c>
      <c r="X6205" s="12">
        <f>IF(LEFT(I6205,2)="MV",2*N6205*IF(L6205="1/C",O6205,1),0)</f>
        <v/>
      </c>
      <c r="Y6205" s="12">
        <f>IF(OR(LEFT(K6205,4)="LVAX",LEFT(K6205,6)="MV15AX",LEFT(K6205,4)="CTAX",LEFT(K6205,2)="W|"),2*N6205*O6205,0)</f>
        <v/>
      </c>
      <c r="Z6205" s="12" t="inlineStr"/>
      <c r="AA6205" s="12">
        <f>N6205*O6205</f>
        <v/>
      </c>
    </row>
    <row r="6206">
      <c r="A6206" s="12" t="inlineStr">
        <is>
          <t>C-I-0113</t>
        </is>
      </c>
      <c r="B6206" s="12" t="inlineStr">
        <is>
          <t>C</t>
        </is>
      </c>
      <c r="C6206" s="12" t="inlineStr">
        <is>
          <t>Grid interface</t>
        </is>
      </c>
      <c r="D6206" s="12" t="inlineStr">
        <is>
          <t>RTD to JB JB-CO2 compression 3 -RTD04: 6 x 1 tri (field cables)</t>
        </is>
      </c>
      <c r="E6206" s="12" t="inlineStr"/>
      <c r="F6206" s="12" t="inlineStr">
        <is>
          <t xml:space="preserve">CO2 compression 3 x ~19 MW + dehydration: rooftop HVAC, exhaust fans, </t>
        </is>
      </c>
      <c r="G6206" s="12" t="inlineStr">
        <is>
          <t>JB-CO2 compression 3 -RTD04</t>
        </is>
      </c>
      <c r="H6206" s="12" t="inlineStr">
        <is>
          <t xml:space="preserve">CO2 compression 3 x ~19 MW + dehydration: rooftop HVAC, exhaust fans, </t>
        </is>
      </c>
      <c r="I6206" s="12" t="inlineStr">
        <is>
          <t>Instrumentation</t>
        </is>
      </c>
      <c r="J6206" s="12" t="inlineStr">
        <is>
          <t>RTD cable, #18 shielded triads, PLTC</t>
        </is>
      </c>
      <c r="K6206" s="12" t="inlineStr">
        <is>
          <t>RTD|1 tri|18</t>
        </is>
      </c>
      <c r="L6206" s="12" t="inlineStr">
        <is>
          <t>1 tri</t>
        </is>
      </c>
      <c r="M6206" s="12" t="inlineStr">
        <is>
          <t>18</t>
        </is>
      </c>
      <c r="N6206" s="12" t="n">
        <v>6</v>
      </c>
      <c r="O6206" s="12" t="n">
        <v>1</v>
      </c>
      <c r="P6206" s="12" t="n"/>
      <c r="Q6206" s="12" t="n"/>
      <c r="R6206" s="12" t="n"/>
      <c r="S6206" s="12" t="inlineStr">
        <is>
          <t>Tray / conduit</t>
        </is>
      </c>
      <c r="T6206" s="15" t="n">
        <v>161</v>
      </c>
      <c r="U6206" s="15" t="n">
        <v>10</v>
      </c>
      <c r="V6206" s="15">
        <f>ROUNDUP((T6206+U6206+2*'Read Me'!$B$13)*(1+'Read Me'!$B$12),-1)</f>
        <v/>
      </c>
      <c r="W6206" s="15">
        <f>V6206*N6206*O6206</f>
        <v/>
      </c>
      <c r="X6206" s="12">
        <f>IF(LEFT(I6206,2)="MV",2*N6206*IF(L6206="1/C",O6206,1),0)</f>
        <v/>
      </c>
      <c r="Y6206" s="12">
        <f>IF(OR(LEFT(K6206,4)="LVAX",LEFT(K6206,6)="MV15AX",LEFT(K6206,4)="CTAX",LEFT(K6206,2)="W|"),2*N6206*O6206,0)</f>
        <v/>
      </c>
      <c r="Z6206" s="12" t="inlineStr">
        <is>
          <t>device-to-JB field wiring, one cable per device</t>
        </is>
      </c>
      <c r="AA6206" s="12">
        <f>N6206*O6206</f>
        <v/>
      </c>
    </row>
    <row r="6207">
      <c r="A6207" s="12" t="inlineStr">
        <is>
          <t>C-I-0114</t>
        </is>
      </c>
      <c r="B6207" s="12" t="inlineStr">
        <is>
          <t>C</t>
        </is>
      </c>
      <c r="C6207" s="12" t="inlineStr">
        <is>
          <t>Grid interface</t>
        </is>
      </c>
      <c r="D6207" s="12" t="inlineStr">
        <is>
          <t>Home run JB-CO2 compression 3 -RTD04 to the control / marshalling room</t>
        </is>
      </c>
      <c r="E6207" s="12" t="inlineStr">
        <is>
          <t>R1</t>
        </is>
      </c>
      <c r="F6207" s="12" t="inlineStr">
        <is>
          <t>R1: main electrical building (64 x 180 ft)</t>
        </is>
      </c>
      <c r="G6207" s="12" t="inlineStr">
        <is>
          <t>JB-CO2 compression 3 -RTD04</t>
        </is>
      </c>
      <c r="H6207" s="12" t="inlineStr">
        <is>
          <t xml:space="preserve">CO2 compression 3 x ~19 MW + dehydration: rooftop HVAC, exhaust fans, </t>
        </is>
      </c>
      <c r="I6207" s="12" t="inlineStr">
        <is>
          <t>Instrumentation</t>
        </is>
      </c>
      <c r="J6207" s="12" t="inlineStr">
        <is>
          <t>RTD cable, #18 shielded triads, PLTC</t>
        </is>
      </c>
      <c r="K6207" s="12" t="inlineStr">
        <is>
          <t>RTD|12 tri|18</t>
        </is>
      </c>
      <c r="L6207" s="12" t="inlineStr">
        <is>
          <t>12 tri</t>
        </is>
      </c>
      <c r="M6207" s="12" t="inlineStr">
        <is>
          <t>18</t>
        </is>
      </c>
      <c r="N6207" s="12" t="n">
        <v>1</v>
      </c>
      <c r="O6207" s="12" t="n">
        <v>1</v>
      </c>
      <c r="P6207" s="12" t="n"/>
      <c r="Q6207" s="12" t="n"/>
      <c r="R6207" s="12" t="n"/>
      <c r="S6207" s="12" t="inlineStr">
        <is>
          <t>Tray</t>
        </is>
      </c>
      <c r="T6207" s="15" t="n">
        <v>2186</v>
      </c>
      <c r="U6207" s="15" t="n">
        <v>268</v>
      </c>
      <c r="V6207" s="15">
        <f>ROUNDUP((T6207+U6207+2*'Read Me'!$B$13)*(1+'Read Me'!$B$12),-1)</f>
        <v/>
      </c>
      <c r="W6207" s="15">
        <f>V6207*N6207*O6207</f>
        <v/>
      </c>
      <c r="X6207" s="12">
        <f>IF(LEFT(I6207,2)="MV",2*N6207*IF(L6207="1/C",O6207,1),0)</f>
        <v/>
      </c>
      <c r="Y6207" s="12">
        <f>IF(OR(LEFT(K6207,4)="LVAX",LEFT(K6207,6)="MV15AX",LEFT(K6207,4)="CTAX",LEFT(K6207,2)="W|"),2*N6207*O6207,0)</f>
        <v/>
      </c>
      <c r="Z6207" s="12" t="inlineStr"/>
      <c r="AA6207" s="12">
        <f>N6207*O6207</f>
        <v/>
      </c>
    </row>
    <row r="6208">
      <c r="A6208" s="12" t="inlineStr">
        <is>
          <t>C-I-0115</t>
        </is>
      </c>
      <c r="B6208" s="12" t="inlineStr">
        <is>
          <t>C</t>
        </is>
      </c>
      <c r="C6208" s="12" t="inlineStr">
        <is>
          <t>Grid interface</t>
        </is>
      </c>
      <c r="D6208" s="12" t="inlineStr">
        <is>
          <t>Analog instrument to JB JB-Small-bore piping:-AI01: 10 x 1 pr (field cables)</t>
        </is>
      </c>
      <c r="E6208" s="12" t="inlineStr"/>
      <c r="F6208" s="12" t="inlineStr">
        <is>
          <t>Small-bore piping: instrument air, service water, nitrogen, HRSG drain</t>
        </is>
      </c>
      <c r="G6208" s="12" t="inlineStr">
        <is>
          <t>JB-Small-bore piping:-AI01</t>
        </is>
      </c>
      <c r="H6208" s="12" t="inlineStr">
        <is>
          <t>Small-bore piping: instrument air, service water, nitrogen, HRSG drain</t>
        </is>
      </c>
      <c r="I6208" s="12" t="inlineStr">
        <is>
          <t>Instrumentation</t>
        </is>
      </c>
      <c r="J6208" s="12" t="inlineStr">
        <is>
          <t>Instrumentation PLTC / TC-ER 300 V, #18 twisted shielded pairs, overall shield</t>
        </is>
      </c>
      <c r="K6208" s="12" t="inlineStr">
        <is>
          <t>PLTC|1 pr|16</t>
        </is>
      </c>
      <c r="L6208" s="12" t="inlineStr">
        <is>
          <t>1 pr</t>
        </is>
      </c>
      <c r="M6208" s="12" t="inlineStr">
        <is>
          <t>16</t>
        </is>
      </c>
      <c r="N6208" s="12" t="n">
        <v>10</v>
      </c>
      <c r="O6208" s="12" t="n">
        <v>1</v>
      </c>
      <c r="P6208" s="12" t="n"/>
      <c r="Q6208" s="12" t="n"/>
      <c r="R6208" s="12" t="n"/>
      <c r="S6208" s="12" t="inlineStr">
        <is>
          <t>Tray / conduit</t>
        </is>
      </c>
      <c r="T6208" s="15" t="n">
        <v>250</v>
      </c>
      <c r="U6208" s="15" t="n">
        <v>10</v>
      </c>
      <c r="V6208" s="15">
        <f>ROUNDUP((T6208+U6208+2*'Read Me'!$B$13)*(1+'Read Me'!$B$12),-1)</f>
        <v/>
      </c>
      <c r="W6208" s="15">
        <f>V6208*N6208*O6208</f>
        <v/>
      </c>
      <c r="X6208" s="12">
        <f>IF(LEFT(I6208,2)="MV",2*N6208*IF(L6208="1/C",O6208,1),0)</f>
        <v/>
      </c>
      <c r="Y6208" s="12">
        <f>IF(OR(LEFT(K6208,4)="LVAX",LEFT(K6208,6)="MV15AX",LEFT(K6208,4)="CTAX",LEFT(K6208,2)="W|"),2*N6208*O6208,0)</f>
        <v/>
      </c>
      <c r="Z6208" s="12" t="inlineStr">
        <is>
          <t>device-to-JB field wiring, one cable per device</t>
        </is>
      </c>
      <c r="AA6208" s="12">
        <f>N6208*O6208</f>
        <v/>
      </c>
    </row>
    <row r="6209">
      <c r="A6209" s="12" t="inlineStr">
        <is>
          <t>C-I-0116</t>
        </is>
      </c>
      <c r="B6209" s="12" t="inlineStr">
        <is>
          <t>C</t>
        </is>
      </c>
      <c r="C6209" s="12" t="inlineStr">
        <is>
          <t>Grid interface</t>
        </is>
      </c>
      <c r="D6209" s="12" t="inlineStr">
        <is>
          <t>Home run JB-Small-bore piping:-AI01 to the control / marshalling room</t>
        </is>
      </c>
      <c r="E6209" s="12" t="inlineStr">
        <is>
          <t>R1</t>
        </is>
      </c>
      <c r="F6209" s="12" t="inlineStr">
        <is>
          <t>R1: main electrical building (64 x 180 ft)</t>
        </is>
      </c>
      <c r="G6209" s="12" t="inlineStr">
        <is>
          <t>JB-Small-bore piping:-AI01</t>
        </is>
      </c>
      <c r="H6209" s="12" t="inlineStr">
        <is>
          <t>Small-bore piping: instrument air, service water, nitrogen, HRSG drain</t>
        </is>
      </c>
      <c r="I6209" s="12" t="inlineStr">
        <is>
          <t>Instrumentation</t>
        </is>
      </c>
      <c r="J6209" s="12" t="inlineStr">
        <is>
          <t>Instrumentation PLTC / TC-ER 300 V, #18 twisted shielded pairs, overall shield</t>
        </is>
      </c>
      <c r="K6209" s="12" t="inlineStr">
        <is>
          <t>PLTC|24 pr|18</t>
        </is>
      </c>
      <c r="L6209" s="12" t="inlineStr">
        <is>
          <t>24 pr</t>
        </is>
      </c>
      <c r="M6209" s="12" t="inlineStr">
        <is>
          <t>18</t>
        </is>
      </c>
      <c r="N6209" s="12" t="n">
        <v>1</v>
      </c>
      <c r="O6209" s="12" t="n">
        <v>1</v>
      </c>
      <c r="P6209" s="12" t="n"/>
      <c r="Q6209" s="12" t="n"/>
      <c r="R6209" s="12" t="n"/>
      <c r="S6209" s="12" t="inlineStr">
        <is>
          <t>Tray</t>
        </is>
      </c>
      <c r="T6209" s="15" t="n">
        <v>1218</v>
      </c>
      <c r="U6209" s="15" t="n">
        <v>200</v>
      </c>
      <c r="V6209" s="15">
        <f>ROUNDUP((T6209+U6209+2*'Read Me'!$B$13)*(1+'Read Me'!$B$12),-1)</f>
        <v/>
      </c>
      <c r="W6209" s="15">
        <f>V6209*N6209*O6209</f>
        <v/>
      </c>
      <c r="X6209" s="12">
        <f>IF(LEFT(I6209,2)="MV",2*N6209*IF(L6209="1/C",O6209,1),0)</f>
        <v/>
      </c>
      <c r="Y6209" s="12">
        <f>IF(OR(LEFT(K6209,4)="LVAX",LEFT(K6209,6)="MV15AX",LEFT(K6209,4)="CTAX",LEFT(K6209,2)="W|"),2*N6209*O6209,0)</f>
        <v/>
      </c>
      <c r="Z6209" s="12" t="inlineStr"/>
      <c r="AA6209" s="12">
        <f>N6209*O6209</f>
        <v/>
      </c>
    </row>
    <row r="6210">
      <c r="A6210" s="12" t="inlineStr">
        <is>
          <t>C-I-0117</t>
        </is>
      </c>
      <c r="B6210" s="12" t="inlineStr">
        <is>
          <t>C</t>
        </is>
      </c>
      <c r="C6210" s="12" t="inlineStr">
        <is>
          <t>Grid interface</t>
        </is>
      </c>
      <c r="D6210" s="12" t="inlineStr">
        <is>
          <t>Discrete device to JB JB-Small-bore piping:-DI01: 10 x 1 pr (field cables)</t>
        </is>
      </c>
      <c r="E6210" s="12" t="inlineStr"/>
      <c r="F6210" s="12" t="inlineStr">
        <is>
          <t>Small-bore piping: instrument air, service water, nitrogen, HRSG drain</t>
        </is>
      </c>
      <c r="G6210" s="12" t="inlineStr">
        <is>
          <t>JB-Small-bore piping:-DI01</t>
        </is>
      </c>
      <c r="H6210" s="12" t="inlineStr">
        <is>
          <t>Small-bore piping: instrument air, service water, nitrogen, HRSG drain</t>
        </is>
      </c>
      <c r="I6210" s="12" t="inlineStr">
        <is>
          <t>Instrumentation</t>
        </is>
      </c>
      <c r="J6210" s="12" t="inlineStr">
        <is>
          <t>Instrumentation PLTC / TC-ER 300 V, #18 twisted shielded pairs, overall shield</t>
        </is>
      </c>
      <c r="K6210" s="12" t="inlineStr">
        <is>
          <t>PLTC|1 pr|16</t>
        </is>
      </c>
      <c r="L6210" s="12" t="inlineStr">
        <is>
          <t>1 pr</t>
        </is>
      </c>
      <c r="M6210" s="12" t="inlineStr">
        <is>
          <t>16</t>
        </is>
      </c>
      <c r="N6210" s="12" t="n">
        <v>10</v>
      </c>
      <c r="O6210" s="12" t="n">
        <v>1</v>
      </c>
      <c r="P6210" s="12" t="n"/>
      <c r="Q6210" s="12" t="n"/>
      <c r="R6210" s="12" t="n"/>
      <c r="S6210" s="12" t="inlineStr">
        <is>
          <t>Tray / conduit</t>
        </is>
      </c>
      <c r="T6210" s="15" t="n">
        <v>250</v>
      </c>
      <c r="U6210" s="15" t="n">
        <v>10</v>
      </c>
      <c r="V6210" s="15">
        <f>ROUNDUP((T6210+U6210+2*'Read Me'!$B$13)*(1+'Read Me'!$B$12),-1)</f>
        <v/>
      </c>
      <c r="W6210" s="15">
        <f>V6210*N6210*O6210</f>
        <v/>
      </c>
      <c r="X6210" s="12">
        <f>IF(LEFT(I6210,2)="MV",2*N6210*IF(L6210="1/C",O6210,1),0)</f>
        <v/>
      </c>
      <c r="Y6210" s="12">
        <f>IF(OR(LEFT(K6210,4)="LVAX",LEFT(K6210,6)="MV15AX",LEFT(K6210,4)="CTAX",LEFT(K6210,2)="W|"),2*N6210*O6210,0)</f>
        <v/>
      </c>
      <c r="Z6210" s="12" t="inlineStr">
        <is>
          <t>device-to-JB field wiring, one cable per device</t>
        </is>
      </c>
      <c r="AA6210" s="12">
        <f>N6210*O6210</f>
        <v/>
      </c>
    </row>
    <row r="6211">
      <c r="A6211" s="12" t="inlineStr">
        <is>
          <t>C-I-0118</t>
        </is>
      </c>
      <c r="B6211" s="12" t="inlineStr">
        <is>
          <t>C</t>
        </is>
      </c>
      <c r="C6211" s="12" t="inlineStr">
        <is>
          <t>Grid interface</t>
        </is>
      </c>
      <c r="D6211" s="12" t="inlineStr">
        <is>
          <t>Home run JB-Small-bore piping:-DI01 to the control / marshalling room</t>
        </is>
      </c>
      <c r="E6211" s="12" t="inlineStr">
        <is>
          <t>R1</t>
        </is>
      </c>
      <c r="F6211" s="12" t="inlineStr">
        <is>
          <t>R1: main electrical building (64 x 180 ft)</t>
        </is>
      </c>
      <c r="G6211" s="12" t="inlineStr">
        <is>
          <t>JB-Small-bore piping:-DI01</t>
        </is>
      </c>
      <c r="H6211" s="12" t="inlineStr">
        <is>
          <t>Small-bore piping: instrument air, service water, nitrogen, HRSG drain</t>
        </is>
      </c>
      <c r="I6211" s="12" t="inlineStr">
        <is>
          <t>Instrumentation</t>
        </is>
      </c>
      <c r="J6211" s="12" t="inlineStr">
        <is>
          <t>Instrumentation PLTC / TC-ER 300 V, #18 twisted shielded pairs, overall shield</t>
        </is>
      </c>
      <c r="K6211" s="12" t="inlineStr">
        <is>
          <t>PLTC|24 pr|18</t>
        </is>
      </c>
      <c r="L6211" s="12" t="inlineStr">
        <is>
          <t>24 pr</t>
        </is>
      </c>
      <c r="M6211" s="12" t="inlineStr">
        <is>
          <t>18</t>
        </is>
      </c>
      <c r="N6211" s="12" t="n">
        <v>1</v>
      </c>
      <c r="O6211" s="12" t="n">
        <v>1</v>
      </c>
      <c r="P6211" s="12" t="n"/>
      <c r="Q6211" s="12" t="n"/>
      <c r="R6211" s="12" t="n"/>
      <c r="S6211" s="12" t="inlineStr">
        <is>
          <t>Tray</t>
        </is>
      </c>
      <c r="T6211" s="15" t="n">
        <v>1218</v>
      </c>
      <c r="U6211" s="15" t="n">
        <v>200</v>
      </c>
      <c r="V6211" s="15">
        <f>ROUNDUP((T6211+U6211+2*'Read Me'!$B$13)*(1+'Read Me'!$B$12),-1)</f>
        <v/>
      </c>
      <c r="W6211" s="15">
        <f>V6211*N6211*O6211</f>
        <v/>
      </c>
      <c r="X6211" s="12">
        <f>IF(LEFT(I6211,2)="MV",2*N6211*IF(L6211="1/C",O6211,1),0)</f>
        <v/>
      </c>
      <c r="Y6211" s="12">
        <f>IF(OR(LEFT(K6211,4)="LVAX",LEFT(K6211,6)="MV15AX",LEFT(K6211,4)="CTAX",LEFT(K6211,2)="W|"),2*N6211*O6211,0)</f>
        <v/>
      </c>
      <c r="Z6211" s="12" t="inlineStr"/>
      <c r="AA6211" s="12">
        <f>N6211*O6211</f>
        <v/>
      </c>
    </row>
    <row r="6212">
      <c r="A6212" s="12" t="inlineStr">
        <is>
          <t>C-I-0119</t>
        </is>
      </c>
      <c r="B6212" s="12" t="inlineStr">
        <is>
          <t>C</t>
        </is>
      </c>
      <c r="C6212" s="12" t="inlineStr">
        <is>
          <t>Grid interface</t>
        </is>
      </c>
      <c r="D6212" s="12" t="inlineStr">
        <is>
          <t>Analog instrument to JB JB-Wastewater treatme-AI01: 20 x 1 pr (field cables)</t>
        </is>
      </c>
      <c r="E6212" s="12" t="inlineStr"/>
      <c r="F6212" s="12" t="inlineStr">
        <is>
          <t>Wastewater treatment: rooftop HVAC, exhaust fans, vents</t>
        </is>
      </c>
      <c r="G6212" s="12" t="inlineStr">
        <is>
          <t>JB-Wastewater treatme-AI01</t>
        </is>
      </c>
      <c r="H6212" s="12" t="inlineStr">
        <is>
          <t>Wastewater treatment: rooftop HVAC, exhaust fans, vents</t>
        </is>
      </c>
      <c r="I6212" s="12" t="inlineStr">
        <is>
          <t>Instrumentation</t>
        </is>
      </c>
      <c r="J6212" s="12" t="inlineStr">
        <is>
          <t>Instrumentation PLTC / TC-ER 300 V, #18 twisted shielded pairs, overall shield</t>
        </is>
      </c>
      <c r="K6212" s="12" t="inlineStr">
        <is>
          <t>PLTC|1 pr|16</t>
        </is>
      </c>
      <c r="L6212" s="12" t="inlineStr">
        <is>
          <t>1 pr</t>
        </is>
      </c>
      <c r="M6212" s="12" t="inlineStr">
        <is>
          <t>16</t>
        </is>
      </c>
      <c r="N6212" s="12" t="n">
        <v>20</v>
      </c>
      <c r="O6212" s="12" t="n">
        <v>1</v>
      </c>
      <c r="P6212" s="12" t="n"/>
      <c r="Q6212" s="12" t="n"/>
      <c r="R6212" s="12" t="n"/>
      <c r="S6212" s="12" t="inlineStr">
        <is>
          <t>Tray / conduit</t>
        </is>
      </c>
      <c r="T6212" s="15" t="n">
        <v>89</v>
      </c>
      <c r="U6212" s="15" t="n">
        <v>10</v>
      </c>
      <c r="V6212" s="15">
        <f>ROUNDUP((T6212+U6212+2*'Read Me'!$B$13)*(1+'Read Me'!$B$12),-1)</f>
        <v/>
      </c>
      <c r="W6212" s="15">
        <f>V6212*N6212*O6212</f>
        <v/>
      </c>
      <c r="X6212" s="12">
        <f>IF(LEFT(I6212,2)="MV",2*N6212*IF(L6212="1/C",O6212,1),0)</f>
        <v/>
      </c>
      <c r="Y6212" s="12">
        <f>IF(OR(LEFT(K6212,4)="LVAX",LEFT(K6212,6)="MV15AX",LEFT(K6212,4)="CTAX",LEFT(K6212,2)="W|"),2*N6212*O6212,0)</f>
        <v/>
      </c>
      <c r="Z6212" s="12" t="inlineStr">
        <is>
          <t>device-to-JB field wiring, one cable per device</t>
        </is>
      </c>
      <c r="AA6212" s="12">
        <f>N6212*O6212</f>
        <v/>
      </c>
    </row>
    <row r="6213">
      <c r="A6213" s="12" t="inlineStr">
        <is>
          <t>C-I-0120</t>
        </is>
      </c>
      <c r="B6213" s="12" t="inlineStr">
        <is>
          <t>C</t>
        </is>
      </c>
      <c r="C6213" s="12" t="inlineStr">
        <is>
          <t>Grid interface</t>
        </is>
      </c>
      <c r="D6213" s="12" t="inlineStr">
        <is>
          <t>Home run JB-Wastewater treatme-AI01 to the control / marshalling room</t>
        </is>
      </c>
      <c r="E6213" s="12" t="inlineStr">
        <is>
          <t>R1</t>
        </is>
      </c>
      <c r="F6213" s="12" t="inlineStr">
        <is>
          <t>R1: main electrical building (64 x 180 ft)</t>
        </is>
      </c>
      <c r="G6213" s="12" t="inlineStr">
        <is>
          <t>JB-Wastewater treatme-AI01</t>
        </is>
      </c>
      <c r="H6213" s="12" t="inlineStr">
        <is>
          <t>Wastewater treatment: rooftop HVAC, exhaust fans, vents</t>
        </is>
      </c>
      <c r="I6213" s="12" t="inlineStr">
        <is>
          <t>Instrumentation</t>
        </is>
      </c>
      <c r="J6213" s="12" t="inlineStr">
        <is>
          <t>Instrumentation PLTC / TC-ER 300 V, #18 twisted shielded pairs, overall shield</t>
        </is>
      </c>
      <c r="K6213" s="12" t="inlineStr">
        <is>
          <t>PLTC|24 pr|18</t>
        </is>
      </c>
      <c r="L6213" s="12" t="inlineStr">
        <is>
          <t>24 pr</t>
        </is>
      </c>
      <c r="M6213" s="12" t="inlineStr">
        <is>
          <t>18</t>
        </is>
      </c>
      <c r="N6213" s="12" t="n">
        <v>1</v>
      </c>
      <c r="O6213" s="12" t="n">
        <v>1</v>
      </c>
      <c r="P6213" s="12" t="n"/>
      <c r="Q6213" s="12" t="n"/>
      <c r="R6213" s="12" t="n"/>
      <c r="S6213" s="12" t="inlineStr">
        <is>
          <t>Duct bank</t>
        </is>
      </c>
      <c r="T6213" s="15" t="n">
        <v>1215</v>
      </c>
      <c r="U6213" s="15" t="n">
        <v>99</v>
      </c>
      <c r="V6213" s="15">
        <f>ROUNDUP((T6213+U6213+2*'Read Me'!$B$13)*(1+'Read Me'!$B$12),-1)</f>
        <v/>
      </c>
      <c r="W6213" s="15">
        <f>V6213*N6213*O6213</f>
        <v/>
      </c>
      <c r="X6213" s="12">
        <f>IF(LEFT(I6213,2)="MV",2*N6213*IF(L6213="1/C",O6213,1),0)</f>
        <v/>
      </c>
      <c r="Y6213" s="12">
        <f>IF(OR(LEFT(K6213,4)="LVAX",LEFT(K6213,6)="MV15AX",LEFT(K6213,4)="CTAX",LEFT(K6213,2)="W|"),2*N6213*O6213,0)</f>
        <v/>
      </c>
      <c r="Z6213" s="12" t="inlineStr"/>
      <c r="AA6213" s="12">
        <f>N6213*O6213</f>
        <v/>
      </c>
    </row>
    <row r="6214">
      <c r="A6214" s="12" t="inlineStr">
        <is>
          <t>C-I-0121</t>
        </is>
      </c>
      <c r="B6214" s="12" t="inlineStr">
        <is>
          <t>C</t>
        </is>
      </c>
      <c r="C6214" s="12" t="inlineStr">
        <is>
          <t>Grid interface</t>
        </is>
      </c>
      <c r="D6214" s="12" t="inlineStr">
        <is>
          <t>Discrete device to JB JB-Wastewater treatme-DI01: 20 x 1 pr (field cables)</t>
        </is>
      </c>
      <c r="E6214" s="12" t="inlineStr"/>
      <c r="F6214" s="12" t="inlineStr">
        <is>
          <t>Wastewater treatment: rooftop HVAC, exhaust fans, vents</t>
        </is>
      </c>
      <c r="G6214" s="12" t="inlineStr">
        <is>
          <t>JB-Wastewater treatme-DI01</t>
        </is>
      </c>
      <c r="H6214" s="12" t="inlineStr">
        <is>
          <t>Wastewater treatment: rooftop HVAC, exhaust fans, vents</t>
        </is>
      </c>
      <c r="I6214" s="12" t="inlineStr">
        <is>
          <t>Instrumentation</t>
        </is>
      </c>
      <c r="J6214" s="12" t="inlineStr">
        <is>
          <t>Instrumentation PLTC / TC-ER 300 V, #18 twisted shielded pairs, overall shield</t>
        </is>
      </c>
      <c r="K6214" s="12" t="inlineStr">
        <is>
          <t>PLTC|1 pr|16</t>
        </is>
      </c>
      <c r="L6214" s="12" t="inlineStr">
        <is>
          <t>1 pr</t>
        </is>
      </c>
      <c r="M6214" s="12" t="inlineStr">
        <is>
          <t>16</t>
        </is>
      </c>
      <c r="N6214" s="12" t="n">
        <v>20</v>
      </c>
      <c r="O6214" s="12" t="n">
        <v>1</v>
      </c>
      <c r="P6214" s="12" t="n"/>
      <c r="Q6214" s="12" t="n"/>
      <c r="R6214" s="12" t="n"/>
      <c r="S6214" s="12" t="inlineStr">
        <is>
          <t>Tray / conduit</t>
        </is>
      </c>
      <c r="T6214" s="15" t="n">
        <v>89</v>
      </c>
      <c r="U6214" s="15" t="n">
        <v>10</v>
      </c>
      <c r="V6214" s="15">
        <f>ROUNDUP((T6214+U6214+2*'Read Me'!$B$13)*(1+'Read Me'!$B$12),-1)</f>
        <v/>
      </c>
      <c r="W6214" s="15">
        <f>V6214*N6214*O6214</f>
        <v/>
      </c>
      <c r="X6214" s="12">
        <f>IF(LEFT(I6214,2)="MV",2*N6214*IF(L6214="1/C",O6214,1),0)</f>
        <v/>
      </c>
      <c r="Y6214" s="12">
        <f>IF(OR(LEFT(K6214,4)="LVAX",LEFT(K6214,6)="MV15AX",LEFT(K6214,4)="CTAX",LEFT(K6214,2)="W|"),2*N6214*O6214,0)</f>
        <v/>
      </c>
      <c r="Z6214" s="12" t="inlineStr">
        <is>
          <t>device-to-JB field wiring, one cable per device</t>
        </is>
      </c>
      <c r="AA6214" s="12">
        <f>N6214*O6214</f>
        <v/>
      </c>
    </row>
    <row r="6215">
      <c r="A6215" s="12" t="inlineStr">
        <is>
          <t>C-I-0122</t>
        </is>
      </c>
      <c r="B6215" s="12" t="inlineStr">
        <is>
          <t>C</t>
        </is>
      </c>
      <c r="C6215" s="12" t="inlineStr">
        <is>
          <t>Grid interface</t>
        </is>
      </c>
      <c r="D6215" s="12" t="inlineStr">
        <is>
          <t>Home run JB-Wastewater treatme-DI01 to the control / marshalling room</t>
        </is>
      </c>
      <c r="E6215" s="12" t="inlineStr">
        <is>
          <t>R1</t>
        </is>
      </c>
      <c r="F6215" s="12" t="inlineStr">
        <is>
          <t>R1: main electrical building (64 x 180 ft)</t>
        </is>
      </c>
      <c r="G6215" s="12" t="inlineStr">
        <is>
          <t>JB-Wastewater treatme-DI01</t>
        </is>
      </c>
      <c r="H6215" s="12" t="inlineStr">
        <is>
          <t>Wastewater treatment: rooftop HVAC, exhaust fans, vents</t>
        </is>
      </c>
      <c r="I6215" s="12" t="inlineStr">
        <is>
          <t>Instrumentation</t>
        </is>
      </c>
      <c r="J6215" s="12" t="inlineStr">
        <is>
          <t>Instrumentation PLTC / TC-ER 300 V, #18 twisted shielded pairs, overall shield</t>
        </is>
      </c>
      <c r="K6215" s="12" t="inlineStr">
        <is>
          <t>PLTC|24 pr|18</t>
        </is>
      </c>
      <c r="L6215" s="12" t="inlineStr">
        <is>
          <t>24 pr</t>
        </is>
      </c>
      <c r="M6215" s="12" t="inlineStr">
        <is>
          <t>18</t>
        </is>
      </c>
      <c r="N6215" s="12" t="n">
        <v>1</v>
      </c>
      <c r="O6215" s="12" t="n">
        <v>1</v>
      </c>
      <c r="P6215" s="12" t="n"/>
      <c r="Q6215" s="12" t="n"/>
      <c r="R6215" s="12" t="n"/>
      <c r="S6215" s="12" t="inlineStr">
        <is>
          <t>Duct bank</t>
        </is>
      </c>
      <c r="T6215" s="15" t="n">
        <v>1215</v>
      </c>
      <c r="U6215" s="15" t="n">
        <v>99</v>
      </c>
      <c r="V6215" s="15">
        <f>ROUNDUP((T6215+U6215+2*'Read Me'!$B$13)*(1+'Read Me'!$B$12),-1)</f>
        <v/>
      </c>
      <c r="W6215" s="15">
        <f>V6215*N6215*O6215</f>
        <v/>
      </c>
      <c r="X6215" s="12">
        <f>IF(LEFT(I6215,2)="MV",2*N6215*IF(L6215="1/C",O6215,1),0)</f>
        <v/>
      </c>
      <c r="Y6215" s="12">
        <f>IF(OR(LEFT(K6215,4)="LVAX",LEFT(K6215,6)="MV15AX",LEFT(K6215,4)="CTAX",LEFT(K6215,2)="W|"),2*N6215*O6215,0)</f>
        <v/>
      </c>
      <c r="Z6215" s="12" t="inlineStr"/>
      <c r="AA6215" s="12">
        <f>N6215*O6215</f>
        <v/>
      </c>
    </row>
    <row r="6216">
      <c r="A6216" s="12" t="inlineStr">
        <is>
          <t>C-I-0123</t>
        </is>
      </c>
      <c r="B6216" s="12" t="inlineStr">
        <is>
          <t>C</t>
        </is>
      </c>
      <c r="C6216" s="12" t="inlineStr">
        <is>
          <t>Grid interface</t>
        </is>
      </c>
      <c r="D6216" s="12" t="inlineStr">
        <is>
          <t>Discrete device to JB JB-Wastewater treatme-DI02: 10 x 1 pr (field cables)</t>
        </is>
      </c>
      <c r="E6216" s="12" t="inlineStr"/>
      <c r="F6216" s="12" t="inlineStr">
        <is>
          <t>Wastewater treatment: rooftop HVAC, exhaust fans, vents</t>
        </is>
      </c>
      <c r="G6216" s="12" t="inlineStr">
        <is>
          <t>JB-Wastewater treatme-DI02</t>
        </is>
      </c>
      <c r="H6216" s="12" t="inlineStr">
        <is>
          <t>Wastewater treatment: rooftop HVAC, exhaust fans, vents</t>
        </is>
      </c>
      <c r="I6216" s="12" t="inlineStr">
        <is>
          <t>Instrumentation</t>
        </is>
      </c>
      <c r="J6216" s="12" t="inlineStr">
        <is>
          <t>Instrumentation PLTC / TC-ER 300 V, #18 twisted shielded pairs, overall shield</t>
        </is>
      </c>
      <c r="K6216" s="12" t="inlineStr">
        <is>
          <t>PLTC|1 pr|16</t>
        </is>
      </c>
      <c r="L6216" s="12" t="inlineStr">
        <is>
          <t>1 pr</t>
        </is>
      </c>
      <c r="M6216" s="12" t="inlineStr">
        <is>
          <t>16</t>
        </is>
      </c>
      <c r="N6216" s="12" t="n">
        <v>10</v>
      </c>
      <c r="O6216" s="12" t="n">
        <v>1</v>
      </c>
      <c r="P6216" s="12" t="n"/>
      <c r="Q6216" s="12" t="n"/>
      <c r="R6216" s="12" t="n"/>
      <c r="S6216" s="12" t="inlineStr">
        <is>
          <t>Tray / conduit</t>
        </is>
      </c>
      <c r="T6216" s="15" t="n">
        <v>89</v>
      </c>
      <c r="U6216" s="15" t="n">
        <v>10</v>
      </c>
      <c r="V6216" s="15">
        <f>ROUNDUP((T6216+U6216+2*'Read Me'!$B$13)*(1+'Read Me'!$B$12),-1)</f>
        <v/>
      </c>
      <c r="W6216" s="15">
        <f>V6216*N6216*O6216</f>
        <v/>
      </c>
      <c r="X6216" s="12">
        <f>IF(LEFT(I6216,2)="MV",2*N6216*IF(L6216="1/C",O6216,1),0)</f>
        <v/>
      </c>
      <c r="Y6216" s="12">
        <f>IF(OR(LEFT(K6216,4)="LVAX",LEFT(K6216,6)="MV15AX",LEFT(K6216,4)="CTAX",LEFT(K6216,2)="W|"),2*N6216*O6216,0)</f>
        <v/>
      </c>
      <c r="Z6216" s="12" t="inlineStr">
        <is>
          <t>device-to-JB field wiring, one cable per device</t>
        </is>
      </c>
      <c r="AA6216" s="12">
        <f>N6216*O6216</f>
        <v/>
      </c>
    </row>
    <row r="6217">
      <c r="A6217" s="12" t="inlineStr">
        <is>
          <t>C-I-0124</t>
        </is>
      </c>
      <c r="B6217" s="12" t="inlineStr">
        <is>
          <t>C</t>
        </is>
      </c>
      <c r="C6217" s="12" t="inlineStr">
        <is>
          <t>Grid interface</t>
        </is>
      </c>
      <c r="D6217" s="12" t="inlineStr">
        <is>
          <t>Home run JB-Wastewater treatme-DI02 to the control / marshalling room</t>
        </is>
      </c>
      <c r="E6217" s="12" t="inlineStr">
        <is>
          <t>R1</t>
        </is>
      </c>
      <c r="F6217" s="12" t="inlineStr">
        <is>
          <t>R1: main electrical building (64 x 180 ft)</t>
        </is>
      </c>
      <c r="G6217" s="12" t="inlineStr">
        <is>
          <t>JB-Wastewater treatme-DI02</t>
        </is>
      </c>
      <c r="H6217" s="12" t="inlineStr">
        <is>
          <t>Wastewater treatment: rooftop HVAC, exhaust fans, vents</t>
        </is>
      </c>
      <c r="I6217" s="12" t="inlineStr">
        <is>
          <t>Instrumentation</t>
        </is>
      </c>
      <c r="J6217" s="12" t="inlineStr">
        <is>
          <t>Instrumentation PLTC / TC-ER 300 V, #18 twisted shielded pairs, overall shield</t>
        </is>
      </c>
      <c r="K6217" s="12" t="inlineStr">
        <is>
          <t>PLTC|24 pr|18</t>
        </is>
      </c>
      <c r="L6217" s="12" t="inlineStr">
        <is>
          <t>24 pr</t>
        </is>
      </c>
      <c r="M6217" s="12" t="inlineStr">
        <is>
          <t>18</t>
        </is>
      </c>
      <c r="N6217" s="12" t="n">
        <v>1</v>
      </c>
      <c r="O6217" s="12" t="n">
        <v>1</v>
      </c>
      <c r="P6217" s="12" t="n"/>
      <c r="Q6217" s="12" t="n"/>
      <c r="R6217" s="12" t="n"/>
      <c r="S6217" s="12" t="inlineStr">
        <is>
          <t>Duct bank</t>
        </is>
      </c>
      <c r="T6217" s="15" t="n">
        <v>1215</v>
      </c>
      <c r="U6217" s="15" t="n">
        <v>99</v>
      </c>
      <c r="V6217" s="15">
        <f>ROUNDUP((T6217+U6217+2*'Read Me'!$B$13)*(1+'Read Me'!$B$12),-1)</f>
        <v/>
      </c>
      <c r="W6217" s="15">
        <f>V6217*N6217*O6217</f>
        <v/>
      </c>
      <c r="X6217" s="12">
        <f>IF(LEFT(I6217,2)="MV",2*N6217*IF(L6217="1/C",O6217,1),0)</f>
        <v/>
      </c>
      <c r="Y6217" s="12">
        <f>IF(OR(LEFT(K6217,4)="LVAX",LEFT(K6217,6)="MV15AX",LEFT(K6217,4)="CTAX",LEFT(K6217,2)="W|"),2*N6217*O6217,0)</f>
        <v/>
      </c>
      <c r="Z6217" s="12" t="inlineStr"/>
      <c r="AA6217" s="12">
        <f>N6217*O6217</f>
        <v/>
      </c>
    </row>
    <row r="6218">
      <c r="A6218" s="12" t="inlineStr">
        <is>
          <t>C-I-0125</t>
        </is>
      </c>
      <c r="B6218" s="12" t="inlineStr">
        <is>
          <t>C</t>
        </is>
      </c>
      <c r="C6218" s="12" t="inlineStr">
        <is>
          <t>Grid interface</t>
        </is>
      </c>
      <c r="D6218" s="12" t="inlineStr">
        <is>
          <t>Analog instrument to JB JB-Water treatment bu-AI01: 20 x 1 pr (field cables)</t>
        </is>
      </c>
      <c r="E6218" s="12" t="inlineStr"/>
      <c r="F6218" s="12" t="inlineStr">
        <is>
          <t>Water treatment building: rooftop HVAC, exhaust fans, vents</t>
        </is>
      </c>
      <c r="G6218" s="12" t="inlineStr">
        <is>
          <t>JB-Water treatment bu-AI01</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PLTC|1 pr|16</t>
        </is>
      </c>
      <c r="L6218" s="12" t="inlineStr">
        <is>
          <t>1 pr</t>
        </is>
      </c>
      <c r="M6218" s="12" t="inlineStr">
        <is>
          <t>16</t>
        </is>
      </c>
      <c r="N6218" s="12" t="n">
        <v>20</v>
      </c>
      <c r="O6218" s="12" t="n">
        <v>1</v>
      </c>
      <c r="P6218" s="12" t="n"/>
      <c r="Q6218" s="12" t="n"/>
      <c r="R6218" s="12" t="n"/>
      <c r="S6218" s="12" t="inlineStr">
        <is>
          <t>Tray / conduit</t>
        </is>
      </c>
      <c r="T6218" s="15" t="n">
        <v>162</v>
      </c>
      <c r="U6218" s="15" t="n">
        <v>10</v>
      </c>
      <c r="V6218" s="15">
        <f>ROUNDUP((T6218+U6218+2*'Read Me'!$B$13)*(1+'Read Me'!$B$12),-1)</f>
        <v/>
      </c>
      <c r="W6218" s="15">
        <f>V6218*N6218*O6218</f>
        <v/>
      </c>
      <c r="X6218" s="12">
        <f>IF(LEFT(I6218,2)="MV",2*N6218*IF(L6218="1/C",O6218,1),0)</f>
        <v/>
      </c>
      <c r="Y6218" s="12">
        <f>IF(OR(LEFT(K6218,4)="LVAX",LEFT(K6218,6)="MV15AX",LEFT(K6218,4)="CTAX",LEFT(K6218,2)="W|"),2*N6218*O6218,0)</f>
        <v/>
      </c>
      <c r="Z6218" s="12" t="inlineStr">
        <is>
          <t>device-to-JB field wiring, one cable per device</t>
        </is>
      </c>
      <c r="AA6218" s="12">
        <f>N6218*O6218</f>
        <v/>
      </c>
    </row>
    <row r="6219">
      <c r="A6219" s="12" t="inlineStr">
        <is>
          <t>C-I-0126</t>
        </is>
      </c>
      <c r="B6219" s="12" t="inlineStr">
        <is>
          <t>C</t>
        </is>
      </c>
      <c r="C6219" s="12" t="inlineStr">
        <is>
          <t>Grid interface</t>
        </is>
      </c>
      <c r="D6219" s="12" t="inlineStr">
        <is>
          <t>Home run JB-Water treatment bu-AI01 to the control / marshalling room</t>
        </is>
      </c>
      <c r="E6219" s="12" t="inlineStr">
        <is>
          <t>R1</t>
        </is>
      </c>
      <c r="F6219" s="12" t="inlineStr">
        <is>
          <t>R1: main electrical building (64 x 180 ft)</t>
        </is>
      </c>
      <c r="G6219" s="12" t="inlineStr">
        <is>
          <t>JB-Water treatment bu-AI01</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PLTC|24 pr|18</t>
        </is>
      </c>
      <c r="L6219" s="12" t="inlineStr">
        <is>
          <t>24 pr</t>
        </is>
      </c>
      <c r="M6219" s="12" t="inlineStr">
        <is>
          <t>18</t>
        </is>
      </c>
      <c r="N6219" s="12" t="n">
        <v>1</v>
      </c>
      <c r="O6219" s="12" t="n">
        <v>1</v>
      </c>
      <c r="P6219" s="12" t="n"/>
      <c r="Q6219" s="12" t="n"/>
      <c r="R6219" s="12" t="n"/>
      <c r="S6219" s="12" t="inlineStr">
        <is>
          <t>Duct bank</t>
        </is>
      </c>
      <c r="T6219" s="15" t="n">
        <v>985</v>
      </c>
      <c r="U6219" s="15" t="n">
        <v>32</v>
      </c>
      <c r="V6219" s="15">
        <f>ROUNDUP((T6219+U6219+2*'Read Me'!$B$13)*(1+'Read Me'!$B$12),-1)</f>
        <v/>
      </c>
      <c r="W6219" s="15">
        <f>V6219*N6219*O6219</f>
        <v/>
      </c>
      <c r="X6219" s="12">
        <f>IF(LEFT(I6219,2)="MV",2*N6219*IF(L6219="1/C",O6219,1),0)</f>
        <v/>
      </c>
      <c r="Y6219" s="12">
        <f>IF(OR(LEFT(K6219,4)="LVAX",LEFT(K6219,6)="MV15AX",LEFT(K6219,4)="CTAX",LEFT(K6219,2)="W|"),2*N6219*O6219,0)</f>
        <v/>
      </c>
      <c r="Z6219" s="12" t="inlineStr"/>
      <c r="AA6219" s="12">
        <f>N6219*O6219</f>
        <v/>
      </c>
    </row>
    <row r="6220">
      <c r="A6220" s="12" t="inlineStr">
        <is>
          <t>C-I-0127</t>
        </is>
      </c>
      <c r="B6220" s="12" t="inlineStr">
        <is>
          <t>C</t>
        </is>
      </c>
      <c r="C6220" s="12" t="inlineStr">
        <is>
          <t>Grid interface</t>
        </is>
      </c>
      <c r="D6220" s="12" t="inlineStr">
        <is>
          <t>Analog instrument to JB JB-Water treatment bu-AI02: 20 x 1 pr (field cables)</t>
        </is>
      </c>
      <c r="E6220" s="12" t="inlineStr"/>
      <c r="F6220" s="12" t="inlineStr">
        <is>
          <t>Water treatment building: rooftop HVAC, exhaust fans, vents</t>
        </is>
      </c>
      <c r="G6220" s="12" t="inlineStr">
        <is>
          <t>JB-Water treatment bu-AI02</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PLTC|1 pr|16</t>
        </is>
      </c>
      <c r="L6220" s="12" t="inlineStr">
        <is>
          <t>1 pr</t>
        </is>
      </c>
      <c r="M6220" s="12" t="inlineStr">
        <is>
          <t>16</t>
        </is>
      </c>
      <c r="N6220" s="12" t="n">
        <v>20</v>
      </c>
      <c r="O6220" s="12" t="n">
        <v>1</v>
      </c>
      <c r="P6220" s="12" t="n"/>
      <c r="Q6220" s="12" t="n"/>
      <c r="R6220" s="12" t="n"/>
      <c r="S6220" s="12" t="inlineStr">
        <is>
          <t>Tray / conduit</t>
        </is>
      </c>
      <c r="T6220" s="15" t="n">
        <v>162</v>
      </c>
      <c r="U6220" s="15" t="n">
        <v>10</v>
      </c>
      <c r="V6220" s="15">
        <f>ROUNDUP((T6220+U6220+2*'Read Me'!$B$13)*(1+'Read Me'!$B$12),-1)</f>
        <v/>
      </c>
      <c r="W6220" s="15">
        <f>V6220*N6220*O6220</f>
        <v/>
      </c>
      <c r="X6220" s="12">
        <f>IF(LEFT(I6220,2)="MV",2*N6220*IF(L6220="1/C",O6220,1),0)</f>
        <v/>
      </c>
      <c r="Y6220" s="12">
        <f>IF(OR(LEFT(K6220,4)="LVAX",LEFT(K6220,6)="MV15AX",LEFT(K6220,4)="CTAX",LEFT(K6220,2)="W|"),2*N6220*O6220,0)</f>
        <v/>
      </c>
      <c r="Z6220" s="12" t="inlineStr">
        <is>
          <t>device-to-JB field wiring, one cable per device</t>
        </is>
      </c>
      <c r="AA6220" s="12">
        <f>N6220*O6220</f>
        <v/>
      </c>
    </row>
    <row r="6221">
      <c r="A6221" s="12" t="inlineStr">
        <is>
          <t>C-I-0128</t>
        </is>
      </c>
      <c r="B6221" s="12" t="inlineStr">
        <is>
          <t>C</t>
        </is>
      </c>
      <c r="C6221" s="12" t="inlineStr">
        <is>
          <t>Grid interface</t>
        </is>
      </c>
      <c r="D6221" s="12" t="inlineStr">
        <is>
          <t>Home run JB-Water treatment bu-AI02 to the control / marshalling room</t>
        </is>
      </c>
      <c r="E6221" s="12" t="inlineStr">
        <is>
          <t>R1</t>
        </is>
      </c>
      <c r="F6221" s="12" t="inlineStr">
        <is>
          <t>R1: main electrical building (64 x 180 ft)</t>
        </is>
      </c>
      <c r="G6221" s="12" t="inlineStr">
        <is>
          <t>JB-Water treatment bu-AI02</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PLTC|24 pr|18</t>
        </is>
      </c>
      <c r="L6221" s="12" t="inlineStr">
        <is>
          <t>24 pr</t>
        </is>
      </c>
      <c r="M6221" s="12" t="inlineStr">
        <is>
          <t>18</t>
        </is>
      </c>
      <c r="N6221" s="12" t="n">
        <v>1</v>
      </c>
      <c r="O6221" s="12" t="n">
        <v>1</v>
      </c>
      <c r="P6221" s="12" t="n"/>
      <c r="Q6221" s="12" t="n"/>
      <c r="R6221" s="12" t="n"/>
      <c r="S6221" s="12" t="inlineStr">
        <is>
          <t>Duct bank</t>
        </is>
      </c>
      <c r="T6221" s="15" t="n">
        <v>985</v>
      </c>
      <c r="U6221" s="15" t="n">
        <v>32</v>
      </c>
      <c r="V6221" s="15">
        <f>ROUNDUP((T6221+U6221+2*'Read Me'!$B$13)*(1+'Read Me'!$B$12),-1)</f>
        <v/>
      </c>
      <c r="W6221" s="15">
        <f>V6221*N6221*O6221</f>
        <v/>
      </c>
      <c r="X6221" s="12">
        <f>IF(LEFT(I6221,2)="MV",2*N6221*IF(L6221="1/C",O6221,1),0)</f>
        <v/>
      </c>
      <c r="Y6221" s="12">
        <f>IF(OR(LEFT(K6221,4)="LVAX",LEFT(K6221,6)="MV15AX",LEFT(K6221,4)="CTAX",LEFT(K6221,2)="W|"),2*N6221*O6221,0)</f>
        <v/>
      </c>
      <c r="Z6221" s="12" t="inlineStr"/>
      <c r="AA6221" s="12">
        <f>N6221*O6221</f>
        <v/>
      </c>
    </row>
    <row r="6222">
      <c r="A6222" s="12" t="inlineStr">
        <is>
          <t>C-I-0129</t>
        </is>
      </c>
      <c r="B6222" s="12" t="inlineStr">
        <is>
          <t>C</t>
        </is>
      </c>
      <c r="C6222" s="12" t="inlineStr">
        <is>
          <t>Grid interface</t>
        </is>
      </c>
      <c r="D6222" s="12" t="inlineStr">
        <is>
          <t>Analog instrument to JB JB-Water treatment bu-AI03: 20 x 1 pr (field cables)</t>
        </is>
      </c>
      <c r="E6222" s="12" t="inlineStr"/>
      <c r="F6222" s="12" t="inlineStr">
        <is>
          <t>Water treatment building: rooftop HVAC, exhaust fans, vents</t>
        </is>
      </c>
      <c r="G6222" s="12" t="inlineStr">
        <is>
          <t>JB-Water treatment bu-AI03</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PLTC|1 pr|16</t>
        </is>
      </c>
      <c r="L6222" s="12" t="inlineStr">
        <is>
          <t>1 pr</t>
        </is>
      </c>
      <c r="M6222" s="12" t="inlineStr">
        <is>
          <t>16</t>
        </is>
      </c>
      <c r="N6222" s="12" t="n">
        <v>20</v>
      </c>
      <c r="O6222" s="12" t="n">
        <v>1</v>
      </c>
      <c r="P6222" s="12" t="n"/>
      <c r="Q6222" s="12" t="n"/>
      <c r="R6222" s="12" t="n"/>
      <c r="S6222" s="12" t="inlineStr">
        <is>
          <t>Tray / conduit</t>
        </is>
      </c>
      <c r="T6222" s="15" t="n">
        <v>162</v>
      </c>
      <c r="U6222" s="15" t="n">
        <v>10</v>
      </c>
      <c r="V6222" s="15">
        <f>ROUNDUP((T6222+U6222+2*'Read Me'!$B$13)*(1+'Read Me'!$B$12),-1)</f>
        <v/>
      </c>
      <c r="W6222" s="15">
        <f>V6222*N6222*O6222</f>
        <v/>
      </c>
      <c r="X6222" s="12">
        <f>IF(LEFT(I6222,2)="MV",2*N6222*IF(L6222="1/C",O6222,1),0)</f>
        <v/>
      </c>
      <c r="Y6222" s="12">
        <f>IF(OR(LEFT(K6222,4)="LVAX",LEFT(K6222,6)="MV15AX",LEFT(K6222,4)="CTAX",LEFT(K6222,2)="W|"),2*N6222*O6222,0)</f>
        <v/>
      </c>
      <c r="Z6222" s="12" t="inlineStr">
        <is>
          <t>device-to-JB field wiring, one cable per device</t>
        </is>
      </c>
      <c r="AA6222" s="12">
        <f>N6222*O6222</f>
        <v/>
      </c>
    </row>
    <row r="6223">
      <c r="A6223" s="12" t="inlineStr">
        <is>
          <t>C-I-0130</t>
        </is>
      </c>
      <c r="B6223" s="12" t="inlineStr">
        <is>
          <t>C</t>
        </is>
      </c>
      <c r="C6223" s="12" t="inlineStr">
        <is>
          <t>Grid interface</t>
        </is>
      </c>
      <c r="D6223" s="12" t="inlineStr">
        <is>
          <t>Home run JB-Water treatment bu-AI03 to the control / marshalling room</t>
        </is>
      </c>
      <c r="E6223" s="12" t="inlineStr">
        <is>
          <t>R1</t>
        </is>
      </c>
      <c r="F6223" s="12" t="inlineStr">
        <is>
          <t>R1: main electrical building (64 x 180 ft)</t>
        </is>
      </c>
      <c r="G6223" s="12" t="inlineStr">
        <is>
          <t>JB-Water treatment bu-AI03</t>
        </is>
      </c>
      <c r="H6223" s="12" t="inlineStr">
        <is>
          <t>Water treatment building: rooftop HVAC, exhaust fans, vents</t>
        </is>
      </c>
      <c r="I6223" s="12" t="inlineStr">
        <is>
          <t>Instrumentation</t>
        </is>
      </c>
      <c r="J6223" s="12" t="inlineStr">
        <is>
          <t>Instrumentation PLTC / TC-ER 300 V, #18 twisted shielded pairs, overall shield</t>
        </is>
      </c>
      <c r="K6223" s="12" t="inlineStr">
        <is>
          <t>PLTC|24 pr|18</t>
        </is>
      </c>
      <c r="L6223" s="12" t="inlineStr">
        <is>
          <t>24 pr</t>
        </is>
      </c>
      <c r="M6223" s="12" t="inlineStr">
        <is>
          <t>18</t>
        </is>
      </c>
      <c r="N6223" s="12" t="n">
        <v>1</v>
      </c>
      <c r="O6223" s="12" t="n">
        <v>1</v>
      </c>
      <c r="P6223" s="12" t="n"/>
      <c r="Q6223" s="12" t="n"/>
      <c r="R6223" s="12" t="n"/>
      <c r="S6223" s="12" t="inlineStr">
        <is>
          <t>Duct bank</t>
        </is>
      </c>
      <c r="T6223" s="15" t="n">
        <v>985</v>
      </c>
      <c r="U6223" s="15" t="n">
        <v>32</v>
      </c>
      <c r="V6223" s="15">
        <f>ROUNDUP((T6223+U6223+2*'Read Me'!$B$13)*(1+'Read Me'!$B$12),-1)</f>
        <v/>
      </c>
      <c r="W6223" s="15">
        <f>V6223*N6223*O6223</f>
        <v/>
      </c>
      <c r="X6223" s="12">
        <f>IF(LEFT(I6223,2)="MV",2*N6223*IF(L6223="1/C",O6223,1),0)</f>
        <v/>
      </c>
      <c r="Y6223" s="12">
        <f>IF(OR(LEFT(K6223,4)="LVAX",LEFT(K6223,6)="MV15AX",LEFT(K6223,4)="CTAX",LEFT(K6223,2)="W|"),2*N6223*O6223,0)</f>
        <v/>
      </c>
      <c r="Z6223" s="12" t="inlineStr"/>
      <c r="AA6223" s="12">
        <f>N6223*O6223</f>
        <v/>
      </c>
    </row>
    <row r="6224">
      <c r="A6224" s="12" t="inlineStr">
        <is>
          <t>C-I-0131</t>
        </is>
      </c>
      <c r="B6224" s="12" t="inlineStr">
        <is>
          <t>C</t>
        </is>
      </c>
      <c r="C6224" s="12" t="inlineStr">
        <is>
          <t>Grid interface</t>
        </is>
      </c>
      <c r="D6224" s="12" t="inlineStr">
        <is>
          <t>Discrete device to JB JB-Water treatment bu-DI01: 20 x 1 pr (field cables)</t>
        </is>
      </c>
      <c r="E6224" s="12" t="inlineStr"/>
      <c r="F6224" s="12" t="inlineStr">
        <is>
          <t>Water treatment building: rooftop HVAC, exhaust fans, vents</t>
        </is>
      </c>
      <c r="G6224" s="12" t="inlineStr">
        <is>
          <t>JB-Water treatment bu-DI01</t>
        </is>
      </c>
      <c r="H6224" s="12" t="inlineStr">
        <is>
          <t>Water treatment building: rooftop HVAC, exhaust fans, vents</t>
        </is>
      </c>
      <c r="I6224" s="12" t="inlineStr">
        <is>
          <t>Instrumentation</t>
        </is>
      </c>
      <c r="J6224" s="12" t="inlineStr">
        <is>
          <t>Instrumentation PLTC / TC-ER 300 V, #18 twisted shielded pairs, overall shield</t>
        </is>
      </c>
      <c r="K6224" s="12" t="inlineStr">
        <is>
          <t>PLTC|1 pr|16</t>
        </is>
      </c>
      <c r="L6224" s="12" t="inlineStr">
        <is>
          <t>1 pr</t>
        </is>
      </c>
      <c r="M6224" s="12" t="inlineStr">
        <is>
          <t>16</t>
        </is>
      </c>
      <c r="N6224" s="12" t="n">
        <v>20</v>
      </c>
      <c r="O6224" s="12" t="n">
        <v>1</v>
      </c>
      <c r="P6224" s="12" t="n"/>
      <c r="Q6224" s="12" t="n"/>
      <c r="R6224" s="12" t="n"/>
      <c r="S6224" s="12" t="inlineStr">
        <is>
          <t>Tray / conduit</t>
        </is>
      </c>
      <c r="T6224" s="15" t="n">
        <v>162</v>
      </c>
      <c r="U6224" s="15" t="n">
        <v>10</v>
      </c>
      <c r="V6224" s="15">
        <f>ROUNDUP((T6224+U6224+2*'Read Me'!$B$13)*(1+'Read Me'!$B$12),-1)</f>
        <v/>
      </c>
      <c r="W6224" s="15">
        <f>V6224*N6224*O6224</f>
        <v/>
      </c>
      <c r="X6224" s="12">
        <f>IF(LEFT(I6224,2)="MV",2*N6224*IF(L6224="1/C",O6224,1),0)</f>
        <v/>
      </c>
      <c r="Y6224" s="12">
        <f>IF(OR(LEFT(K6224,4)="LVAX",LEFT(K6224,6)="MV15AX",LEFT(K6224,4)="CTAX",LEFT(K6224,2)="W|"),2*N6224*O6224,0)</f>
        <v/>
      </c>
      <c r="Z6224" s="12" t="inlineStr">
        <is>
          <t>device-to-JB field wiring, one cable per device</t>
        </is>
      </c>
      <c r="AA6224" s="12">
        <f>N6224*O6224</f>
        <v/>
      </c>
    </row>
    <row r="6225">
      <c r="A6225" s="12" t="inlineStr">
        <is>
          <t>C-I-0132</t>
        </is>
      </c>
      <c r="B6225" s="12" t="inlineStr">
        <is>
          <t>C</t>
        </is>
      </c>
      <c r="C6225" s="12" t="inlineStr">
        <is>
          <t>Grid interface</t>
        </is>
      </c>
      <c r="D6225" s="12" t="inlineStr">
        <is>
          <t>Home run JB-Water treatment bu-DI01 to the control / marshalling room</t>
        </is>
      </c>
      <c r="E6225" s="12" t="inlineStr">
        <is>
          <t>R1</t>
        </is>
      </c>
      <c r="F6225" s="12" t="inlineStr">
        <is>
          <t>R1: main electrical building (64 x 180 ft)</t>
        </is>
      </c>
      <c r="G6225" s="12" t="inlineStr">
        <is>
          <t>JB-Water treatment bu-DI01</t>
        </is>
      </c>
      <c r="H6225" s="12" t="inlineStr">
        <is>
          <t>Water treatment building: rooftop HVAC, exhaust fans, vents</t>
        </is>
      </c>
      <c r="I6225" s="12" t="inlineStr">
        <is>
          <t>Instrumentation</t>
        </is>
      </c>
      <c r="J6225" s="12" t="inlineStr">
        <is>
          <t>Instrumentation PLTC / TC-ER 300 V, #18 twisted shielded pairs, overall shield</t>
        </is>
      </c>
      <c r="K6225" s="12" t="inlineStr">
        <is>
          <t>PLTC|24 pr|18</t>
        </is>
      </c>
      <c r="L6225" s="12" t="inlineStr">
        <is>
          <t>24 pr</t>
        </is>
      </c>
      <c r="M6225" s="12" t="inlineStr">
        <is>
          <t>18</t>
        </is>
      </c>
      <c r="N6225" s="12" t="n">
        <v>1</v>
      </c>
      <c r="O6225" s="12" t="n">
        <v>1</v>
      </c>
      <c r="P6225" s="12" t="n"/>
      <c r="Q6225" s="12" t="n"/>
      <c r="R6225" s="12" t="n"/>
      <c r="S6225" s="12" t="inlineStr">
        <is>
          <t>Duct bank</t>
        </is>
      </c>
      <c r="T6225" s="15" t="n">
        <v>985</v>
      </c>
      <c r="U6225" s="15" t="n">
        <v>32</v>
      </c>
      <c r="V6225" s="15">
        <f>ROUNDUP((T6225+U6225+2*'Read Me'!$B$13)*(1+'Read Me'!$B$12),-1)</f>
        <v/>
      </c>
      <c r="W6225" s="15">
        <f>V6225*N6225*O6225</f>
        <v/>
      </c>
      <c r="X6225" s="12">
        <f>IF(LEFT(I6225,2)="MV",2*N6225*IF(L6225="1/C",O6225,1),0)</f>
        <v/>
      </c>
      <c r="Y6225" s="12">
        <f>IF(OR(LEFT(K6225,4)="LVAX",LEFT(K6225,6)="MV15AX",LEFT(K6225,4)="CTAX",LEFT(K6225,2)="W|"),2*N6225*O6225,0)</f>
        <v/>
      </c>
      <c r="Z6225" s="12" t="inlineStr"/>
      <c r="AA6225" s="12">
        <f>N6225*O6225</f>
        <v/>
      </c>
    </row>
    <row r="6226">
      <c r="A6226" s="12" t="inlineStr">
        <is>
          <t>C-I-0133</t>
        </is>
      </c>
      <c r="B6226" s="12" t="inlineStr">
        <is>
          <t>C</t>
        </is>
      </c>
      <c r="C6226" s="12" t="inlineStr">
        <is>
          <t>Grid interface</t>
        </is>
      </c>
      <c r="D6226" s="12" t="inlineStr">
        <is>
          <t>Discrete device to JB JB-Water treatment bu-DI02: 20 x 1 pr (field cables)</t>
        </is>
      </c>
      <c r="E6226" s="12" t="inlineStr"/>
      <c r="F6226" s="12" t="inlineStr">
        <is>
          <t>Water treatment building: rooftop HVAC, exhaust fans, vents</t>
        </is>
      </c>
      <c r="G6226" s="12" t="inlineStr">
        <is>
          <t>JB-Water treatment bu-DI02</t>
        </is>
      </c>
      <c r="H6226" s="12" t="inlineStr">
        <is>
          <t>Water treatment building: rooftop HVAC, exhaust fans, vents</t>
        </is>
      </c>
      <c r="I6226" s="12" t="inlineStr">
        <is>
          <t>Instrumentation</t>
        </is>
      </c>
      <c r="J6226" s="12" t="inlineStr">
        <is>
          <t>Instrumentation PLTC / TC-ER 300 V, #18 twisted shielded pairs, overall shield</t>
        </is>
      </c>
      <c r="K6226" s="12" t="inlineStr">
        <is>
          <t>PLTC|1 pr|16</t>
        </is>
      </c>
      <c r="L6226" s="12" t="inlineStr">
        <is>
          <t>1 pr</t>
        </is>
      </c>
      <c r="M6226" s="12" t="inlineStr">
        <is>
          <t>16</t>
        </is>
      </c>
      <c r="N6226" s="12" t="n">
        <v>20</v>
      </c>
      <c r="O6226" s="12" t="n">
        <v>1</v>
      </c>
      <c r="P6226" s="12" t="n"/>
      <c r="Q6226" s="12" t="n"/>
      <c r="R6226" s="12" t="n"/>
      <c r="S6226" s="12" t="inlineStr">
        <is>
          <t>Tray / conduit</t>
        </is>
      </c>
      <c r="T6226" s="15" t="n">
        <v>162</v>
      </c>
      <c r="U6226" s="15" t="n">
        <v>10</v>
      </c>
      <c r="V6226" s="15">
        <f>ROUNDUP((T6226+U6226+2*'Read Me'!$B$13)*(1+'Read Me'!$B$12),-1)</f>
        <v/>
      </c>
      <c r="W6226" s="15">
        <f>V6226*N6226*O6226</f>
        <v/>
      </c>
      <c r="X6226" s="12">
        <f>IF(LEFT(I6226,2)="MV",2*N6226*IF(L6226="1/C",O6226,1),0)</f>
        <v/>
      </c>
      <c r="Y6226" s="12">
        <f>IF(OR(LEFT(K6226,4)="LVAX",LEFT(K6226,6)="MV15AX",LEFT(K6226,4)="CTAX",LEFT(K6226,2)="W|"),2*N6226*O6226,0)</f>
        <v/>
      </c>
      <c r="Z6226" s="12" t="inlineStr">
        <is>
          <t>device-to-JB field wiring, one cable per device</t>
        </is>
      </c>
      <c r="AA6226" s="12">
        <f>N6226*O6226</f>
        <v/>
      </c>
    </row>
    <row r="6227">
      <c r="A6227" s="12" t="inlineStr">
        <is>
          <t>C-I-0134</t>
        </is>
      </c>
      <c r="B6227" s="12" t="inlineStr">
        <is>
          <t>C</t>
        </is>
      </c>
      <c r="C6227" s="12" t="inlineStr">
        <is>
          <t>Grid interface</t>
        </is>
      </c>
      <c r="D6227" s="12" t="inlineStr">
        <is>
          <t>Home run JB-Water treatment bu-DI02 to the control / marshalling room</t>
        </is>
      </c>
      <c r="E6227" s="12" t="inlineStr">
        <is>
          <t>R1</t>
        </is>
      </c>
      <c r="F6227" s="12" t="inlineStr">
        <is>
          <t>R1: main electrical building (64 x 180 ft)</t>
        </is>
      </c>
      <c r="G6227" s="12" t="inlineStr">
        <is>
          <t>JB-Water treatment bu-DI02</t>
        </is>
      </c>
      <c r="H6227" s="12" t="inlineStr">
        <is>
          <t>Water treatment building: rooftop HVAC, exhaust fans, vents</t>
        </is>
      </c>
      <c r="I6227" s="12" t="inlineStr">
        <is>
          <t>Instrumentation</t>
        </is>
      </c>
      <c r="J6227" s="12" t="inlineStr">
        <is>
          <t>Instrumentation PLTC / TC-ER 300 V, #18 twisted shielded pairs, overall shield</t>
        </is>
      </c>
      <c r="K6227" s="12" t="inlineStr">
        <is>
          <t>PLTC|24 pr|18</t>
        </is>
      </c>
      <c r="L6227" s="12" t="inlineStr">
        <is>
          <t>24 pr</t>
        </is>
      </c>
      <c r="M6227" s="12" t="inlineStr">
        <is>
          <t>18</t>
        </is>
      </c>
      <c r="N6227" s="12" t="n">
        <v>1</v>
      </c>
      <c r="O6227" s="12" t="n">
        <v>1</v>
      </c>
      <c r="P6227" s="12" t="n"/>
      <c r="Q6227" s="12" t="n"/>
      <c r="R6227" s="12" t="n"/>
      <c r="S6227" s="12" t="inlineStr">
        <is>
          <t>Duct bank</t>
        </is>
      </c>
      <c r="T6227" s="15" t="n">
        <v>985</v>
      </c>
      <c r="U6227" s="15" t="n">
        <v>32</v>
      </c>
      <c r="V6227" s="15">
        <f>ROUNDUP((T6227+U6227+2*'Read Me'!$B$13)*(1+'Read Me'!$B$12),-1)</f>
        <v/>
      </c>
      <c r="W6227" s="15">
        <f>V6227*N6227*O6227</f>
        <v/>
      </c>
      <c r="X6227" s="12">
        <f>IF(LEFT(I6227,2)="MV",2*N6227*IF(L6227="1/C",O6227,1),0)</f>
        <v/>
      </c>
      <c r="Y6227" s="12">
        <f>IF(OR(LEFT(K6227,4)="LVAX",LEFT(K6227,6)="MV15AX",LEFT(K6227,4)="CTAX",LEFT(K6227,2)="W|"),2*N6227*O6227,0)</f>
        <v/>
      </c>
      <c r="Z6227" s="12" t="inlineStr"/>
      <c r="AA6227" s="12">
        <f>N6227*O6227</f>
        <v/>
      </c>
    </row>
    <row r="6228">
      <c r="A6228" s="12" t="inlineStr">
        <is>
          <t>C-I-0135</t>
        </is>
      </c>
      <c r="B6228" s="12" t="inlineStr">
        <is>
          <t>C</t>
        </is>
      </c>
      <c r="C6228" s="12" t="inlineStr">
        <is>
          <t>Grid interface</t>
        </is>
      </c>
      <c r="D6228" s="12" t="inlineStr">
        <is>
          <t>Discrete device to JB JB-Water treatment bu-DI03: 20 x 1 pr (field cables)</t>
        </is>
      </c>
      <c r="E6228" s="12" t="inlineStr"/>
      <c r="F6228" s="12" t="inlineStr">
        <is>
          <t>Water treatment building: rooftop HVAC, exhaust fans, vents</t>
        </is>
      </c>
      <c r="G6228" s="12" t="inlineStr">
        <is>
          <t>JB-Water treatment bu-DI03</t>
        </is>
      </c>
      <c r="H6228" s="12" t="inlineStr">
        <is>
          <t>Water treatment building: rooftop HVAC, exhaust fans, vents</t>
        </is>
      </c>
      <c r="I6228" s="12" t="inlineStr">
        <is>
          <t>Instrumentation</t>
        </is>
      </c>
      <c r="J6228" s="12" t="inlineStr">
        <is>
          <t>Instrumentation PLTC / TC-ER 300 V, #18 twisted shielded pairs, overall shield</t>
        </is>
      </c>
      <c r="K6228" s="12" t="inlineStr">
        <is>
          <t>PLTC|1 pr|16</t>
        </is>
      </c>
      <c r="L6228" s="12" t="inlineStr">
        <is>
          <t>1 pr</t>
        </is>
      </c>
      <c r="M6228" s="12" t="inlineStr">
        <is>
          <t>16</t>
        </is>
      </c>
      <c r="N6228" s="12" t="n">
        <v>20</v>
      </c>
      <c r="O6228" s="12" t="n">
        <v>1</v>
      </c>
      <c r="P6228" s="12" t="n"/>
      <c r="Q6228" s="12" t="n"/>
      <c r="R6228" s="12" t="n"/>
      <c r="S6228" s="12" t="inlineStr">
        <is>
          <t>Tray / conduit</t>
        </is>
      </c>
      <c r="T6228" s="15" t="n">
        <v>162</v>
      </c>
      <c r="U6228" s="15" t="n">
        <v>10</v>
      </c>
      <c r="V6228" s="15">
        <f>ROUNDUP((T6228+U6228+2*'Read Me'!$B$13)*(1+'Read Me'!$B$12),-1)</f>
        <v/>
      </c>
      <c r="W6228" s="15">
        <f>V6228*N6228*O6228</f>
        <v/>
      </c>
      <c r="X6228" s="12">
        <f>IF(LEFT(I6228,2)="MV",2*N6228*IF(L6228="1/C",O6228,1),0)</f>
        <v/>
      </c>
      <c r="Y6228" s="12">
        <f>IF(OR(LEFT(K6228,4)="LVAX",LEFT(K6228,6)="MV15AX",LEFT(K6228,4)="CTAX",LEFT(K6228,2)="W|"),2*N6228*O6228,0)</f>
        <v/>
      </c>
      <c r="Z6228" s="12" t="inlineStr">
        <is>
          <t>device-to-JB field wiring, one cable per device</t>
        </is>
      </c>
      <c r="AA6228" s="12">
        <f>N6228*O6228</f>
        <v/>
      </c>
    </row>
    <row r="6229">
      <c r="A6229" s="12" t="inlineStr">
        <is>
          <t>C-I-0136</t>
        </is>
      </c>
      <c r="B6229" s="12" t="inlineStr">
        <is>
          <t>C</t>
        </is>
      </c>
      <c r="C6229" s="12" t="inlineStr">
        <is>
          <t>Grid interface</t>
        </is>
      </c>
      <c r="D6229" s="12" t="inlineStr">
        <is>
          <t>Home run JB-Water treatment bu-DI03 to the control / marshalling room</t>
        </is>
      </c>
      <c r="E6229" s="12" t="inlineStr">
        <is>
          <t>R1</t>
        </is>
      </c>
      <c r="F6229" s="12" t="inlineStr">
        <is>
          <t>R1: main electrical building (64 x 180 ft)</t>
        </is>
      </c>
      <c r="G6229" s="12" t="inlineStr">
        <is>
          <t>JB-Water treatment bu-DI03</t>
        </is>
      </c>
      <c r="H6229" s="12" t="inlineStr">
        <is>
          <t>Water treatment building: rooftop HVAC, exhaust fans, vents</t>
        </is>
      </c>
      <c r="I6229" s="12" t="inlineStr">
        <is>
          <t>Instrumentation</t>
        </is>
      </c>
      <c r="J6229" s="12" t="inlineStr">
        <is>
          <t>Instrumentation PLTC / TC-ER 300 V, #18 twisted shielded pairs, overall shield</t>
        </is>
      </c>
      <c r="K6229" s="12" t="inlineStr">
        <is>
          <t>PLTC|24 pr|18</t>
        </is>
      </c>
      <c r="L6229" s="12" t="inlineStr">
        <is>
          <t>24 pr</t>
        </is>
      </c>
      <c r="M6229" s="12" t="inlineStr">
        <is>
          <t>18</t>
        </is>
      </c>
      <c r="N6229" s="12" t="n">
        <v>1</v>
      </c>
      <c r="O6229" s="12" t="n">
        <v>1</v>
      </c>
      <c r="P6229" s="12" t="n"/>
      <c r="Q6229" s="12" t="n"/>
      <c r="R6229" s="12" t="n"/>
      <c r="S6229" s="12" t="inlineStr">
        <is>
          <t>Duct bank</t>
        </is>
      </c>
      <c r="T6229" s="15" t="n">
        <v>985</v>
      </c>
      <c r="U6229" s="15" t="n">
        <v>32</v>
      </c>
      <c r="V6229" s="15">
        <f>ROUNDUP((T6229+U6229+2*'Read Me'!$B$13)*(1+'Read Me'!$B$12),-1)</f>
        <v/>
      </c>
      <c r="W6229" s="15">
        <f>V6229*N6229*O6229</f>
        <v/>
      </c>
      <c r="X6229" s="12">
        <f>IF(LEFT(I6229,2)="MV",2*N6229*IF(L6229="1/C",O6229,1),0)</f>
        <v/>
      </c>
      <c r="Y6229" s="12">
        <f>IF(OR(LEFT(K6229,4)="LVAX",LEFT(K6229,6)="MV15AX",LEFT(K6229,4)="CTAX",LEFT(K6229,2)="W|"),2*N6229*O6229,0)</f>
        <v/>
      </c>
      <c r="Z6229" s="12" t="inlineStr"/>
      <c r="AA6229" s="12">
        <f>N6229*O6229</f>
        <v/>
      </c>
    </row>
    <row r="6230">
      <c r="A6230" s="12" t="inlineStr">
        <is>
          <t>C-I-0137</t>
        </is>
      </c>
      <c r="B6230" s="12" t="inlineStr">
        <is>
          <t>C</t>
        </is>
      </c>
      <c r="C6230" s="12" t="inlineStr">
        <is>
          <t>Grid interface</t>
        </is>
      </c>
      <c r="D6230" s="12" t="inlineStr">
        <is>
          <t>Discrete device to JB JB-Water treatment bu-DI04: 20 x 1 pr (field cables)</t>
        </is>
      </c>
      <c r="E6230" s="12" t="inlineStr"/>
      <c r="F6230" s="12" t="inlineStr">
        <is>
          <t>Water treatment building: rooftop HVAC, exhaust fans, vents</t>
        </is>
      </c>
      <c r="G6230" s="12" t="inlineStr">
        <is>
          <t>JB-Water treatment bu-DI04</t>
        </is>
      </c>
      <c r="H6230" s="12" t="inlineStr">
        <is>
          <t>Water treatment building: rooftop HVAC, exhaust fans, vents</t>
        </is>
      </c>
      <c r="I6230" s="12" t="inlineStr">
        <is>
          <t>Instrumentation</t>
        </is>
      </c>
      <c r="J6230" s="12" t="inlineStr">
        <is>
          <t>Instrumentation PLTC / TC-ER 300 V, #18 twisted shielded pairs, overall shield</t>
        </is>
      </c>
      <c r="K6230" s="12" t="inlineStr">
        <is>
          <t>PLTC|1 pr|16</t>
        </is>
      </c>
      <c r="L6230" s="12" t="inlineStr">
        <is>
          <t>1 pr</t>
        </is>
      </c>
      <c r="M6230" s="12" t="inlineStr">
        <is>
          <t>16</t>
        </is>
      </c>
      <c r="N6230" s="12" t="n">
        <v>20</v>
      </c>
      <c r="O6230" s="12" t="n">
        <v>1</v>
      </c>
      <c r="P6230" s="12" t="n"/>
      <c r="Q6230" s="12" t="n"/>
      <c r="R6230" s="12" t="n"/>
      <c r="S6230" s="12" t="inlineStr">
        <is>
          <t>Tray / conduit</t>
        </is>
      </c>
      <c r="T6230" s="15" t="n">
        <v>162</v>
      </c>
      <c r="U6230" s="15" t="n">
        <v>10</v>
      </c>
      <c r="V6230" s="15">
        <f>ROUNDUP((T6230+U6230+2*'Read Me'!$B$13)*(1+'Read Me'!$B$12),-1)</f>
        <v/>
      </c>
      <c r="W6230" s="15">
        <f>V6230*N6230*O6230</f>
        <v/>
      </c>
      <c r="X6230" s="12">
        <f>IF(LEFT(I6230,2)="MV",2*N6230*IF(L6230="1/C",O6230,1),0)</f>
        <v/>
      </c>
      <c r="Y6230" s="12">
        <f>IF(OR(LEFT(K6230,4)="LVAX",LEFT(K6230,6)="MV15AX",LEFT(K6230,4)="CTAX",LEFT(K6230,2)="W|"),2*N6230*O6230,0)</f>
        <v/>
      </c>
      <c r="Z6230" s="12" t="inlineStr">
        <is>
          <t>device-to-JB field wiring, one cable per device</t>
        </is>
      </c>
      <c r="AA6230" s="12">
        <f>N6230*O6230</f>
        <v/>
      </c>
    </row>
    <row r="6231">
      <c r="A6231" s="12" t="inlineStr">
        <is>
          <t>C-I-0138</t>
        </is>
      </c>
      <c r="B6231" s="12" t="inlineStr">
        <is>
          <t>C</t>
        </is>
      </c>
      <c r="C6231" s="12" t="inlineStr">
        <is>
          <t>Grid interface</t>
        </is>
      </c>
      <c r="D6231" s="12" t="inlineStr">
        <is>
          <t>Home run JB-Water treatment bu-DI04 to the control / marshalling room</t>
        </is>
      </c>
      <c r="E6231" s="12" t="inlineStr">
        <is>
          <t>R1</t>
        </is>
      </c>
      <c r="F6231" s="12" t="inlineStr">
        <is>
          <t>R1: main electrical building (64 x 180 ft)</t>
        </is>
      </c>
      <c r="G6231" s="12" t="inlineStr">
        <is>
          <t>JB-Water treatment bu-DI04</t>
        </is>
      </c>
      <c r="H6231" s="12" t="inlineStr">
        <is>
          <t>Water treatment building: rooftop HVAC, exhaust fans, vents</t>
        </is>
      </c>
      <c r="I6231" s="12" t="inlineStr">
        <is>
          <t>Instrumentation</t>
        </is>
      </c>
      <c r="J6231" s="12" t="inlineStr">
        <is>
          <t>Instrumentation PLTC / TC-ER 300 V, #18 twisted shielded pairs, overall shield</t>
        </is>
      </c>
      <c r="K6231" s="12" t="inlineStr">
        <is>
          <t>PLTC|24 pr|18</t>
        </is>
      </c>
      <c r="L6231" s="12" t="inlineStr">
        <is>
          <t>24 pr</t>
        </is>
      </c>
      <c r="M6231" s="12" t="inlineStr">
        <is>
          <t>18</t>
        </is>
      </c>
      <c r="N6231" s="12" t="n">
        <v>1</v>
      </c>
      <c r="O6231" s="12" t="n">
        <v>1</v>
      </c>
      <c r="P6231" s="12" t="n"/>
      <c r="Q6231" s="12" t="n"/>
      <c r="R6231" s="12" t="n"/>
      <c r="S6231" s="12" t="inlineStr">
        <is>
          <t>Duct bank</t>
        </is>
      </c>
      <c r="T6231" s="15" t="n">
        <v>985</v>
      </c>
      <c r="U6231" s="15" t="n">
        <v>32</v>
      </c>
      <c r="V6231" s="15">
        <f>ROUNDUP((T6231+U6231+2*'Read Me'!$B$13)*(1+'Read Me'!$B$12),-1)</f>
        <v/>
      </c>
      <c r="W6231" s="15">
        <f>V6231*N6231*O6231</f>
        <v/>
      </c>
      <c r="X6231" s="12">
        <f>IF(LEFT(I6231,2)="MV",2*N6231*IF(L6231="1/C",O6231,1),0)</f>
        <v/>
      </c>
      <c r="Y6231" s="12">
        <f>IF(OR(LEFT(K6231,4)="LVAX",LEFT(K6231,6)="MV15AX",LEFT(K6231,4)="CTAX",LEFT(K6231,2)="W|"),2*N6231*O6231,0)</f>
        <v/>
      </c>
      <c r="Z6231" s="12" t="inlineStr"/>
      <c r="AA6231" s="12">
        <f>N6231*O6231</f>
        <v/>
      </c>
    </row>
    <row r="6232">
      <c r="A6232" s="12" t="inlineStr">
        <is>
          <t>C-P-0006</t>
        </is>
      </c>
      <c r="B6232" s="12" t="inlineStr">
        <is>
          <t>C</t>
        </is>
      </c>
      <c r="C6232" s="12" t="inlineStr">
        <is>
          <t>Grid interface</t>
        </is>
      </c>
      <c r="D6232" s="12" t="inlineStr">
        <is>
          <t>Motor 1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C-P-0007</t>
        </is>
      </c>
      <c r="B6233" s="12" t="inlineStr">
        <is>
          <t>C</t>
        </is>
      </c>
      <c r="C6233" s="12" t="inlineStr">
        <is>
          <t>Grid interface</t>
        </is>
      </c>
      <c r="D6233" s="12" t="inlineStr">
        <is>
          <t>Motor 2 of 10, 30 kW</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LV|3/C+G|3/0</t>
        </is>
      </c>
      <c r="L6233" s="12" t="inlineStr">
        <is>
          <t>3/C+G</t>
        </is>
      </c>
      <c r="M6233" s="12" t="inlineStr">
        <is>
          <t>3/0</t>
        </is>
      </c>
      <c r="N6233" s="12" t="n">
        <v>1</v>
      </c>
      <c r="O6233" s="12" t="n">
        <v>1</v>
      </c>
      <c r="P6233" s="12" t="n">
        <v>480</v>
      </c>
      <c r="Q6233" s="12" t="n">
        <v>30</v>
      </c>
      <c r="R6233" s="12" t="n">
        <v>42.5</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2.5 %</t>
        </is>
      </c>
      <c r="AA6233" s="12">
        <f>N6233*O6233</f>
        <v/>
      </c>
    </row>
    <row r="6234">
      <c r="A6234" s="12" t="inlineStr">
        <is>
          <t>C-P-0008</t>
        </is>
      </c>
      <c r="B6234" s="12" t="inlineStr">
        <is>
          <t>C</t>
        </is>
      </c>
      <c r="C6234" s="12" t="inlineStr">
        <is>
          <t>Grid interface</t>
        </is>
      </c>
      <c r="D6234" s="12" t="inlineStr">
        <is>
          <t>Motor 3 of 10, 30 kW</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LV|3/C+G|3/0</t>
        </is>
      </c>
      <c r="L6234" s="12" t="inlineStr">
        <is>
          <t>3/C+G</t>
        </is>
      </c>
      <c r="M6234" s="12" t="inlineStr">
        <is>
          <t>3/0</t>
        </is>
      </c>
      <c r="N6234" s="12" t="n">
        <v>1</v>
      </c>
      <c r="O6234" s="12" t="n">
        <v>1</v>
      </c>
      <c r="P6234" s="12" t="n">
        <v>480</v>
      </c>
      <c r="Q6234" s="12" t="n">
        <v>30</v>
      </c>
      <c r="R6234" s="12" t="n">
        <v>42.5</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2.5 %</t>
        </is>
      </c>
      <c r="AA6234" s="12">
        <f>N6234*O6234</f>
        <v/>
      </c>
    </row>
    <row r="6235">
      <c r="A6235" s="12" t="inlineStr">
        <is>
          <t>C-P-0009</t>
        </is>
      </c>
      <c r="B6235" s="12" t="inlineStr">
        <is>
          <t>C</t>
        </is>
      </c>
      <c r="C6235" s="12" t="inlineStr">
        <is>
          <t>Grid interface</t>
        </is>
      </c>
      <c r="D6235" s="12" t="inlineStr">
        <is>
          <t>Motor 4 of 10, 30 kW</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LV|3/C+G|3/0</t>
        </is>
      </c>
      <c r="L6235" s="12" t="inlineStr">
        <is>
          <t>3/C+G</t>
        </is>
      </c>
      <c r="M6235" s="12" t="inlineStr">
        <is>
          <t>3/0</t>
        </is>
      </c>
      <c r="N6235" s="12" t="n">
        <v>1</v>
      </c>
      <c r="O6235" s="12" t="n">
        <v>1</v>
      </c>
      <c r="P6235" s="12" t="n">
        <v>480</v>
      </c>
      <c r="Q6235" s="12" t="n">
        <v>30</v>
      </c>
      <c r="R6235" s="12" t="n">
        <v>42.5</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2.5 %</t>
        </is>
      </c>
      <c r="AA6235" s="12">
        <f>N6235*O6235</f>
        <v/>
      </c>
    </row>
    <row r="6236">
      <c r="A6236" s="12" t="inlineStr">
        <is>
          <t>C-P-0010</t>
        </is>
      </c>
      <c r="B6236" s="12" t="inlineStr">
        <is>
          <t>C</t>
        </is>
      </c>
      <c r="C6236" s="12" t="inlineStr">
        <is>
          <t>Grid interface</t>
        </is>
      </c>
      <c r="D6236" s="12" t="inlineStr">
        <is>
          <t>Motor 5 of 10, 30 kW</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LV|3/C+G|3/0</t>
        </is>
      </c>
      <c r="L6236" s="12" t="inlineStr">
        <is>
          <t>3/C+G</t>
        </is>
      </c>
      <c r="M6236" s="12" t="inlineStr">
        <is>
          <t>3/0</t>
        </is>
      </c>
      <c r="N6236" s="12" t="n">
        <v>1</v>
      </c>
      <c r="O6236" s="12" t="n">
        <v>1</v>
      </c>
      <c r="P6236" s="12" t="n">
        <v>480</v>
      </c>
      <c r="Q6236" s="12" t="n">
        <v>30</v>
      </c>
      <c r="R6236" s="12" t="n">
        <v>42.5</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2.5 %</t>
        </is>
      </c>
      <c r="AA6236" s="12">
        <f>N6236*O6236</f>
        <v/>
      </c>
    </row>
    <row r="6237">
      <c r="A6237" s="12" t="inlineStr">
        <is>
          <t>C-P-0011</t>
        </is>
      </c>
      <c r="B6237" s="12" t="inlineStr">
        <is>
          <t>C</t>
        </is>
      </c>
      <c r="C6237" s="12" t="inlineStr">
        <is>
          <t>Grid interface</t>
        </is>
      </c>
      <c r="D6237" s="12" t="inlineStr">
        <is>
          <t>Motor 6 of 10, 30 kW</t>
        </is>
      </c>
      <c r="E6237" s="12" t="inlineStr">
        <is>
          <t>MCC-C1</t>
        </is>
      </c>
      <c r="F6237" s="12" t="inlineStr">
        <is>
          <t>R1 MCC-C1</t>
        </is>
      </c>
      <c r="G6237" s="12" t="inlineStr"/>
      <c r="H6237" s="12" t="inlineStr">
        <is>
          <t xml:space="preserve">CO2 compression 3 x ~19 MW + dehydration: rooftop HVAC, exhaust fans, </t>
        </is>
      </c>
      <c r="I6237" s="12" t="inlineStr">
        <is>
          <t>LV 600 V</t>
        </is>
      </c>
      <c r="J6237" s="12" t="inlineStr">
        <is>
          <t>Type TC-ER 600 V 3/C Cu XHHW-2 + ground, PVC jacket</t>
        </is>
      </c>
      <c r="K6237" s="12" t="inlineStr">
        <is>
          <t>LV|3/C+G|3/0</t>
        </is>
      </c>
      <c r="L6237" s="12" t="inlineStr">
        <is>
          <t>3/C+G</t>
        </is>
      </c>
      <c r="M6237" s="12" t="inlineStr">
        <is>
          <t>3/0</t>
        </is>
      </c>
      <c r="N6237" s="12" t="n">
        <v>1</v>
      </c>
      <c r="O6237" s="12" t="n">
        <v>1</v>
      </c>
      <c r="P6237" s="12" t="n">
        <v>480</v>
      </c>
      <c r="Q6237" s="12" t="n">
        <v>30</v>
      </c>
      <c r="R6237" s="12" t="n">
        <v>42.5</v>
      </c>
      <c r="S6237" s="12" t="inlineStr">
        <is>
          <t>Tray</t>
        </is>
      </c>
      <c r="T6237" s="15" t="n">
        <v>1744</v>
      </c>
      <c r="U6237" s="15" t="n">
        <v>161</v>
      </c>
      <c r="V6237" s="15">
        <f>ROUNDUP((T6237+U6237+2*'Read Me'!$B$13)*(1+'Read Me'!$B$12),-1)</f>
        <v/>
      </c>
      <c r="W6237" s="15">
        <f>V6237*N6237*O6237</f>
        <v/>
      </c>
      <c r="X6237" s="12">
        <f>IF(LEFT(I6237,2)="MV",2*N6237*IF(L6237="1/C",O6237,1),0)</f>
        <v/>
      </c>
      <c r="Y6237" s="12">
        <f>IF(OR(LEFT(K6237,4)="LVAX",LEFT(K6237,6)="MV15AX",LEFT(K6237,4)="CTAX",LEFT(K6237,2)="W|"),2*N6237*O6237,0)</f>
        <v/>
      </c>
      <c r="Z6237" s="12" t="inlineStr">
        <is>
          <t>VD 2.5 %</t>
        </is>
      </c>
      <c r="AA6237" s="12">
        <f>N6237*O6237</f>
        <v/>
      </c>
    </row>
    <row r="6238">
      <c r="A6238" s="12" t="inlineStr">
        <is>
          <t>C-P-0012</t>
        </is>
      </c>
      <c r="B6238" s="12" t="inlineStr">
        <is>
          <t>C</t>
        </is>
      </c>
      <c r="C6238" s="12" t="inlineStr">
        <is>
          <t>Grid interface</t>
        </is>
      </c>
      <c r="D6238" s="12" t="inlineStr">
        <is>
          <t>Motor 7 of 10, 30 kW</t>
        </is>
      </c>
      <c r="E6238" s="12" t="inlineStr">
        <is>
          <t>MCC-C1</t>
        </is>
      </c>
      <c r="F6238" s="12" t="inlineStr">
        <is>
          <t>R1 MCC-C1</t>
        </is>
      </c>
      <c r="G6238" s="12" t="inlineStr"/>
      <c r="H6238" s="12" t="inlineStr">
        <is>
          <t xml:space="preserve">CO2 compression 3 x ~19 MW + dehydration: rooftop HVAC, exhaust fans, </t>
        </is>
      </c>
      <c r="I6238" s="12" t="inlineStr">
        <is>
          <t>LV 600 V</t>
        </is>
      </c>
      <c r="J6238" s="12" t="inlineStr">
        <is>
          <t>Type TC-ER 600 V 3/C Cu XHHW-2 + ground, PVC jacket</t>
        </is>
      </c>
      <c r="K6238" s="12" t="inlineStr">
        <is>
          <t>LV|3/C+G|3/0</t>
        </is>
      </c>
      <c r="L6238" s="12" t="inlineStr">
        <is>
          <t>3/C+G</t>
        </is>
      </c>
      <c r="M6238" s="12" t="inlineStr">
        <is>
          <t>3/0</t>
        </is>
      </c>
      <c r="N6238" s="12" t="n">
        <v>1</v>
      </c>
      <c r="O6238" s="12" t="n">
        <v>1</v>
      </c>
      <c r="P6238" s="12" t="n">
        <v>480</v>
      </c>
      <c r="Q6238" s="12" t="n">
        <v>30</v>
      </c>
      <c r="R6238" s="12" t="n">
        <v>42.5</v>
      </c>
      <c r="S6238" s="12" t="inlineStr">
        <is>
          <t>Tray</t>
        </is>
      </c>
      <c r="T6238" s="15" t="n">
        <v>1744</v>
      </c>
      <c r="U6238" s="15" t="n">
        <v>161</v>
      </c>
      <c r="V6238" s="15">
        <f>ROUNDUP((T6238+U6238+2*'Read Me'!$B$13)*(1+'Read Me'!$B$12),-1)</f>
        <v/>
      </c>
      <c r="W6238" s="15">
        <f>V6238*N6238*O6238</f>
        <v/>
      </c>
      <c r="X6238" s="12">
        <f>IF(LEFT(I6238,2)="MV",2*N6238*IF(L6238="1/C",O6238,1),0)</f>
        <v/>
      </c>
      <c r="Y6238" s="12">
        <f>IF(OR(LEFT(K6238,4)="LVAX",LEFT(K6238,6)="MV15AX",LEFT(K6238,4)="CTAX",LEFT(K6238,2)="W|"),2*N6238*O6238,0)</f>
        <v/>
      </c>
      <c r="Z6238" s="12" t="inlineStr">
        <is>
          <t>VD 2.5 %</t>
        </is>
      </c>
      <c r="AA6238" s="12">
        <f>N6238*O6238</f>
        <v/>
      </c>
    </row>
    <row r="6239">
      <c r="A6239" s="12" t="inlineStr">
        <is>
          <t>C-P-0013</t>
        </is>
      </c>
      <c r="B6239" s="12" t="inlineStr">
        <is>
          <t>C</t>
        </is>
      </c>
      <c r="C6239" s="12" t="inlineStr">
        <is>
          <t>Grid interface</t>
        </is>
      </c>
      <c r="D6239" s="12" t="inlineStr">
        <is>
          <t>Motor 8 of 10, 30 kW</t>
        </is>
      </c>
      <c r="E6239" s="12" t="inlineStr">
        <is>
          <t>MCC-C1</t>
        </is>
      </c>
      <c r="F6239" s="12" t="inlineStr">
        <is>
          <t>R1 MCC-C1</t>
        </is>
      </c>
      <c r="G6239" s="12" t="inlineStr"/>
      <c r="H6239" s="12" t="inlineStr">
        <is>
          <t xml:space="preserve">CO2 compression 3 x ~19 MW + dehydration: rooftop HVAC, exhaust fans, </t>
        </is>
      </c>
      <c r="I6239" s="12" t="inlineStr">
        <is>
          <t>LV 600 V</t>
        </is>
      </c>
      <c r="J6239" s="12" t="inlineStr">
        <is>
          <t>Type TC-ER 600 V 3/C Cu XHHW-2 + ground, PVC jacket</t>
        </is>
      </c>
      <c r="K6239" s="12" t="inlineStr">
        <is>
          <t>LV|3/C+G|3/0</t>
        </is>
      </c>
      <c r="L6239" s="12" t="inlineStr">
        <is>
          <t>3/C+G</t>
        </is>
      </c>
      <c r="M6239" s="12" t="inlineStr">
        <is>
          <t>3/0</t>
        </is>
      </c>
      <c r="N6239" s="12" t="n">
        <v>1</v>
      </c>
      <c r="O6239" s="12" t="n">
        <v>1</v>
      </c>
      <c r="P6239" s="12" t="n">
        <v>480</v>
      </c>
      <c r="Q6239" s="12" t="n">
        <v>30</v>
      </c>
      <c r="R6239" s="12" t="n">
        <v>42.5</v>
      </c>
      <c r="S6239" s="12" t="inlineStr">
        <is>
          <t>Tray</t>
        </is>
      </c>
      <c r="T6239" s="15" t="n">
        <v>1744</v>
      </c>
      <c r="U6239" s="15" t="n">
        <v>161</v>
      </c>
      <c r="V6239" s="15">
        <f>ROUNDUP((T6239+U6239+2*'Read Me'!$B$13)*(1+'Read Me'!$B$12),-1)</f>
        <v/>
      </c>
      <c r="W6239" s="15">
        <f>V6239*N6239*O6239</f>
        <v/>
      </c>
      <c r="X6239" s="12">
        <f>IF(LEFT(I6239,2)="MV",2*N6239*IF(L6239="1/C",O6239,1),0)</f>
        <v/>
      </c>
      <c r="Y6239" s="12">
        <f>IF(OR(LEFT(K6239,4)="LVAX",LEFT(K6239,6)="MV15AX",LEFT(K6239,4)="CTAX",LEFT(K6239,2)="W|"),2*N6239*O6239,0)</f>
        <v/>
      </c>
      <c r="Z6239" s="12" t="inlineStr">
        <is>
          <t>VD 2.5 %</t>
        </is>
      </c>
      <c r="AA6239" s="12">
        <f>N6239*O6239</f>
        <v/>
      </c>
    </row>
    <row r="6240">
      <c r="A6240" s="12" t="inlineStr">
        <is>
          <t>C-P-0014</t>
        </is>
      </c>
      <c r="B6240" s="12" t="inlineStr">
        <is>
          <t>C</t>
        </is>
      </c>
      <c r="C6240" s="12" t="inlineStr">
        <is>
          <t>Grid interface</t>
        </is>
      </c>
      <c r="D6240" s="12" t="inlineStr">
        <is>
          <t>Motor 9 of 10, 30 kW</t>
        </is>
      </c>
      <c r="E6240" s="12" t="inlineStr">
        <is>
          <t>MCC-C1</t>
        </is>
      </c>
      <c r="F6240" s="12" t="inlineStr">
        <is>
          <t>R1 MCC-C1</t>
        </is>
      </c>
      <c r="G6240" s="12" t="inlineStr"/>
      <c r="H6240" s="12" t="inlineStr">
        <is>
          <t xml:space="preserve">CO2 compression 3 x ~19 MW + dehydration: rooftop HVAC, exhaust fans, </t>
        </is>
      </c>
      <c r="I6240" s="12" t="inlineStr">
        <is>
          <t>LV 600 V</t>
        </is>
      </c>
      <c r="J6240" s="12" t="inlineStr">
        <is>
          <t>Type TC-ER 600 V 3/C Cu XHHW-2 + ground, PVC jacket</t>
        </is>
      </c>
      <c r="K6240" s="12" t="inlineStr">
        <is>
          <t>LV|3/C+G|3/0</t>
        </is>
      </c>
      <c r="L6240" s="12" t="inlineStr">
        <is>
          <t>3/C+G</t>
        </is>
      </c>
      <c r="M6240" s="12" t="inlineStr">
        <is>
          <t>3/0</t>
        </is>
      </c>
      <c r="N6240" s="12" t="n">
        <v>1</v>
      </c>
      <c r="O6240" s="12" t="n">
        <v>1</v>
      </c>
      <c r="P6240" s="12" t="n">
        <v>480</v>
      </c>
      <c r="Q6240" s="12" t="n">
        <v>30</v>
      </c>
      <c r="R6240" s="12" t="n">
        <v>42.5</v>
      </c>
      <c r="S6240" s="12" t="inlineStr">
        <is>
          <t>Tray</t>
        </is>
      </c>
      <c r="T6240" s="15" t="n">
        <v>1744</v>
      </c>
      <c r="U6240" s="15" t="n">
        <v>161</v>
      </c>
      <c r="V6240" s="15">
        <f>ROUNDUP((T6240+U6240+2*'Read Me'!$B$13)*(1+'Read Me'!$B$12),-1)</f>
        <v/>
      </c>
      <c r="W6240" s="15">
        <f>V6240*N6240*O6240</f>
        <v/>
      </c>
      <c r="X6240" s="12">
        <f>IF(LEFT(I6240,2)="MV",2*N6240*IF(L6240="1/C",O6240,1),0)</f>
        <v/>
      </c>
      <c r="Y6240" s="12">
        <f>IF(OR(LEFT(K6240,4)="LVAX",LEFT(K6240,6)="MV15AX",LEFT(K6240,4)="CTAX",LEFT(K6240,2)="W|"),2*N6240*O6240,0)</f>
        <v/>
      </c>
      <c r="Z6240" s="12" t="inlineStr">
        <is>
          <t>VD 2.5 %</t>
        </is>
      </c>
      <c r="AA6240" s="12">
        <f>N6240*O6240</f>
        <v/>
      </c>
    </row>
    <row r="6241">
      <c r="A6241" s="12" t="inlineStr">
        <is>
          <t>C-P-0015</t>
        </is>
      </c>
      <c r="B6241" s="12" t="inlineStr">
        <is>
          <t>C</t>
        </is>
      </c>
      <c r="C6241" s="12" t="inlineStr">
        <is>
          <t>Grid interface</t>
        </is>
      </c>
      <c r="D6241" s="12" t="inlineStr">
        <is>
          <t>Motor 10 of 10, 30 kW</t>
        </is>
      </c>
      <c r="E6241" s="12" t="inlineStr">
        <is>
          <t>MCC-C1</t>
        </is>
      </c>
      <c r="F6241" s="12" t="inlineStr">
        <is>
          <t>R1 MCC-C1</t>
        </is>
      </c>
      <c r="G6241" s="12" t="inlineStr"/>
      <c r="H6241" s="12" t="inlineStr">
        <is>
          <t xml:space="preserve">CO2 compression 3 x ~19 MW + dehydration: rooftop HVAC, exhaust fans, </t>
        </is>
      </c>
      <c r="I6241" s="12" t="inlineStr">
        <is>
          <t>LV 600 V</t>
        </is>
      </c>
      <c r="J6241" s="12" t="inlineStr">
        <is>
          <t>Type TC-ER 600 V 3/C Cu XHHW-2 + ground, PVC jacket</t>
        </is>
      </c>
      <c r="K6241" s="12" t="inlineStr">
        <is>
          <t>LV|3/C+G|3/0</t>
        </is>
      </c>
      <c r="L6241" s="12" t="inlineStr">
        <is>
          <t>3/C+G</t>
        </is>
      </c>
      <c r="M6241" s="12" t="inlineStr">
        <is>
          <t>3/0</t>
        </is>
      </c>
      <c r="N6241" s="12" t="n">
        <v>1</v>
      </c>
      <c r="O6241" s="12" t="n">
        <v>1</v>
      </c>
      <c r="P6241" s="12" t="n">
        <v>480</v>
      </c>
      <c r="Q6241" s="12" t="n">
        <v>30</v>
      </c>
      <c r="R6241" s="12" t="n">
        <v>42.5</v>
      </c>
      <c r="S6241" s="12" t="inlineStr">
        <is>
          <t>Tray</t>
        </is>
      </c>
      <c r="T6241" s="15" t="n">
        <v>1744</v>
      </c>
      <c r="U6241" s="15" t="n">
        <v>161</v>
      </c>
      <c r="V6241" s="15">
        <f>ROUNDUP((T6241+U6241+2*'Read Me'!$B$13)*(1+'Read Me'!$B$12),-1)</f>
        <v/>
      </c>
      <c r="W6241" s="15">
        <f>V6241*N6241*O6241</f>
        <v/>
      </c>
      <c r="X6241" s="12">
        <f>IF(LEFT(I6241,2)="MV",2*N6241*IF(L6241="1/C",O6241,1),0)</f>
        <v/>
      </c>
      <c r="Y6241" s="12">
        <f>IF(OR(LEFT(K6241,4)="LVAX",LEFT(K6241,6)="MV15AX",LEFT(K6241,4)="CTAX",LEFT(K6241,2)="W|"),2*N6241*O6241,0)</f>
        <v/>
      </c>
      <c r="Z6241" s="12" t="inlineStr">
        <is>
          <t>VD 2.5 %</t>
        </is>
      </c>
      <c r="AA6241" s="12">
        <f>N6241*O6241</f>
        <v/>
      </c>
    </row>
    <row r="6242">
      <c r="A6242" s="12" t="inlineStr">
        <is>
          <t>C-P-0016</t>
        </is>
      </c>
      <c r="B6242" s="12" t="inlineStr">
        <is>
          <t>C</t>
        </is>
      </c>
      <c r="C6242" s="12" t="inlineStr">
        <is>
          <t>Grid interface</t>
        </is>
      </c>
      <c r="D6242" s="12" t="inlineStr">
        <is>
          <t>480 V welding receptacle 1</t>
        </is>
      </c>
      <c r="E6242" s="12" t="inlineStr">
        <is>
          <t>MCC-C1</t>
        </is>
      </c>
      <c r="F6242" s="12" t="inlineStr">
        <is>
          <t>R1 MCC-C1</t>
        </is>
      </c>
      <c r="G6242" s="12" t="inlineStr"/>
      <c r="H6242" s="12" t="inlineStr">
        <is>
          <t xml:space="preserve">CO2 compression 3 x ~19 MW + dehydration: rooftop HVAC, exhaust fans, </t>
        </is>
      </c>
      <c r="I6242" s="12" t="inlineStr">
        <is>
          <t>LV 600 V</t>
        </is>
      </c>
      <c r="J6242" s="12" t="inlineStr">
        <is>
          <t>Type TC-ER 600 V 3/C Cu XHHW-2 + ground, PVC jacket</t>
        </is>
      </c>
      <c r="K6242" s="12" t="inlineStr">
        <is>
          <t>LV|3/C+G|250</t>
        </is>
      </c>
      <c r="L6242" s="12" t="inlineStr">
        <is>
          <t>3/C+G</t>
        </is>
      </c>
      <c r="M6242" s="12" t="inlineStr">
        <is>
          <t>250 kcmil</t>
        </is>
      </c>
      <c r="N6242" s="12" t="n">
        <v>1</v>
      </c>
      <c r="O6242" s="12" t="n">
        <v>1</v>
      </c>
      <c r="P6242" s="12" t="n">
        <v>480</v>
      </c>
      <c r="Q6242" s="12" t="n">
        <v>60</v>
      </c>
      <c r="R6242" s="12" t="n">
        <v>76</v>
      </c>
      <c r="S6242" s="12" t="inlineStr">
        <is>
          <t>Tray</t>
        </is>
      </c>
      <c r="T6242" s="15" t="n">
        <v>1744</v>
      </c>
      <c r="U6242" s="15" t="n">
        <v>161</v>
      </c>
      <c r="V6242" s="15">
        <f>ROUNDUP((T6242+U6242+2*'Read Me'!$B$13)*(1+'Read Me'!$B$12),-1)</f>
        <v/>
      </c>
      <c r="W6242" s="15">
        <f>V6242*N6242*O6242</f>
        <v/>
      </c>
      <c r="X6242" s="12">
        <f>IF(LEFT(I6242,2)="MV",2*N6242*IF(L6242="1/C",O6242,1),0)</f>
        <v/>
      </c>
      <c r="Y6242" s="12">
        <f>IF(OR(LEFT(K6242,4)="LVAX",LEFT(K6242,6)="MV15AX",LEFT(K6242,4)="CTAX",LEFT(K6242,2)="W|"),2*N6242*O6242,0)</f>
        <v/>
      </c>
      <c r="Z6242" s="12" t="inlineStr">
        <is>
          <t>VD 3.0 %</t>
        </is>
      </c>
      <c r="AA6242" s="12">
        <f>N6242*O6242</f>
        <v/>
      </c>
    </row>
    <row r="6243">
      <c r="A6243" s="12" t="inlineStr">
        <is>
          <t>C-P-0017</t>
        </is>
      </c>
      <c r="B6243" s="12" t="inlineStr">
        <is>
          <t>C</t>
        </is>
      </c>
      <c r="C6243" s="12" t="inlineStr">
        <is>
          <t>Grid interface</t>
        </is>
      </c>
      <c r="D6243" s="12" t="inlineStr">
        <is>
          <t>480 V welding receptacle 2</t>
        </is>
      </c>
      <c r="E6243" s="12" t="inlineStr">
        <is>
          <t>MCC-C1</t>
        </is>
      </c>
      <c r="F6243" s="12" t="inlineStr">
        <is>
          <t>R1 MCC-C1</t>
        </is>
      </c>
      <c r="G6243" s="12" t="inlineStr"/>
      <c r="H6243" s="12" t="inlineStr">
        <is>
          <t xml:space="preserve">CO2 compression 3 x ~19 MW + dehydration: rooftop HVAC, exhaust fans, </t>
        </is>
      </c>
      <c r="I6243" s="12" t="inlineStr">
        <is>
          <t>LV 600 V</t>
        </is>
      </c>
      <c r="J6243" s="12" t="inlineStr">
        <is>
          <t>Type TC-ER 600 V 3/C Cu XHHW-2 + ground, PVC jacket</t>
        </is>
      </c>
      <c r="K6243" s="12" t="inlineStr">
        <is>
          <t>LV|3/C+G|250</t>
        </is>
      </c>
      <c r="L6243" s="12" t="inlineStr">
        <is>
          <t>3/C+G</t>
        </is>
      </c>
      <c r="M6243" s="12" t="inlineStr">
        <is>
          <t>250 kcmil</t>
        </is>
      </c>
      <c r="N6243" s="12" t="n">
        <v>1</v>
      </c>
      <c r="O6243" s="12" t="n">
        <v>1</v>
      </c>
      <c r="P6243" s="12" t="n">
        <v>480</v>
      </c>
      <c r="Q6243" s="12" t="n">
        <v>60</v>
      </c>
      <c r="R6243" s="12" t="n">
        <v>76</v>
      </c>
      <c r="S6243" s="12" t="inlineStr">
        <is>
          <t>Tray</t>
        </is>
      </c>
      <c r="T6243" s="15" t="n">
        <v>1744</v>
      </c>
      <c r="U6243" s="15" t="n">
        <v>161</v>
      </c>
      <c r="V6243" s="15">
        <f>ROUNDUP((T6243+U6243+2*'Read Me'!$B$13)*(1+'Read Me'!$B$12),-1)</f>
        <v/>
      </c>
      <c r="W6243" s="15">
        <f>V6243*N6243*O6243</f>
        <v/>
      </c>
      <c r="X6243" s="12">
        <f>IF(LEFT(I6243,2)="MV",2*N6243*IF(L6243="1/C",O6243,1),0)</f>
        <v/>
      </c>
      <c r="Y6243" s="12">
        <f>IF(OR(LEFT(K6243,4)="LVAX",LEFT(K6243,6)="MV15AX",LEFT(K6243,4)="CTAX",LEFT(K6243,2)="W|"),2*N6243*O6243,0)</f>
        <v/>
      </c>
      <c r="Z6243" s="12" t="inlineStr">
        <is>
          <t>VD 3.0 %</t>
        </is>
      </c>
      <c r="AA6243" s="12">
        <f>N6243*O6243</f>
        <v/>
      </c>
    </row>
    <row r="6244">
      <c r="A6244" s="12" t="inlineStr">
        <is>
          <t>C-P-0018</t>
        </is>
      </c>
      <c r="B6244" s="12" t="inlineStr">
        <is>
          <t>C</t>
        </is>
      </c>
      <c r="C6244" s="12" t="inlineStr">
        <is>
          <t>Grid interface</t>
        </is>
      </c>
      <c r="D6244" s="12" t="inlineStr">
        <is>
          <t>480 V welding receptacle 3</t>
        </is>
      </c>
      <c r="E6244" s="12" t="inlineStr">
        <is>
          <t>MCC-C1</t>
        </is>
      </c>
      <c r="F6244" s="12" t="inlineStr">
        <is>
          <t>R1 MCC-C1</t>
        </is>
      </c>
      <c r="G6244" s="12" t="inlineStr"/>
      <c r="H6244" s="12" t="inlineStr">
        <is>
          <t xml:space="preserve">CO2 compression 3 x ~19 MW + dehydration: rooftop HVAC, exhaust fans, </t>
        </is>
      </c>
      <c r="I6244" s="12" t="inlineStr">
        <is>
          <t>LV 600 V</t>
        </is>
      </c>
      <c r="J6244" s="12" t="inlineStr">
        <is>
          <t>Type TC-ER 600 V 3/C Cu XHHW-2 + ground, PVC jacket</t>
        </is>
      </c>
      <c r="K6244" s="12" t="inlineStr">
        <is>
          <t>LV|3/C+G|250</t>
        </is>
      </c>
      <c r="L6244" s="12" t="inlineStr">
        <is>
          <t>3/C+G</t>
        </is>
      </c>
      <c r="M6244" s="12" t="inlineStr">
        <is>
          <t>250 kcmil</t>
        </is>
      </c>
      <c r="N6244" s="12" t="n">
        <v>1</v>
      </c>
      <c r="O6244" s="12" t="n">
        <v>1</v>
      </c>
      <c r="P6244" s="12" t="n">
        <v>480</v>
      </c>
      <c r="Q6244" s="12" t="n">
        <v>60</v>
      </c>
      <c r="R6244" s="12" t="n">
        <v>76</v>
      </c>
      <c r="S6244" s="12" t="inlineStr">
        <is>
          <t>Tray</t>
        </is>
      </c>
      <c r="T6244" s="15" t="n">
        <v>1744</v>
      </c>
      <c r="U6244" s="15" t="n">
        <v>161</v>
      </c>
      <c r="V6244" s="15">
        <f>ROUNDUP((T6244+U6244+2*'Read Me'!$B$13)*(1+'Read Me'!$B$12),-1)</f>
        <v/>
      </c>
      <c r="W6244" s="15">
        <f>V6244*N6244*O6244</f>
        <v/>
      </c>
      <c r="X6244" s="12">
        <f>IF(LEFT(I6244,2)="MV",2*N6244*IF(L6244="1/C",O6244,1),0)</f>
        <v/>
      </c>
      <c r="Y6244" s="12">
        <f>IF(OR(LEFT(K6244,4)="LVAX",LEFT(K6244,6)="MV15AX",LEFT(K6244,4)="CTAX",LEFT(K6244,2)="W|"),2*N6244*O6244,0)</f>
        <v/>
      </c>
      <c r="Z6244" s="12" t="inlineStr">
        <is>
          <t>VD 3.0 %</t>
        </is>
      </c>
      <c r="AA6244" s="12">
        <f>N6244*O6244</f>
        <v/>
      </c>
    </row>
    <row r="6245">
      <c r="A6245" s="12" t="inlineStr">
        <is>
          <t>C-P-0019</t>
        </is>
      </c>
      <c r="B6245" s="12" t="inlineStr">
        <is>
          <t>C</t>
        </is>
      </c>
      <c r="C6245" s="12" t="inlineStr">
        <is>
          <t>Grid interface</t>
        </is>
      </c>
      <c r="D6245" s="12" t="inlineStr">
        <is>
          <t>480 V welding receptacle 4</t>
        </is>
      </c>
      <c r="E6245" s="12" t="inlineStr">
        <is>
          <t>MCC-C1</t>
        </is>
      </c>
      <c r="F6245" s="12" t="inlineStr">
        <is>
          <t>R1 MCC-C1</t>
        </is>
      </c>
      <c r="G6245" s="12" t="inlineStr"/>
      <c r="H6245" s="12" t="inlineStr">
        <is>
          <t xml:space="preserve">CO2 compression 3 x ~19 MW + dehydration: rooftop HVAC, exhaust fans, </t>
        </is>
      </c>
      <c r="I6245" s="12" t="inlineStr">
        <is>
          <t>LV 600 V</t>
        </is>
      </c>
      <c r="J6245" s="12" t="inlineStr">
        <is>
          <t>Type TC-ER 600 V 3/C Cu XHHW-2 + ground, PVC jacket</t>
        </is>
      </c>
      <c r="K6245" s="12" t="inlineStr">
        <is>
          <t>LV|3/C+G|250</t>
        </is>
      </c>
      <c r="L6245" s="12" t="inlineStr">
        <is>
          <t>3/C+G</t>
        </is>
      </c>
      <c r="M6245" s="12" t="inlineStr">
        <is>
          <t>250 kcmil</t>
        </is>
      </c>
      <c r="N6245" s="12" t="n">
        <v>1</v>
      </c>
      <c r="O6245" s="12" t="n">
        <v>1</v>
      </c>
      <c r="P6245" s="12" t="n">
        <v>480</v>
      </c>
      <c r="Q6245" s="12" t="n">
        <v>60</v>
      </c>
      <c r="R6245" s="12" t="n">
        <v>76</v>
      </c>
      <c r="S6245" s="12" t="inlineStr">
        <is>
          <t>Tray</t>
        </is>
      </c>
      <c r="T6245" s="15" t="n">
        <v>1744</v>
      </c>
      <c r="U6245" s="15" t="n">
        <v>161</v>
      </c>
      <c r="V6245" s="15">
        <f>ROUNDUP((T6245+U6245+2*'Read Me'!$B$13)*(1+'Read Me'!$B$12),-1)</f>
        <v/>
      </c>
      <c r="W6245" s="15">
        <f>V6245*N6245*O6245</f>
        <v/>
      </c>
      <c r="X6245" s="12">
        <f>IF(LEFT(I6245,2)="MV",2*N6245*IF(L6245="1/C",O6245,1),0)</f>
        <v/>
      </c>
      <c r="Y6245" s="12">
        <f>IF(OR(LEFT(K6245,4)="LVAX",LEFT(K6245,6)="MV15AX",LEFT(K6245,4)="CTAX",LEFT(K6245,2)="W|"),2*N6245*O6245,0)</f>
        <v/>
      </c>
      <c r="Z6245" s="12" t="inlineStr">
        <is>
          <t>VD 3.0 %</t>
        </is>
      </c>
      <c r="AA6245" s="12">
        <f>N6245*O6245</f>
        <v/>
      </c>
    </row>
    <row r="6246">
      <c r="A6246" s="12" t="inlineStr">
        <is>
          <t>C-P-0020</t>
        </is>
      </c>
      <c r="B6246" s="12" t="inlineStr">
        <is>
          <t>C</t>
        </is>
      </c>
      <c r="C6246" s="12" t="inlineStr">
        <is>
          <t>Grid interface</t>
        </is>
      </c>
      <c r="D6246" s="12" t="inlineStr">
        <is>
          <t>Motor 1 of 2, 250 kW</t>
        </is>
      </c>
      <c r="E6246" s="12" t="inlineStr">
        <is>
          <t>MCC-C1</t>
        </is>
      </c>
      <c r="F6246" s="12" t="inlineStr">
        <is>
          <t>R1 MCC-C1</t>
        </is>
      </c>
      <c r="G6246" s="12" t="inlineStr"/>
      <c r="H6246" s="12" t="inlineStr">
        <is>
          <t>Small-bore piping: instrument air, service water, nitrogen, HRSG drain</t>
        </is>
      </c>
      <c r="I6246" s="12" t="inlineStr">
        <is>
          <t>LV 600 V</t>
        </is>
      </c>
      <c r="J6246" s="12" t="inlineStr">
        <is>
          <t>Type TC-ER 600 V 3/C Cu XHHW-2 + ground, PVC jacket</t>
        </is>
      </c>
      <c r="K6246" s="12" t="inlineStr">
        <is>
          <t>LV|3/C+G|250</t>
        </is>
      </c>
      <c r="L6246" s="12" t="inlineStr">
        <is>
          <t>3/C+G</t>
        </is>
      </c>
      <c r="M6246" s="12" t="inlineStr">
        <is>
          <t>250 kcmil</t>
        </is>
      </c>
      <c r="N6246" s="12" t="n">
        <v>2</v>
      </c>
      <c r="O6246" s="12" t="n">
        <v>1</v>
      </c>
      <c r="P6246" s="12" t="n">
        <v>480</v>
      </c>
      <c r="Q6246" s="12" t="n">
        <v>250</v>
      </c>
      <c r="R6246" s="12" t="n">
        <v>353.8</v>
      </c>
      <c r="S6246" s="12" t="inlineStr">
        <is>
          <t>Tray</t>
        </is>
      </c>
      <c r="T6246" s="15" t="n">
        <v>614</v>
      </c>
      <c r="U6246" s="15" t="n">
        <v>145</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C-P-0021</t>
        </is>
      </c>
      <c r="B6247" s="12" t="inlineStr">
        <is>
          <t>C</t>
        </is>
      </c>
      <c r="C6247" s="12" t="inlineStr">
        <is>
          <t>Grid interface</t>
        </is>
      </c>
      <c r="D6247" s="12" t="inlineStr">
        <is>
          <t>Motor 2 of 2, 250 kW</t>
        </is>
      </c>
      <c r="E6247" s="12" t="inlineStr">
        <is>
          <t>MCC-C1</t>
        </is>
      </c>
      <c r="F6247" s="12" t="inlineStr">
        <is>
          <t>R1 MCC-C1</t>
        </is>
      </c>
      <c r="G6247" s="12" t="inlineStr"/>
      <c r="H6247" s="12" t="inlineStr">
        <is>
          <t>Small-bore piping: instrument air, service water, nitrogen, HRSG drain</t>
        </is>
      </c>
      <c r="I6247" s="12" t="inlineStr">
        <is>
          <t>LV 600 V</t>
        </is>
      </c>
      <c r="J6247" s="12" t="inlineStr">
        <is>
          <t>Type TC-ER 600 V 3/C Cu XHHW-2 + ground, PVC jacket</t>
        </is>
      </c>
      <c r="K6247" s="12" t="inlineStr">
        <is>
          <t>LV|3/C+G|250</t>
        </is>
      </c>
      <c r="L6247" s="12" t="inlineStr">
        <is>
          <t>3/C+G</t>
        </is>
      </c>
      <c r="M6247" s="12" t="inlineStr">
        <is>
          <t>250 kcmil</t>
        </is>
      </c>
      <c r="N6247" s="12" t="n">
        <v>2</v>
      </c>
      <c r="O6247" s="12" t="n">
        <v>1</v>
      </c>
      <c r="P6247" s="12" t="n">
        <v>480</v>
      </c>
      <c r="Q6247" s="12" t="n">
        <v>250</v>
      </c>
      <c r="R6247" s="12" t="n">
        <v>353.8</v>
      </c>
      <c r="S6247" s="12" t="inlineStr">
        <is>
          <t>Tray</t>
        </is>
      </c>
      <c r="T6247" s="15" t="n">
        <v>614</v>
      </c>
      <c r="U6247" s="15" t="n">
        <v>145</v>
      </c>
      <c r="V6247" s="15">
        <f>ROUNDUP((T6247+U6247+2*'Read Me'!$B$13)*(1+'Read Me'!$B$12),-1)</f>
        <v/>
      </c>
      <c r="W6247" s="15">
        <f>V6247*N6247*O6247</f>
        <v/>
      </c>
      <c r="X6247" s="12">
        <f>IF(LEFT(I6247,2)="MV",2*N6247*IF(L6247="1/C",O6247,1),0)</f>
        <v/>
      </c>
      <c r="Y6247" s="12">
        <f>IF(OR(LEFT(K6247,4)="LVAX",LEFT(K6247,6)="MV15AX",LEFT(K6247,4)="CTAX",LEFT(K6247,2)="W|"),2*N6247*O6247,0)</f>
        <v/>
      </c>
      <c r="Z6247" s="12" t="inlineStr">
        <is>
          <t>VD 2.7 %</t>
        </is>
      </c>
      <c r="AA6247" s="12">
        <f>N6247*O6247</f>
        <v/>
      </c>
    </row>
    <row r="6248">
      <c r="A6248" s="12" t="inlineStr">
        <is>
          <t>C-P-0022</t>
        </is>
      </c>
      <c r="B6248" s="12" t="inlineStr">
        <is>
          <t>C</t>
        </is>
      </c>
      <c r="C6248" s="12" t="inlineStr">
        <is>
          <t>Grid interface</t>
        </is>
      </c>
      <c r="D6248" s="12" t="inlineStr">
        <is>
          <t>Motor 1 of 8, 15 kW</t>
        </is>
      </c>
      <c r="E6248" s="12" t="inlineStr">
        <is>
          <t>MCC-C1</t>
        </is>
      </c>
      <c r="F6248" s="12" t="inlineStr">
        <is>
          <t>R1 MCC-C1</t>
        </is>
      </c>
      <c r="G6248" s="12" t="inlineStr"/>
      <c r="H6248" s="12" t="inlineStr">
        <is>
          <t>Wastewater treatment: rooftop HVAC, exhaust fans, vents</t>
        </is>
      </c>
      <c r="I6248" s="12" t="inlineStr">
        <is>
          <t>LV 600 V</t>
        </is>
      </c>
      <c r="J6248" s="12" t="inlineStr">
        <is>
          <t>Type TC-ER 600 V 3/C Cu XHHW-2 + ground, PVC jacket</t>
        </is>
      </c>
      <c r="K6248" s="12" t="inlineStr">
        <is>
          <t>LV|3/C+G|1</t>
        </is>
      </c>
      <c r="L6248" s="12" t="inlineStr">
        <is>
          <t>3/C+G</t>
        </is>
      </c>
      <c r="M6248" s="12" t="inlineStr">
        <is>
          <t>1</t>
        </is>
      </c>
      <c r="N6248" s="12" t="n">
        <v>1</v>
      </c>
      <c r="O6248" s="12" t="n">
        <v>1</v>
      </c>
      <c r="P6248" s="12" t="n">
        <v>480</v>
      </c>
      <c r="Q6248" s="12" t="n">
        <v>15</v>
      </c>
      <c r="R6248" s="12" t="n">
        <v>21.2</v>
      </c>
      <c r="S6248" s="12" t="inlineStr">
        <is>
          <t>Duct bank</t>
        </is>
      </c>
      <c r="T6248" s="15" t="n">
        <v>1859</v>
      </c>
      <c r="U6248" s="15" t="n">
        <v>228</v>
      </c>
      <c r="V6248" s="15">
        <f>ROUNDUP((T6248+U6248+2*'Read Me'!$B$13)*(1+'Read Me'!$B$12),-1)</f>
        <v/>
      </c>
      <c r="W6248" s="15">
        <f>V6248*N6248*O6248</f>
        <v/>
      </c>
      <c r="X6248" s="12">
        <f>IF(LEFT(I6248,2)="MV",2*N6248*IF(L6248="1/C",O6248,1),0)</f>
        <v/>
      </c>
      <c r="Y6248" s="12">
        <f>IF(OR(LEFT(K6248,4)="LVAX",LEFT(K6248,6)="MV15AX",LEFT(K6248,4)="CTAX",LEFT(K6248,2)="W|"),2*N6248*O6248,0)</f>
        <v/>
      </c>
      <c r="Z6248" s="12" t="inlineStr">
        <is>
          <t>VD 2.7 %</t>
        </is>
      </c>
      <c r="AA6248" s="12">
        <f>N6248*O6248</f>
        <v/>
      </c>
    </row>
    <row r="6249">
      <c r="A6249" s="12" t="inlineStr">
        <is>
          <t>C-P-0023</t>
        </is>
      </c>
      <c r="B6249" s="12" t="inlineStr">
        <is>
          <t>C</t>
        </is>
      </c>
      <c r="C6249" s="12" t="inlineStr">
        <is>
          <t>Grid interface</t>
        </is>
      </c>
      <c r="D6249" s="12" t="inlineStr">
        <is>
          <t>Motor 2 of 8, 15 kW</t>
        </is>
      </c>
      <c r="E6249" s="12" t="inlineStr">
        <is>
          <t>MCC-C1</t>
        </is>
      </c>
      <c r="F6249" s="12" t="inlineStr">
        <is>
          <t>R1 MCC-C1</t>
        </is>
      </c>
      <c r="G6249" s="12" t="inlineStr"/>
      <c r="H6249" s="12" t="inlineStr">
        <is>
          <t>Wastewater treatment: rooftop HVAC, exhaust fans, vents</t>
        </is>
      </c>
      <c r="I6249" s="12" t="inlineStr">
        <is>
          <t>LV 600 V</t>
        </is>
      </c>
      <c r="J6249" s="12" t="inlineStr">
        <is>
          <t>Type TC-ER 600 V 3/C Cu XHHW-2 + ground, PVC jacket</t>
        </is>
      </c>
      <c r="K6249" s="12" t="inlineStr">
        <is>
          <t>LV|3/C+G|1</t>
        </is>
      </c>
      <c r="L6249" s="12" t="inlineStr">
        <is>
          <t>3/C+G</t>
        </is>
      </c>
      <c r="M6249" s="12" t="inlineStr">
        <is>
          <t>1</t>
        </is>
      </c>
      <c r="N6249" s="12" t="n">
        <v>1</v>
      </c>
      <c r="O6249" s="12" t="n">
        <v>1</v>
      </c>
      <c r="P6249" s="12" t="n">
        <v>480</v>
      </c>
      <c r="Q6249" s="12" t="n">
        <v>15</v>
      </c>
      <c r="R6249" s="12" t="n">
        <v>21.2</v>
      </c>
      <c r="S6249" s="12" t="inlineStr">
        <is>
          <t>Duct bank</t>
        </is>
      </c>
      <c r="T6249" s="15" t="n">
        <v>1859</v>
      </c>
      <c r="U6249" s="15" t="n">
        <v>228</v>
      </c>
      <c r="V6249" s="15">
        <f>ROUNDUP((T6249+U6249+2*'Read Me'!$B$13)*(1+'Read Me'!$B$12),-1)</f>
        <v/>
      </c>
      <c r="W6249" s="15">
        <f>V6249*N6249*O6249</f>
        <v/>
      </c>
      <c r="X6249" s="12">
        <f>IF(LEFT(I6249,2)="MV",2*N6249*IF(L6249="1/C",O6249,1),0)</f>
        <v/>
      </c>
      <c r="Y6249" s="12">
        <f>IF(OR(LEFT(K6249,4)="LVAX",LEFT(K6249,6)="MV15AX",LEFT(K6249,4)="CTAX",LEFT(K6249,2)="W|"),2*N6249*O6249,0)</f>
        <v/>
      </c>
      <c r="Z6249" s="12" t="inlineStr">
        <is>
          <t>VD 2.7 %</t>
        </is>
      </c>
      <c r="AA6249" s="12">
        <f>N6249*O6249</f>
        <v/>
      </c>
    </row>
    <row r="6250">
      <c r="A6250" s="12" t="inlineStr">
        <is>
          <t>C-P-0024</t>
        </is>
      </c>
      <c r="B6250" s="12" t="inlineStr">
        <is>
          <t>C</t>
        </is>
      </c>
      <c r="C6250" s="12" t="inlineStr">
        <is>
          <t>Grid interface</t>
        </is>
      </c>
      <c r="D6250" s="12" t="inlineStr">
        <is>
          <t>Motor 3 of 8, 15 kW</t>
        </is>
      </c>
      <c r="E6250" s="12" t="inlineStr">
        <is>
          <t>MCC-C1</t>
        </is>
      </c>
      <c r="F6250" s="12" t="inlineStr">
        <is>
          <t>R1 MCC-C1</t>
        </is>
      </c>
      <c r="G6250" s="12" t="inlineStr"/>
      <c r="H6250" s="12" t="inlineStr">
        <is>
          <t>Wastewater treatment: rooftop HVAC, exhaust fans, vents</t>
        </is>
      </c>
      <c r="I6250" s="12" t="inlineStr">
        <is>
          <t>LV 600 V</t>
        </is>
      </c>
      <c r="J6250" s="12" t="inlineStr">
        <is>
          <t>Type TC-ER 600 V 3/C Cu XHHW-2 + ground, PVC jacket</t>
        </is>
      </c>
      <c r="K6250" s="12" t="inlineStr">
        <is>
          <t>LV|3/C+G|1</t>
        </is>
      </c>
      <c r="L6250" s="12" t="inlineStr">
        <is>
          <t>3/C+G</t>
        </is>
      </c>
      <c r="M6250" s="12" t="inlineStr">
        <is>
          <t>1</t>
        </is>
      </c>
      <c r="N6250" s="12" t="n">
        <v>1</v>
      </c>
      <c r="O6250" s="12" t="n">
        <v>1</v>
      </c>
      <c r="P6250" s="12" t="n">
        <v>480</v>
      </c>
      <c r="Q6250" s="12" t="n">
        <v>15</v>
      </c>
      <c r="R6250" s="12" t="n">
        <v>21.2</v>
      </c>
      <c r="S6250" s="12" t="inlineStr">
        <is>
          <t>Duct bank</t>
        </is>
      </c>
      <c r="T6250" s="15" t="n">
        <v>1859</v>
      </c>
      <c r="U6250" s="15" t="n">
        <v>228</v>
      </c>
      <c r="V6250" s="15">
        <f>ROUNDUP((T6250+U6250+2*'Read Me'!$B$13)*(1+'Read Me'!$B$12),-1)</f>
        <v/>
      </c>
      <c r="W6250" s="15">
        <f>V6250*N6250*O6250</f>
        <v/>
      </c>
      <c r="X6250" s="12">
        <f>IF(LEFT(I6250,2)="MV",2*N6250*IF(L6250="1/C",O6250,1),0)</f>
        <v/>
      </c>
      <c r="Y6250" s="12">
        <f>IF(OR(LEFT(K6250,4)="LVAX",LEFT(K6250,6)="MV15AX",LEFT(K6250,4)="CTAX",LEFT(K6250,2)="W|"),2*N6250*O6250,0)</f>
        <v/>
      </c>
      <c r="Z6250" s="12" t="inlineStr">
        <is>
          <t>VD 2.7 %</t>
        </is>
      </c>
      <c r="AA6250" s="12">
        <f>N6250*O6250</f>
        <v/>
      </c>
    </row>
    <row r="6251">
      <c r="A6251" s="12" t="inlineStr">
        <is>
          <t>C-P-0025</t>
        </is>
      </c>
      <c r="B6251" s="12" t="inlineStr">
        <is>
          <t>C</t>
        </is>
      </c>
      <c r="C6251" s="12" t="inlineStr">
        <is>
          <t>Grid interface</t>
        </is>
      </c>
      <c r="D6251" s="12" t="inlineStr">
        <is>
          <t>Motor 4 of 8, 15 kW</t>
        </is>
      </c>
      <c r="E6251" s="12" t="inlineStr">
        <is>
          <t>MCC-C1</t>
        </is>
      </c>
      <c r="F6251" s="12" t="inlineStr">
        <is>
          <t>R1 MCC-C1</t>
        </is>
      </c>
      <c r="G6251" s="12" t="inlineStr"/>
      <c r="H6251" s="12" t="inlineStr">
        <is>
          <t>Wastewater treatment: rooftop HVAC, exhaust fans, vents</t>
        </is>
      </c>
      <c r="I6251" s="12" t="inlineStr">
        <is>
          <t>LV 600 V</t>
        </is>
      </c>
      <c r="J6251" s="12" t="inlineStr">
        <is>
          <t>Type TC-ER 600 V 3/C Cu XHHW-2 + ground, PVC jacket</t>
        </is>
      </c>
      <c r="K6251" s="12" t="inlineStr">
        <is>
          <t>LV|3/C+G|1</t>
        </is>
      </c>
      <c r="L6251" s="12" t="inlineStr">
        <is>
          <t>3/C+G</t>
        </is>
      </c>
      <c r="M6251" s="12" t="inlineStr">
        <is>
          <t>1</t>
        </is>
      </c>
      <c r="N6251" s="12" t="n">
        <v>1</v>
      </c>
      <c r="O6251" s="12" t="n">
        <v>1</v>
      </c>
      <c r="P6251" s="12" t="n">
        <v>480</v>
      </c>
      <c r="Q6251" s="12" t="n">
        <v>15</v>
      </c>
      <c r="R6251" s="12" t="n">
        <v>21.2</v>
      </c>
      <c r="S6251" s="12" t="inlineStr">
        <is>
          <t>Duct bank</t>
        </is>
      </c>
      <c r="T6251" s="15" t="n">
        <v>1859</v>
      </c>
      <c r="U6251" s="15" t="n">
        <v>228</v>
      </c>
      <c r="V6251" s="15">
        <f>ROUNDUP((T6251+U6251+2*'Read Me'!$B$13)*(1+'Read Me'!$B$12),-1)</f>
        <v/>
      </c>
      <c r="W6251" s="15">
        <f>V6251*N6251*O6251</f>
        <v/>
      </c>
      <c r="X6251" s="12">
        <f>IF(LEFT(I6251,2)="MV",2*N6251*IF(L6251="1/C",O6251,1),0)</f>
        <v/>
      </c>
      <c r="Y6251" s="12">
        <f>IF(OR(LEFT(K6251,4)="LVAX",LEFT(K6251,6)="MV15AX",LEFT(K6251,4)="CTAX",LEFT(K6251,2)="W|"),2*N6251*O6251,0)</f>
        <v/>
      </c>
      <c r="Z6251" s="12" t="inlineStr">
        <is>
          <t>VD 2.7 %</t>
        </is>
      </c>
      <c r="AA6251" s="12">
        <f>N6251*O6251</f>
        <v/>
      </c>
    </row>
    <row r="6252">
      <c r="A6252" s="12" t="inlineStr">
        <is>
          <t>C-P-0026</t>
        </is>
      </c>
      <c r="B6252" s="12" t="inlineStr">
        <is>
          <t>C</t>
        </is>
      </c>
      <c r="C6252" s="12" t="inlineStr">
        <is>
          <t>Grid interface</t>
        </is>
      </c>
      <c r="D6252" s="12" t="inlineStr">
        <is>
          <t>Motor 5 of 8, 15 kW</t>
        </is>
      </c>
      <c r="E6252" s="12" t="inlineStr">
        <is>
          <t>MCC-C1</t>
        </is>
      </c>
      <c r="F6252" s="12" t="inlineStr">
        <is>
          <t>R1 MCC-C1</t>
        </is>
      </c>
      <c r="G6252" s="12" t="inlineStr"/>
      <c r="H6252" s="12" t="inlineStr">
        <is>
          <t>Wastewater treatment: rooftop HVAC, exhaust fans, vents</t>
        </is>
      </c>
      <c r="I6252" s="12" t="inlineStr">
        <is>
          <t>LV 600 V</t>
        </is>
      </c>
      <c r="J6252" s="12" t="inlineStr">
        <is>
          <t>Type TC-ER 600 V 3/C Cu XHHW-2 + ground, PVC jacket</t>
        </is>
      </c>
      <c r="K6252" s="12" t="inlineStr">
        <is>
          <t>LV|3/C+G|1</t>
        </is>
      </c>
      <c r="L6252" s="12" t="inlineStr">
        <is>
          <t>3/C+G</t>
        </is>
      </c>
      <c r="M6252" s="12" t="inlineStr">
        <is>
          <t>1</t>
        </is>
      </c>
      <c r="N6252" s="12" t="n">
        <v>1</v>
      </c>
      <c r="O6252" s="12" t="n">
        <v>1</v>
      </c>
      <c r="P6252" s="12" t="n">
        <v>480</v>
      </c>
      <c r="Q6252" s="12" t="n">
        <v>15</v>
      </c>
      <c r="R6252" s="12" t="n">
        <v>21.2</v>
      </c>
      <c r="S6252" s="12" t="inlineStr">
        <is>
          <t>Duct bank</t>
        </is>
      </c>
      <c r="T6252" s="15" t="n">
        <v>1859</v>
      </c>
      <c r="U6252" s="15" t="n">
        <v>228</v>
      </c>
      <c r="V6252" s="15">
        <f>ROUNDUP((T6252+U6252+2*'Read Me'!$B$13)*(1+'Read Me'!$B$12),-1)</f>
        <v/>
      </c>
      <c r="W6252" s="15">
        <f>V6252*N6252*O6252</f>
        <v/>
      </c>
      <c r="X6252" s="12">
        <f>IF(LEFT(I6252,2)="MV",2*N6252*IF(L6252="1/C",O6252,1),0)</f>
        <v/>
      </c>
      <c r="Y6252" s="12">
        <f>IF(OR(LEFT(K6252,4)="LVAX",LEFT(K6252,6)="MV15AX",LEFT(K6252,4)="CTAX",LEFT(K6252,2)="W|"),2*N6252*O6252,0)</f>
        <v/>
      </c>
      <c r="Z6252" s="12" t="inlineStr">
        <is>
          <t>VD 2.7 %</t>
        </is>
      </c>
      <c r="AA6252" s="12">
        <f>N6252*O6252</f>
        <v/>
      </c>
    </row>
    <row r="6253">
      <c r="A6253" s="12" t="inlineStr">
        <is>
          <t>C-P-0027</t>
        </is>
      </c>
      <c r="B6253" s="12" t="inlineStr">
        <is>
          <t>C</t>
        </is>
      </c>
      <c r="C6253" s="12" t="inlineStr">
        <is>
          <t>Grid interface</t>
        </is>
      </c>
      <c r="D6253" s="12" t="inlineStr">
        <is>
          <t>Motor 6 of 8, 15 kW</t>
        </is>
      </c>
      <c r="E6253" s="12" t="inlineStr">
        <is>
          <t>MCC-C1</t>
        </is>
      </c>
      <c r="F6253" s="12" t="inlineStr">
        <is>
          <t>R1 MCC-C1</t>
        </is>
      </c>
      <c r="G6253" s="12" t="inlineStr"/>
      <c r="H6253" s="12" t="inlineStr">
        <is>
          <t>Wastewater treatment: rooftop HVAC, exhaust fans, vents</t>
        </is>
      </c>
      <c r="I6253" s="12" t="inlineStr">
        <is>
          <t>LV 600 V</t>
        </is>
      </c>
      <c r="J6253" s="12" t="inlineStr">
        <is>
          <t>Type TC-ER 600 V 3/C Cu XHHW-2 + ground, PVC jacket</t>
        </is>
      </c>
      <c r="K6253" s="12" t="inlineStr">
        <is>
          <t>LV|3/C+G|1</t>
        </is>
      </c>
      <c r="L6253" s="12" t="inlineStr">
        <is>
          <t>3/C+G</t>
        </is>
      </c>
      <c r="M6253" s="12" t="inlineStr">
        <is>
          <t>1</t>
        </is>
      </c>
      <c r="N6253" s="12" t="n">
        <v>1</v>
      </c>
      <c r="O6253" s="12" t="n">
        <v>1</v>
      </c>
      <c r="P6253" s="12" t="n">
        <v>480</v>
      </c>
      <c r="Q6253" s="12" t="n">
        <v>15</v>
      </c>
      <c r="R6253" s="12" t="n">
        <v>21.2</v>
      </c>
      <c r="S6253" s="12" t="inlineStr">
        <is>
          <t>Duct bank</t>
        </is>
      </c>
      <c r="T6253" s="15" t="n">
        <v>1859</v>
      </c>
      <c r="U6253" s="15" t="n">
        <v>228</v>
      </c>
      <c r="V6253" s="15">
        <f>ROUNDUP((T6253+U6253+2*'Read Me'!$B$13)*(1+'Read Me'!$B$12),-1)</f>
        <v/>
      </c>
      <c r="W6253" s="15">
        <f>V6253*N6253*O6253</f>
        <v/>
      </c>
      <c r="X6253" s="12">
        <f>IF(LEFT(I6253,2)="MV",2*N6253*IF(L6253="1/C",O6253,1),0)</f>
        <v/>
      </c>
      <c r="Y6253" s="12">
        <f>IF(OR(LEFT(K6253,4)="LVAX",LEFT(K6253,6)="MV15AX",LEFT(K6253,4)="CTAX",LEFT(K6253,2)="W|"),2*N6253*O6253,0)</f>
        <v/>
      </c>
      <c r="Z6253" s="12" t="inlineStr">
        <is>
          <t>VD 2.7 %</t>
        </is>
      </c>
      <c r="AA6253" s="12">
        <f>N6253*O6253</f>
        <v/>
      </c>
    </row>
    <row r="6254">
      <c r="A6254" s="12" t="inlineStr">
        <is>
          <t>C-P-0028</t>
        </is>
      </c>
      <c r="B6254" s="12" t="inlineStr">
        <is>
          <t>C</t>
        </is>
      </c>
      <c r="C6254" s="12" t="inlineStr">
        <is>
          <t>Grid interface</t>
        </is>
      </c>
      <c r="D6254" s="12" t="inlineStr">
        <is>
          <t>Motor 7 of 8, 15 kW</t>
        </is>
      </c>
      <c r="E6254" s="12" t="inlineStr">
        <is>
          <t>MCC-C1</t>
        </is>
      </c>
      <c r="F6254" s="12" t="inlineStr">
        <is>
          <t>R1 MCC-C1</t>
        </is>
      </c>
      <c r="G6254" s="12" t="inlineStr"/>
      <c r="H6254" s="12" t="inlineStr">
        <is>
          <t>Wastewater treatment: rooftop HVAC, exhaust fans, vents</t>
        </is>
      </c>
      <c r="I6254" s="12" t="inlineStr">
        <is>
          <t>LV 600 V</t>
        </is>
      </c>
      <c r="J6254" s="12" t="inlineStr">
        <is>
          <t>Type TC-ER 600 V 3/C Cu XHHW-2 + ground, PVC jacket</t>
        </is>
      </c>
      <c r="K6254" s="12" t="inlineStr">
        <is>
          <t>LV|3/C+G|1</t>
        </is>
      </c>
      <c r="L6254" s="12" t="inlineStr">
        <is>
          <t>3/C+G</t>
        </is>
      </c>
      <c r="M6254" s="12" t="inlineStr">
        <is>
          <t>1</t>
        </is>
      </c>
      <c r="N6254" s="12" t="n">
        <v>1</v>
      </c>
      <c r="O6254" s="12" t="n">
        <v>1</v>
      </c>
      <c r="P6254" s="12" t="n">
        <v>480</v>
      </c>
      <c r="Q6254" s="12" t="n">
        <v>15</v>
      </c>
      <c r="R6254" s="12" t="n">
        <v>21.2</v>
      </c>
      <c r="S6254" s="12" t="inlineStr">
        <is>
          <t>Duct bank</t>
        </is>
      </c>
      <c r="T6254" s="15" t="n">
        <v>1859</v>
      </c>
      <c r="U6254" s="15" t="n">
        <v>228</v>
      </c>
      <c r="V6254" s="15">
        <f>ROUNDUP((T6254+U6254+2*'Read Me'!$B$13)*(1+'Read Me'!$B$12),-1)</f>
        <v/>
      </c>
      <c r="W6254" s="15">
        <f>V6254*N6254*O6254</f>
        <v/>
      </c>
      <c r="X6254" s="12">
        <f>IF(LEFT(I6254,2)="MV",2*N6254*IF(L6254="1/C",O6254,1),0)</f>
        <v/>
      </c>
      <c r="Y6254" s="12">
        <f>IF(OR(LEFT(K6254,4)="LVAX",LEFT(K6254,6)="MV15AX",LEFT(K6254,4)="CTAX",LEFT(K6254,2)="W|"),2*N6254*O6254,0)</f>
        <v/>
      </c>
      <c r="Z6254" s="12" t="inlineStr">
        <is>
          <t>VD 2.7 %</t>
        </is>
      </c>
      <c r="AA6254" s="12">
        <f>N6254*O6254</f>
        <v/>
      </c>
    </row>
    <row r="6255">
      <c r="A6255" s="12" t="inlineStr">
        <is>
          <t>C-P-0029</t>
        </is>
      </c>
      <c r="B6255" s="12" t="inlineStr">
        <is>
          <t>C</t>
        </is>
      </c>
      <c r="C6255" s="12" t="inlineStr">
        <is>
          <t>Grid interface</t>
        </is>
      </c>
      <c r="D6255" s="12" t="inlineStr">
        <is>
          <t>Motor 8 of 8, 15 kW</t>
        </is>
      </c>
      <c r="E6255" s="12" t="inlineStr">
        <is>
          <t>MCC-C1</t>
        </is>
      </c>
      <c r="F6255" s="12" t="inlineStr">
        <is>
          <t>R1 MCC-C1</t>
        </is>
      </c>
      <c r="G6255" s="12" t="inlineStr"/>
      <c r="H6255" s="12" t="inlineStr">
        <is>
          <t>Wastewater treatment: rooftop HVAC, exhaust fans, vents</t>
        </is>
      </c>
      <c r="I6255" s="12" t="inlineStr">
        <is>
          <t>LV 600 V</t>
        </is>
      </c>
      <c r="J6255" s="12" t="inlineStr">
        <is>
          <t>Type TC-ER 600 V 3/C Cu XHHW-2 + ground, PVC jacket</t>
        </is>
      </c>
      <c r="K6255" s="12" t="inlineStr">
        <is>
          <t>LV|3/C+G|1</t>
        </is>
      </c>
      <c r="L6255" s="12" t="inlineStr">
        <is>
          <t>3/C+G</t>
        </is>
      </c>
      <c r="M6255" s="12" t="inlineStr">
        <is>
          <t>1</t>
        </is>
      </c>
      <c r="N6255" s="12" t="n">
        <v>1</v>
      </c>
      <c r="O6255" s="12" t="n">
        <v>1</v>
      </c>
      <c r="P6255" s="12" t="n">
        <v>480</v>
      </c>
      <c r="Q6255" s="12" t="n">
        <v>15</v>
      </c>
      <c r="R6255" s="12" t="n">
        <v>21.2</v>
      </c>
      <c r="S6255" s="12" t="inlineStr">
        <is>
          <t>Duct bank</t>
        </is>
      </c>
      <c r="T6255" s="15" t="n">
        <v>1859</v>
      </c>
      <c r="U6255" s="15" t="n">
        <v>228</v>
      </c>
      <c r="V6255" s="15">
        <f>ROUNDUP((T6255+U6255+2*'Read Me'!$B$13)*(1+'Read Me'!$B$12),-1)</f>
        <v/>
      </c>
      <c r="W6255" s="15">
        <f>V6255*N6255*O6255</f>
        <v/>
      </c>
      <c r="X6255" s="12">
        <f>IF(LEFT(I6255,2)="MV",2*N6255*IF(L6255="1/C",O6255,1),0)</f>
        <v/>
      </c>
      <c r="Y6255" s="12">
        <f>IF(OR(LEFT(K6255,4)="LVAX",LEFT(K6255,6)="MV15AX",LEFT(K6255,4)="CTAX",LEFT(K6255,2)="W|"),2*N6255*O6255,0)</f>
        <v/>
      </c>
      <c r="Z6255" s="12" t="inlineStr">
        <is>
          <t>VD 2.7 %</t>
        </is>
      </c>
      <c r="AA6255" s="12">
        <f>N6255*O6255</f>
        <v/>
      </c>
    </row>
    <row r="6256">
      <c r="A6256" s="12" t="inlineStr">
        <is>
          <t>C-P-0030</t>
        </is>
      </c>
      <c r="B6256" s="12" t="inlineStr">
        <is>
          <t>C</t>
        </is>
      </c>
      <c r="C6256" s="12" t="inlineStr">
        <is>
          <t>Grid interface</t>
        </is>
      </c>
      <c r="D6256" s="12" t="inlineStr">
        <is>
          <t>Motor 1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C-P-0031</t>
        </is>
      </c>
      <c r="B6257" s="12" t="inlineStr">
        <is>
          <t>C</t>
        </is>
      </c>
      <c r="C6257" s="12" t="inlineStr">
        <is>
          <t>Grid interface</t>
        </is>
      </c>
      <c r="D6257" s="12" t="inlineStr">
        <is>
          <t>Motor 2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C-P-0032</t>
        </is>
      </c>
      <c r="B6258" s="12" t="inlineStr">
        <is>
          <t>C</t>
        </is>
      </c>
      <c r="C6258" s="12" t="inlineStr">
        <is>
          <t>Grid interface</t>
        </is>
      </c>
      <c r="D6258" s="12" t="inlineStr">
        <is>
          <t>Motor 3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C-P-0033</t>
        </is>
      </c>
      <c r="B6259" s="12" t="inlineStr">
        <is>
          <t>C</t>
        </is>
      </c>
      <c r="C6259" s="12" t="inlineStr">
        <is>
          <t>Grid interface</t>
        </is>
      </c>
      <c r="D6259" s="12" t="inlineStr">
        <is>
          <t>Motor 4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C-P-0034</t>
        </is>
      </c>
      <c r="B6260" s="12" t="inlineStr">
        <is>
          <t>C</t>
        </is>
      </c>
      <c r="C6260" s="12" t="inlineStr">
        <is>
          <t>Grid interface</t>
        </is>
      </c>
      <c r="D6260" s="12" t="inlineStr">
        <is>
          <t>Motor 5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C-P-0035</t>
        </is>
      </c>
      <c r="B6261" s="12" t="inlineStr">
        <is>
          <t>C</t>
        </is>
      </c>
      <c r="C6261" s="12" t="inlineStr">
        <is>
          <t>Grid interface</t>
        </is>
      </c>
      <c r="D6261" s="12" t="inlineStr">
        <is>
          <t>Motor 6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C-P-0036</t>
        </is>
      </c>
      <c r="B6262" s="12" t="inlineStr">
        <is>
          <t>C</t>
        </is>
      </c>
      <c r="C6262" s="12" t="inlineStr">
        <is>
          <t>Grid interface</t>
        </is>
      </c>
      <c r="D6262" s="12" t="inlineStr">
        <is>
          <t>Motor 7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C-P-0037</t>
        </is>
      </c>
      <c r="B6263" s="12" t="inlineStr">
        <is>
          <t>C</t>
        </is>
      </c>
      <c r="C6263" s="12" t="inlineStr">
        <is>
          <t>Grid interface</t>
        </is>
      </c>
      <c r="D6263" s="12" t="inlineStr">
        <is>
          <t>Motor 8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C-P-0038</t>
        </is>
      </c>
      <c r="B6264" s="12" t="inlineStr">
        <is>
          <t>C</t>
        </is>
      </c>
      <c r="C6264" s="12" t="inlineStr">
        <is>
          <t>Grid interface</t>
        </is>
      </c>
      <c r="D6264" s="12" t="inlineStr">
        <is>
          <t>Motor 9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C-P-0039</t>
        </is>
      </c>
      <c r="B6265" s="12" t="inlineStr">
        <is>
          <t>C</t>
        </is>
      </c>
      <c r="C6265" s="12" t="inlineStr">
        <is>
          <t>Grid interface</t>
        </is>
      </c>
      <c r="D6265" s="12" t="inlineStr">
        <is>
          <t>Motor 10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C-P-0040</t>
        </is>
      </c>
      <c r="B6266" s="12" t="inlineStr">
        <is>
          <t>C</t>
        </is>
      </c>
      <c r="C6266" s="12" t="inlineStr">
        <is>
          <t>Grid interface</t>
        </is>
      </c>
      <c r="D6266" s="12" t="inlineStr">
        <is>
          <t>Motor 11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row r="6267">
      <c r="A6267" s="12" t="inlineStr">
        <is>
          <t>C-P-0041</t>
        </is>
      </c>
      <c r="B6267" s="12" t="inlineStr">
        <is>
          <t>C</t>
        </is>
      </c>
      <c r="C6267" s="12" t="inlineStr">
        <is>
          <t>Grid interface</t>
        </is>
      </c>
      <c r="D6267" s="12" t="inlineStr">
        <is>
          <t>Motor 12 of 20, 15 kW</t>
        </is>
      </c>
      <c r="E6267" s="12" t="inlineStr">
        <is>
          <t>MCC-C1</t>
        </is>
      </c>
      <c r="F6267" s="12" t="inlineStr">
        <is>
          <t>R1 MCC-C1</t>
        </is>
      </c>
      <c r="G6267" s="12" t="inlineStr"/>
      <c r="H6267" s="12" t="inlineStr">
        <is>
          <t>Water treatment building: rooftop HVAC, exhaust fans, vents</t>
        </is>
      </c>
      <c r="I6267" s="12" t="inlineStr">
        <is>
          <t>LV 600 V</t>
        </is>
      </c>
      <c r="J6267" s="12" t="inlineStr">
        <is>
          <t>Type TC-ER 600 V 3/C Cu XHHW-2 + ground, PVC jacket</t>
        </is>
      </c>
      <c r="K6267" s="12" t="inlineStr">
        <is>
          <t>LV|3/C+G|2</t>
        </is>
      </c>
      <c r="L6267" s="12" t="inlineStr">
        <is>
          <t>3/C+G</t>
        </is>
      </c>
      <c r="M6267" s="12" t="inlineStr">
        <is>
          <t>2</t>
        </is>
      </c>
      <c r="N6267" s="12" t="n">
        <v>1</v>
      </c>
      <c r="O6267" s="12" t="n">
        <v>1</v>
      </c>
      <c r="P6267" s="12" t="n">
        <v>480</v>
      </c>
      <c r="Q6267" s="12" t="n">
        <v>15</v>
      </c>
      <c r="R6267" s="12" t="n">
        <v>21.2</v>
      </c>
      <c r="S6267" s="12" t="inlineStr">
        <is>
          <t>Duct bank</t>
        </is>
      </c>
      <c r="T6267" s="15" t="n">
        <v>1629</v>
      </c>
      <c r="U6267" s="15" t="n">
        <v>161</v>
      </c>
      <c r="V6267" s="15">
        <f>ROUNDUP((T6267+U6267+2*'Read Me'!$B$13)*(1+'Read Me'!$B$12),-1)</f>
        <v/>
      </c>
      <c r="W6267" s="15">
        <f>V6267*N6267*O6267</f>
        <v/>
      </c>
      <c r="X6267" s="12">
        <f>IF(LEFT(I6267,2)="MV",2*N6267*IF(L6267="1/C",O6267,1),0)</f>
        <v/>
      </c>
      <c r="Y6267" s="12">
        <f>IF(OR(LEFT(K6267,4)="LVAX",LEFT(K6267,6)="MV15AX",LEFT(K6267,4)="CTAX",LEFT(K6267,2)="W|"),2*N6267*O6267,0)</f>
        <v/>
      </c>
      <c r="Z6267" s="12" t="inlineStr">
        <is>
          <t>VD 2.9 %</t>
        </is>
      </c>
      <c r="AA6267" s="12">
        <f>N6267*O6267</f>
        <v/>
      </c>
    </row>
    <row r="6268">
      <c r="A6268" s="12" t="inlineStr">
        <is>
          <t>C-P-0042</t>
        </is>
      </c>
      <c r="B6268" s="12" t="inlineStr">
        <is>
          <t>C</t>
        </is>
      </c>
      <c r="C6268" s="12" t="inlineStr">
        <is>
          <t>Grid interface</t>
        </is>
      </c>
      <c r="D6268" s="12" t="inlineStr">
        <is>
          <t>Motor 13 of 20, 15 kW</t>
        </is>
      </c>
      <c r="E6268" s="12" t="inlineStr">
        <is>
          <t>MCC-C1</t>
        </is>
      </c>
      <c r="F6268" s="12" t="inlineStr">
        <is>
          <t>R1 MCC-C1</t>
        </is>
      </c>
      <c r="G6268" s="12" t="inlineStr"/>
      <c r="H6268" s="12" t="inlineStr">
        <is>
          <t>Water treatment building: rooftop HVAC, exhaust fans, vents</t>
        </is>
      </c>
      <c r="I6268" s="12" t="inlineStr">
        <is>
          <t>LV 600 V</t>
        </is>
      </c>
      <c r="J6268" s="12" t="inlineStr">
        <is>
          <t>Type TC-ER 600 V 3/C Cu XHHW-2 + ground, PVC jacket</t>
        </is>
      </c>
      <c r="K6268" s="12" t="inlineStr">
        <is>
          <t>LV|3/C+G|2</t>
        </is>
      </c>
      <c r="L6268" s="12" t="inlineStr">
        <is>
          <t>3/C+G</t>
        </is>
      </c>
      <c r="M6268" s="12" t="inlineStr">
        <is>
          <t>2</t>
        </is>
      </c>
      <c r="N6268" s="12" t="n">
        <v>1</v>
      </c>
      <c r="O6268" s="12" t="n">
        <v>1</v>
      </c>
      <c r="P6268" s="12" t="n">
        <v>480</v>
      </c>
      <c r="Q6268" s="12" t="n">
        <v>15</v>
      </c>
      <c r="R6268" s="12" t="n">
        <v>21.2</v>
      </c>
      <c r="S6268" s="12" t="inlineStr">
        <is>
          <t>Duct bank</t>
        </is>
      </c>
      <c r="T6268" s="15" t="n">
        <v>1629</v>
      </c>
      <c r="U6268" s="15" t="n">
        <v>161</v>
      </c>
      <c r="V6268" s="15">
        <f>ROUNDUP((T6268+U6268+2*'Read Me'!$B$13)*(1+'Read Me'!$B$12),-1)</f>
        <v/>
      </c>
      <c r="W6268" s="15">
        <f>V6268*N6268*O6268</f>
        <v/>
      </c>
      <c r="X6268" s="12">
        <f>IF(LEFT(I6268,2)="MV",2*N6268*IF(L6268="1/C",O6268,1),0)</f>
        <v/>
      </c>
      <c r="Y6268" s="12">
        <f>IF(OR(LEFT(K6268,4)="LVAX",LEFT(K6268,6)="MV15AX",LEFT(K6268,4)="CTAX",LEFT(K6268,2)="W|"),2*N6268*O6268,0)</f>
        <v/>
      </c>
      <c r="Z6268" s="12" t="inlineStr">
        <is>
          <t>VD 2.9 %</t>
        </is>
      </c>
      <c r="AA6268" s="12">
        <f>N6268*O6268</f>
        <v/>
      </c>
    </row>
    <row r="6269">
      <c r="A6269" s="12" t="inlineStr">
        <is>
          <t>C-P-0043</t>
        </is>
      </c>
      <c r="B6269" s="12" t="inlineStr">
        <is>
          <t>C</t>
        </is>
      </c>
      <c r="C6269" s="12" t="inlineStr">
        <is>
          <t>Grid interface</t>
        </is>
      </c>
      <c r="D6269" s="12" t="inlineStr">
        <is>
          <t>Motor 14 of 20, 15 kW</t>
        </is>
      </c>
      <c r="E6269" s="12" t="inlineStr">
        <is>
          <t>MCC-C1</t>
        </is>
      </c>
      <c r="F6269" s="12" t="inlineStr">
        <is>
          <t>R1 MCC-C1</t>
        </is>
      </c>
      <c r="G6269" s="12" t="inlineStr"/>
      <c r="H6269" s="12" t="inlineStr">
        <is>
          <t>Water treatment building: rooftop HVAC, exhaust fans, vents</t>
        </is>
      </c>
      <c r="I6269" s="12" t="inlineStr">
        <is>
          <t>LV 600 V</t>
        </is>
      </c>
      <c r="J6269" s="12" t="inlineStr">
        <is>
          <t>Type TC-ER 600 V 3/C Cu XHHW-2 + ground, PVC jacket</t>
        </is>
      </c>
      <c r="K6269" s="12" t="inlineStr">
        <is>
          <t>LV|3/C+G|2</t>
        </is>
      </c>
      <c r="L6269" s="12" t="inlineStr">
        <is>
          <t>3/C+G</t>
        </is>
      </c>
      <c r="M6269" s="12" t="inlineStr">
        <is>
          <t>2</t>
        </is>
      </c>
      <c r="N6269" s="12" t="n">
        <v>1</v>
      </c>
      <c r="O6269" s="12" t="n">
        <v>1</v>
      </c>
      <c r="P6269" s="12" t="n">
        <v>480</v>
      </c>
      <c r="Q6269" s="12" t="n">
        <v>15</v>
      </c>
      <c r="R6269" s="12" t="n">
        <v>21.2</v>
      </c>
      <c r="S6269" s="12" t="inlineStr">
        <is>
          <t>Duct bank</t>
        </is>
      </c>
      <c r="T6269" s="15" t="n">
        <v>1629</v>
      </c>
      <c r="U6269" s="15" t="n">
        <v>161</v>
      </c>
      <c r="V6269" s="15">
        <f>ROUNDUP((T6269+U6269+2*'Read Me'!$B$13)*(1+'Read Me'!$B$12),-1)</f>
        <v/>
      </c>
      <c r="W6269" s="15">
        <f>V6269*N6269*O6269</f>
        <v/>
      </c>
      <c r="X6269" s="12">
        <f>IF(LEFT(I6269,2)="MV",2*N6269*IF(L6269="1/C",O6269,1),0)</f>
        <v/>
      </c>
      <c r="Y6269" s="12">
        <f>IF(OR(LEFT(K6269,4)="LVAX",LEFT(K6269,6)="MV15AX",LEFT(K6269,4)="CTAX",LEFT(K6269,2)="W|"),2*N6269*O6269,0)</f>
        <v/>
      </c>
      <c r="Z6269" s="12" t="inlineStr">
        <is>
          <t>VD 2.9 %</t>
        </is>
      </c>
      <c r="AA6269" s="12">
        <f>N6269*O6269</f>
        <v/>
      </c>
    </row>
    <row r="6270">
      <c r="A6270" s="12" t="inlineStr">
        <is>
          <t>C-P-0044</t>
        </is>
      </c>
      <c r="B6270" s="12" t="inlineStr">
        <is>
          <t>C</t>
        </is>
      </c>
      <c r="C6270" s="12" t="inlineStr">
        <is>
          <t>Grid interface</t>
        </is>
      </c>
      <c r="D6270" s="12" t="inlineStr">
        <is>
          <t>Motor 15 of 20, 15 kW</t>
        </is>
      </c>
      <c r="E6270" s="12" t="inlineStr">
        <is>
          <t>MCC-C1</t>
        </is>
      </c>
      <c r="F6270" s="12" t="inlineStr">
        <is>
          <t>R1 MCC-C1</t>
        </is>
      </c>
      <c r="G6270" s="12" t="inlineStr"/>
      <c r="H6270" s="12" t="inlineStr">
        <is>
          <t>Water treatment building: rooftop HVAC, exhaust fans, vents</t>
        </is>
      </c>
      <c r="I6270" s="12" t="inlineStr">
        <is>
          <t>LV 600 V</t>
        </is>
      </c>
      <c r="J6270" s="12" t="inlineStr">
        <is>
          <t>Type TC-ER 600 V 3/C Cu XHHW-2 + ground, PVC jacket</t>
        </is>
      </c>
      <c r="K6270" s="12" t="inlineStr">
        <is>
          <t>LV|3/C+G|2</t>
        </is>
      </c>
      <c r="L6270" s="12" t="inlineStr">
        <is>
          <t>3/C+G</t>
        </is>
      </c>
      <c r="M6270" s="12" t="inlineStr">
        <is>
          <t>2</t>
        </is>
      </c>
      <c r="N6270" s="12" t="n">
        <v>1</v>
      </c>
      <c r="O6270" s="12" t="n">
        <v>1</v>
      </c>
      <c r="P6270" s="12" t="n">
        <v>480</v>
      </c>
      <c r="Q6270" s="12" t="n">
        <v>15</v>
      </c>
      <c r="R6270" s="12" t="n">
        <v>21.2</v>
      </c>
      <c r="S6270" s="12" t="inlineStr">
        <is>
          <t>Duct bank</t>
        </is>
      </c>
      <c r="T6270" s="15" t="n">
        <v>1629</v>
      </c>
      <c r="U6270" s="15" t="n">
        <v>161</v>
      </c>
      <c r="V6270" s="15">
        <f>ROUNDUP((T6270+U6270+2*'Read Me'!$B$13)*(1+'Read Me'!$B$12),-1)</f>
        <v/>
      </c>
      <c r="W6270" s="15">
        <f>V6270*N6270*O6270</f>
        <v/>
      </c>
      <c r="X6270" s="12">
        <f>IF(LEFT(I6270,2)="MV",2*N6270*IF(L6270="1/C",O6270,1),0)</f>
        <v/>
      </c>
      <c r="Y6270" s="12">
        <f>IF(OR(LEFT(K6270,4)="LVAX",LEFT(K6270,6)="MV15AX",LEFT(K6270,4)="CTAX",LEFT(K6270,2)="W|"),2*N6270*O6270,0)</f>
        <v/>
      </c>
      <c r="Z6270" s="12" t="inlineStr">
        <is>
          <t>VD 2.9 %</t>
        </is>
      </c>
      <c r="AA6270" s="12">
        <f>N6270*O6270</f>
        <v/>
      </c>
    </row>
    <row r="6271">
      <c r="A6271" s="12" t="inlineStr">
        <is>
          <t>C-P-0045</t>
        </is>
      </c>
      <c r="B6271" s="12" t="inlineStr">
        <is>
          <t>C</t>
        </is>
      </c>
      <c r="C6271" s="12" t="inlineStr">
        <is>
          <t>Grid interface</t>
        </is>
      </c>
      <c r="D6271" s="12" t="inlineStr">
        <is>
          <t>Motor 16 of 20, 15 kW</t>
        </is>
      </c>
      <c r="E6271" s="12" t="inlineStr">
        <is>
          <t>MCC-C1</t>
        </is>
      </c>
      <c r="F6271" s="12" t="inlineStr">
        <is>
          <t>R1 MCC-C1</t>
        </is>
      </c>
      <c r="G6271" s="12" t="inlineStr"/>
      <c r="H6271" s="12" t="inlineStr">
        <is>
          <t>Water treatment building: rooftop HVAC, exhaust fans, vents</t>
        </is>
      </c>
      <c r="I6271" s="12" t="inlineStr">
        <is>
          <t>LV 600 V</t>
        </is>
      </c>
      <c r="J6271" s="12" t="inlineStr">
        <is>
          <t>Type TC-ER 600 V 3/C Cu XHHW-2 + ground, PVC jacket</t>
        </is>
      </c>
      <c r="K6271" s="12" t="inlineStr">
        <is>
          <t>LV|3/C+G|2</t>
        </is>
      </c>
      <c r="L6271" s="12" t="inlineStr">
        <is>
          <t>3/C+G</t>
        </is>
      </c>
      <c r="M6271" s="12" t="inlineStr">
        <is>
          <t>2</t>
        </is>
      </c>
      <c r="N6271" s="12" t="n">
        <v>1</v>
      </c>
      <c r="O6271" s="12" t="n">
        <v>1</v>
      </c>
      <c r="P6271" s="12" t="n">
        <v>480</v>
      </c>
      <c r="Q6271" s="12" t="n">
        <v>15</v>
      </c>
      <c r="R6271" s="12" t="n">
        <v>21.2</v>
      </c>
      <c r="S6271" s="12" t="inlineStr">
        <is>
          <t>Duct bank</t>
        </is>
      </c>
      <c r="T6271" s="15" t="n">
        <v>1629</v>
      </c>
      <c r="U6271" s="15" t="n">
        <v>161</v>
      </c>
      <c r="V6271" s="15">
        <f>ROUNDUP((T6271+U6271+2*'Read Me'!$B$13)*(1+'Read Me'!$B$12),-1)</f>
        <v/>
      </c>
      <c r="W6271" s="15">
        <f>V6271*N6271*O6271</f>
        <v/>
      </c>
      <c r="X6271" s="12">
        <f>IF(LEFT(I6271,2)="MV",2*N6271*IF(L6271="1/C",O6271,1),0)</f>
        <v/>
      </c>
      <c r="Y6271" s="12">
        <f>IF(OR(LEFT(K6271,4)="LVAX",LEFT(K6271,6)="MV15AX",LEFT(K6271,4)="CTAX",LEFT(K6271,2)="W|"),2*N6271*O6271,0)</f>
        <v/>
      </c>
      <c r="Z6271" s="12" t="inlineStr">
        <is>
          <t>VD 2.9 %</t>
        </is>
      </c>
      <c r="AA6271" s="12">
        <f>N6271*O6271</f>
        <v/>
      </c>
    </row>
    <row r="6272">
      <c r="A6272" s="12" t="inlineStr">
        <is>
          <t>C-P-0046</t>
        </is>
      </c>
      <c r="B6272" s="12" t="inlineStr">
        <is>
          <t>C</t>
        </is>
      </c>
      <c r="C6272" s="12" t="inlineStr">
        <is>
          <t>Grid interface</t>
        </is>
      </c>
      <c r="D6272" s="12" t="inlineStr">
        <is>
          <t>Motor 17 of 20, 15 kW</t>
        </is>
      </c>
      <c r="E6272" s="12" t="inlineStr">
        <is>
          <t>MCC-C1</t>
        </is>
      </c>
      <c r="F6272" s="12" t="inlineStr">
        <is>
          <t>R1 MCC-C1</t>
        </is>
      </c>
      <c r="G6272" s="12" t="inlineStr"/>
      <c r="H6272" s="12" t="inlineStr">
        <is>
          <t>Water treatment building: rooftop HVAC, exhaust fans, vents</t>
        </is>
      </c>
      <c r="I6272" s="12" t="inlineStr">
        <is>
          <t>LV 600 V</t>
        </is>
      </c>
      <c r="J6272" s="12" t="inlineStr">
        <is>
          <t>Type TC-ER 600 V 3/C Cu XHHW-2 + ground, PVC jacket</t>
        </is>
      </c>
      <c r="K6272" s="12" t="inlineStr">
        <is>
          <t>LV|3/C+G|2</t>
        </is>
      </c>
      <c r="L6272" s="12" t="inlineStr">
        <is>
          <t>3/C+G</t>
        </is>
      </c>
      <c r="M6272" s="12" t="inlineStr">
        <is>
          <t>2</t>
        </is>
      </c>
      <c r="N6272" s="12" t="n">
        <v>1</v>
      </c>
      <c r="O6272" s="12" t="n">
        <v>1</v>
      </c>
      <c r="P6272" s="12" t="n">
        <v>480</v>
      </c>
      <c r="Q6272" s="12" t="n">
        <v>15</v>
      </c>
      <c r="R6272" s="12" t="n">
        <v>21.2</v>
      </c>
      <c r="S6272" s="12" t="inlineStr">
        <is>
          <t>Duct bank</t>
        </is>
      </c>
      <c r="T6272" s="15" t="n">
        <v>1629</v>
      </c>
      <c r="U6272" s="15" t="n">
        <v>161</v>
      </c>
      <c r="V6272" s="15">
        <f>ROUNDUP((T6272+U6272+2*'Read Me'!$B$13)*(1+'Read Me'!$B$12),-1)</f>
        <v/>
      </c>
      <c r="W6272" s="15">
        <f>V6272*N6272*O6272</f>
        <v/>
      </c>
      <c r="X6272" s="12">
        <f>IF(LEFT(I6272,2)="MV",2*N6272*IF(L6272="1/C",O6272,1),0)</f>
        <v/>
      </c>
      <c r="Y6272" s="12">
        <f>IF(OR(LEFT(K6272,4)="LVAX",LEFT(K6272,6)="MV15AX",LEFT(K6272,4)="CTAX",LEFT(K6272,2)="W|"),2*N6272*O6272,0)</f>
        <v/>
      </c>
      <c r="Z6272" s="12" t="inlineStr">
        <is>
          <t>VD 2.9 %</t>
        </is>
      </c>
      <c r="AA6272" s="12">
        <f>N6272*O6272</f>
        <v/>
      </c>
    </row>
    <row r="6273">
      <c r="A6273" s="12" t="inlineStr">
        <is>
          <t>C-P-0047</t>
        </is>
      </c>
      <c r="B6273" s="12" t="inlineStr">
        <is>
          <t>C</t>
        </is>
      </c>
      <c r="C6273" s="12" t="inlineStr">
        <is>
          <t>Grid interface</t>
        </is>
      </c>
      <c r="D6273" s="12" t="inlineStr">
        <is>
          <t>Motor 18 of 20, 15 kW</t>
        </is>
      </c>
      <c r="E6273" s="12" t="inlineStr">
        <is>
          <t>MCC-C1</t>
        </is>
      </c>
      <c r="F6273" s="12" t="inlineStr">
        <is>
          <t>R1 MCC-C1</t>
        </is>
      </c>
      <c r="G6273" s="12" t="inlineStr"/>
      <c r="H6273" s="12" t="inlineStr">
        <is>
          <t>Water treatment building: rooftop HVAC, exhaust fans, vents</t>
        </is>
      </c>
      <c r="I6273" s="12" t="inlineStr">
        <is>
          <t>LV 600 V</t>
        </is>
      </c>
      <c r="J6273" s="12" t="inlineStr">
        <is>
          <t>Type TC-ER 600 V 3/C Cu XHHW-2 + ground, PVC jacket</t>
        </is>
      </c>
      <c r="K6273" s="12" t="inlineStr">
        <is>
          <t>LV|3/C+G|2</t>
        </is>
      </c>
      <c r="L6273" s="12" t="inlineStr">
        <is>
          <t>3/C+G</t>
        </is>
      </c>
      <c r="M6273" s="12" t="inlineStr">
        <is>
          <t>2</t>
        </is>
      </c>
      <c r="N6273" s="12" t="n">
        <v>1</v>
      </c>
      <c r="O6273" s="12" t="n">
        <v>1</v>
      </c>
      <c r="P6273" s="12" t="n">
        <v>480</v>
      </c>
      <c r="Q6273" s="12" t="n">
        <v>15</v>
      </c>
      <c r="R6273" s="12" t="n">
        <v>21.2</v>
      </c>
      <c r="S6273" s="12" t="inlineStr">
        <is>
          <t>Duct bank</t>
        </is>
      </c>
      <c r="T6273" s="15" t="n">
        <v>1629</v>
      </c>
      <c r="U6273" s="15" t="n">
        <v>161</v>
      </c>
      <c r="V6273" s="15">
        <f>ROUNDUP((T6273+U6273+2*'Read Me'!$B$13)*(1+'Read Me'!$B$12),-1)</f>
        <v/>
      </c>
      <c r="W6273" s="15">
        <f>V6273*N6273*O6273</f>
        <v/>
      </c>
      <c r="X6273" s="12">
        <f>IF(LEFT(I6273,2)="MV",2*N6273*IF(L6273="1/C",O6273,1),0)</f>
        <v/>
      </c>
      <c r="Y6273" s="12">
        <f>IF(OR(LEFT(K6273,4)="LVAX",LEFT(K6273,6)="MV15AX",LEFT(K6273,4)="CTAX",LEFT(K6273,2)="W|"),2*N6273*O6273,0)</f>
        <v/>
      </c>
      <c r="Z6273" s="12" t="inlineStr">
        <is>
          <t>VD 2.9 %</t>
        </is>
      </c>
      <c r="AA6273" s="12">
        <f>N6273*O6273</f>
        <v/>
      </c>
    </row>
    <row r="6274">
      <c r="A6274" s="12" t="inlineStr">
        <is>
          <t>C-P-0048</t>
        </is>
      </c>
      <c r="B6274" s="12" t="inlineStr">
        <is>
          <t>C</t>
        </is>
      </c>
      <c r="C6274" s="12" t="inlineStr">
        <is>
          <t>Grid interface</t>
        </is>
      </c>
      <c r="D6274" s="12" t="inlineStr">
        <is>
          <t>Motor 19 of 20, 15 kW</t>
        </is>
      </c>
      <c r="E6274" s="12" t="inlineStr">
        <is>
          <t>MCC-C1</t>
        </is>
      </c>
      <c r="F6274" s="12" t="inlineStr">
        <is>
          <t>R1 MCC-C1</t>
        </is>
      </c>
      <c r="G6274" s="12" t="inlineStr"/>
      <c r="H6274" s="12" t="inlineStr">
        <is>
          <t>Water treatment building: rooftop HVAC, exhaust fans, vents</t>
        </is>
      </c>
      <c r="I6274" s="12" t="inlineStr">
        <is>
          <t>LV 600 V</t>
        </is>
      </c>
      <c r="J6274" s="12" t="inlineStr">
        <is>
          <t>Type TC-ER 600 V 3/C Cu XHHW-2 + ground, PVC jacket</t>
        </is>
      </c>
      <c r="K6274" s="12" t="inlineStr">
        <is>
          <t>LV|3/C+G|2</t>
        </is>
      </c>
      <c r="L6274" s="12" t="inlineStr">
        <is>
          <t>3/C+G</t>
        </is>
      </c>
      <c r="M6274" s="12" t="inlineStr">
        <is>
          <t>2</t>
        </is>
      </c>
      <c r="N6274" s="12" t="n">
        <v>1</v>
      </c>
      <c r="O6274" s="12" t="n">
        <v>1</v>
      </c>
      <c r="P6274" s="12" t="n">
        <v>480</v>
      </c>
      <c r="Q6274" s="12" t="n">
        <v>15</v>
      </c>
      <c r="R6274" s="12" t="n">
        <v>21.2</v>
      </c>
      <c r="S6274" s="12" t="inlineStr">
        <is>
          <t>Duct bank</t>
        </is>
      </c>
      <c r="T6274" s="15" t="n">
        <v>1629</v>
      </c>
      <c r="U6274" s="15" t="n">
        <v>161</v>
      </c>
      <c r="V6274" s="15">
        <f>ROUNDUP((T6274+U6274+2*'Read Me'!$B$13)*(1+'Read Me'!$B$12),-1)</f>
        <v/>
      </c>
      <c r="W6274" s="15">
        <f>V6274*N6274*O6274</f>
        <v/>
      </c>
      <c r="X6274" s="12">
        <f>IF(LEFT(I6274,2)="MV",2*N6274*IF(L6274="1/C",O6274,1),0)</f>
        <v/>
      </c>
      <c r="Y6274" s="12">
        <f>IF(OR(LEFT(K6274,4)="LVAX",LEFT(K6274,6)="MV15AX",LEFT(K6274,4)="CTAX",LEFT(K6274,2)="W|"),2*N6274*O6274,0)</f>
        <v/>
      </c>
      <c r="Z6274" s="12" t="inlineStr">
        <is>
          <t>VD 2.9 %</t>
        </is>
      </c>
      <c r="AA6274" s="12">
        <f>N6274*O6274</f>
        <v/>
      </c>
    </row>
    <row r="6275">
      <c r="A6275" s="12" t="inlineStr">
        <is>
          <t>C-P-0049</t>
        </is>
      </c>
      <c r="B6275" s="12" t="inlineStr">
        <is>
          <t>C</t>
        </is>
      </c>
      <c r="C6275" s="12" t="inlineStr">
        <is>
          <t>Grid interface</t>
        </is>
      </c>
      <c r="D6275" s="12" t="inlineStr">
        <is>
          <t>Motor 20 of 20, 15 kW</t>
        </is>
      </c>
      <c r="E6275" s="12" t="inlineStr">
        <is>
          <t>MCC-C1</t>
        </is>
      </c>
      <c r="F6275" s="12" t="inlineStr">
        <is>
          <t>R1 MCC-C1</t>
        </is>
      </c>
      <c r="G6275" s="12" t="inlineStr"/>
      <c r="H6275" s="12" t="inlineStr">
        <is>
          <t>Water treatment building: rooftop HVAC, exhaust fans, vents</t>
        </is>
      </c>
      <c r="I6275" s="12" t="inlineStr">
        <is>
          <t>LV 600 V</t>
        </is>
      </c>
      <c r="J6275" s="12" t="inlineStr">
        <is>
          <t>Type TC-ER 600 V 3/C Cu XHHW-2 + ground, PVC jacket</t>
        </is>
      </c>
      <c r="K6275" s="12" t="inlineStr">
        <is>
          <t>LV|3/C+G|2</t>
        </is>
      </c>
      <c r="L6275" s="12" t="inlineStr">
        <is>
          <t>3/C+G</t>
        </is>
      </c>
      <c r="M6275" s="12" t="inlineStr">
        <is>
          <t>2</t>
        </is>
      </c>
      <c r="N6275" s="12" t="n">
        <v>1</v>
      </c>
      <c r="O6275" s="12" t="n">
        <v>1</v>
      </c>
      <c r="P6275" s="12" t="n">
        <v>480</v>
      </c>
      <c r="Q6275" s="12" t="n">
        <v>15</v>
      </c>
      <c r="R6275" s="12" t="n">
        <v>21.2</v>
      </c>
      <c r="S6275" s="12" t="inlineStr">
        <is>
          <t>Duct bank</t>
        </is>
      </c>
      <c r="T6275" s="15" t="n">
        <v>1629</v>
      </c>
      <c r="U6275" s="15" t="n">
        <v>161</v>
      </c>
      <c r="V6275" s="15">
        <f>ROUNDUP((T6275+U6275+2*'Read Me'!$B$13)*(1+'Read Me'!$B$12),-1)</f>
        <v/>
      </c>
      <c r="W6275" s="15">
        <f>V6275*N6275*O6275</f>
        <v/>
      </c>
      <c r="X6275" s="12">
        <f>IF(LEFT(I6275,2)="MV",2*N6275*IF(L6275="1/C",O6275,1),0)</f>
        <v/>
      </c>
      <c r="Y6275" s="12">
        <f>IF(OR(LEFT(K6275,4)="LVAX",LEFT(K6275,6)="MV15AX",LEFT(K6275,4)="CTAX",LEFT(K6275,2)="W|"),2*N6275*O6275,0)</f>
        <v/>
      </c>
      <c r="Z6275" s="12" t="inlineStr">
        <is>
          <t>VD 2.9 %</t>
        </is>
      </c>
      <c r="AA6275" s="12">
        <f>N6275*O6275</f>
        <v/>
      </c>
    </row>
  </sheetData>
  <autoFilter ref="A1:AA62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Schedule'!$AA$2:$AA$6275,'Cable Schedule'!$K$2:$K$6275,A2)</f>
        <v/>
      </c>
      <c r="G2" s="17">
        <f>SUMIFS('Cable Schedule'!$W$2:$W$6275,'Cable Schedule'!$K$2:$K$6275,A2)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Schedule'!$AA$2:$AA$6275,'Cable Schedule'!$K$2:$K$6275,A3)</f>
        <v/>
      </c>
      <c r="G3" s="17">
        <f>SUMIFS('Cable Schedule'!$W$2:$W$6275,'Cable Schedule'!$K$2:$K$6275,A3)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Schedule'!$AA$2:$AA$6275,'Cable Schedule'!$K$2:$K$6275,A4)</f>
        <v/>
      </c>
      <c r="G4" s="17">
        <f>SUMIFS('Cable Schedule'!$W$2:$W$6275,'Cable Schedule'!$K$2:$K$6275,A4)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Schedule'!$AA$2:$AA$6275,'Cable Schedule'!$K$2:$K$6275,A5)</f>
        <v/>
      </c>
      <c r="G5" s="17">
        <f>SUMIFS('Cable Schedule'!$W$2:$W$6275,'Cable Schedule'!$K$2:$K$6275,A5)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Schedule'!$AA$2:$AA$6275,'Cable Schedule'!$K$2:$K$6275,A6)</f>
        <v/>
      </c>
      <c r="G6" s="17">
        <f>SUMIFS('Cable Schedule'!$W$2:$W$6275,'Cable Schedule'!$K$2:$K$6275,A6)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Schedule'!$AA$2:$AA$6275,'Cable Schedule'!$K$2:$K$6275,A7)</f>
        <v/>
      </c>
      <c r="G7" s="17">
        <f>SUMIFS('Cable Schedule'!$W$2:$W$6275,'Cable Schedule'!$K$2:$K$6275,A7)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Schedule'!$AA$2:$AA$6275,'Cable Schedule'!$K$2:$K$6275,A8)</f>
        <v/>
      </c>
      <c r="G8" s="17">
        <f>SUMIFS('Cable Schedule'!$W$2:$W$6275,'Cable Schedule'!$K$2:$K$6275,A8)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Schedule'!$AA$2:$AA$6275,'Cable Schedule'!$K$2:$K$6275,A9)</f>
        <v/>
      </c>
      <c r="G9" s="17">
        <f>SUMIFS('Cable Schedule'!$W$2:$W$6275,'Cable Schedule'!$K$2:$K$6275,A9)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Schedule'!$AA$2:$AA$6275,'Cable Schedule'!$K$2:$K$6275,A10)</f>
        <v/>
      </c>
      <c r="G10" s="17">
        <f>SUMIFS('Cable Schedule'!$W$2:$W$6275,'Cable Schedule'!$K$2:$K$6275,A10)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Schedule'!$AA$2:$AA$6275,'Cable Schedule'!$K$2:$K$6275,A11)</f>
        <v/>
      </c>
      <c r="G11" s="17">
        <f>SUMIFS('Cable Schedule'!$W$2:$W$6275,'Cable Schedule'!$K$2:$K$6275,A11)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Schedule'!$AA$2:$AA$6275,'Cable Schedule'!$K$2:$K$6275,A12)</f>
        <v/>
      </c>
      <c r="G12" s="17">
        <f>SUMIFS('Cable Schedule'!$W$2:$W$6275,'Cable Schedule'!$K$2:$K$6275,A12)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Schedule'!$AA$2:$AA$6275,'Cable Schedule'!$K$2:$K$6275,A13)</f>
        <v/>
      </c>
      <c r="G13" s="17">
        <f>SUMIFS('Cable Schedule'!$W$2:$W$6275,'Cable Schedule'!$K$2:$K$6275,A13)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Schedule'!$AA$2:$AA$6275,'Cable Schedule'!$K$2:$K$6275,A14)</f>
        <v/>
      </c>
      <c r="G14" s="17">
        <f>SUMIFS('Cable Schedule'!$W$2:$W$6275,'Cable Schedule'!$K$2:$K$6275,A14)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Schedule'!$AA$2:$AA$6275,'Cable Schedule'!$K$2:$K$6275,A15)</f>
        <v/>
      </c>
      <c r="G15" s="17">
        <f>SUMIFS('Cable Schedule'!$W$2:$W$6275,'Cable Schedule'!$K$2:$K$6275,A15)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Schedule'!$AA$2:$AA$6275,'Cable Schedule'!$K$2:$K$6275,A16)</f>
        <v/>
      </c>
      <c r="G16" s="17">
        <f>SUMIFS('Cable Schedule'!$W$2:$W$6275,'Cable Schedule'!$K$2:$K$6275,A16)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Schedule'!$AA$2:$AA$6275,'Cable Schedule'!$K$2:$K$6275,A17)</f>
        <v/>
      </c>
      <c r="G17" s="17">
        <f>SUMIFS('Cable Schedule'!$W$2:$W$6275,'Cable Schedule'!$K$2:$K$6275,A17)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Schedule'!$AA$2:$AA$6275,'Cable Schedule'!$K$2:$K$6275,A18)</f>
        <v/>
      </c>
      <c r="G18" s="17">
        <f>SUMIFS('Cable Schedule'!$W$2:$W$6275,'Cable Schedule'!$K$2:$K$6275,A18)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Schedule'!$AA$2:$AA$6275,'Cable Schedule'!$K$2:$K$6275,A19)</f>
        <v/>
      </c>
      <c r="G19" s="17">
        <f>SUMIFS('Cable Schedule'!$W$2:$W$6275,'Cable Schedule'!$K$2:$K$6275,A19)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Schedule'!$AA$2:$AA$6275,'Cable Schedule'!$K$2:$K$6275,A20)</f>
        <v/>
      </c>
      <c r="G20" s="17">
        <f>SUMIFS('Cable Schedule'!$W$2:$W$6275,'Cable Schedule'!$K$2:$K$6275,A20)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Schedule'!$AA$2:$AA$6275,'Cable Schedule'!$K$2:$K$6275,A21)</f>
        <v/>
      </c>
      <c r="G21" s="17">
        <f>SUMIFS('Cable Schedule'!$W$2:$W$6275,'Cable Schedule'!$K$2:$K$6275,A21)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Schedule'!$AA$2:$AA$6275,'Cable Schedule'!$K$2:$K$6275,A22)</f>
        <v/>
      </c>
      <c r="G22" s="17">
        <f>SUMIFS('Cable Schedule'!$W$2:$W$6275,'Cable Schedule'!$K$2:$K$6275,A22)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Schedule'!$AA$2:$AA$6275,'Cable Schedule'!$K$2:$K$6275,A23)</f>
        <v/>
      </c>
      <c r="G23" s="17">
        <f>SUMIFS('Cable Schedule'!$W$2:$W$6275,'Cable Schedule'!$K$2:$K$6275,A23)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Schedule'!$AA$2:$AA$6275,'Cable Schedule'!$K$2:$K$6275,A24)</f>
        <v/>
      </c>
      <c r="G24" s="17">
        <f>SUMIFS('Cable Schedule'!$W$2:$W$6275,'Cable Schedule'!$K$2:$K$6275,A24)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Schedule'!$AA$2:$AA$6275,'Cable Schedule'!$K$2:$K$6275,A25)</f>
        <v/>
      </c>
      <c r="G25" s="17">
        <f>SUMIFS('Cable Schedule'!$W$2:$W$6275,'Cable Schedule'!$K$2:$K$6275,A25)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Schedule'!$AA$2:$AA$6275,'Cable Schedule'!$K$2:$K$6275,A26)</f>
        <v/>
      </c>
      <c r="G26" s="17">
        <f>SUMIFS('Cable Schedule'!$W$2:$W$6275,'Cable Schedule'!$K$2:$K$6275,A26)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Schedule'!$AA$2:$AA$6275,'Cable Schedule'!$K$2:$K$6275,A27)</f>
        <v/>
      </c>
      <c r="G27" s="17">
        <f>SUMIFS('Cable Schedule'!$W$2:$W$6275,'Cable Schedule'!$K$2:$K$6275,A27)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Schedule'!$AA$2:$AA$6275,'Cable Schedule'!$K$2:$K$6275,A28)</f>
        <v/>
      </c>
      <c r="G28" s="17">
        <f>SUMIFS('Cable Schedule'!$W$2:$W$6275,'Cable Schedule'!$K$2:$K$6275,A28)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Schedule'!$AA$2:$AA$6275,'Cable Schedule'!$K$2:$K$6275,A29)</f>
        <v/>
      </c>
      <c r="G29" s="17">
        <f>SUMIFS('Cable Schedule'!$W$2:$W$6275,'Cable Schedule'!$K$2:$K$6275,A29)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Schedule'!$AA$2:$AA$6275,'Cable Schedule'!$K$2:$K$6275,A30)</f>
        <v/>
      </c>
      <c r="G30" s="17">
        <f>SUMIFS('Cable Schedule'!$W$2:$W$6275,'Cable Schedule'!$K$2:$K$6275,A30)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Schedule'!$AA$2:$AA$6275,'Cable Schedule'!$K$2:$K$6275,A31)</f>
        <v/>
      </c>
      <c r="G31" s="17">
        <f>SUMIFS('Cable Schedule'!$W$2:$W$6275,'Cable Schedule'!$K$2:$K$6275,A31)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Schedule'!$AA$2:$AA$6275,'Cable Schedule'!$K$2:$K$6275,A32)</f>
        <v/>
      </c>
      <c r="G32" s="17">
        <f>SUMIFS('Cable Schedule'!$W$2:$W$6275,'Cable Schedule'!$K$2:$K$6275,A32)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Schedule'!$AA$2:$AA$6275,'Cable Schedule'!$K$2:$K$6275,A33)</f>
        <v/>
      </c>
      <c r="G33" s="17">
        <f>SUMIFS('Cable Schedule'!$W$2:$W$6275,'Cable Schedule'!$K$2:$K$6275,A33)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Schedule'!$AA$2:$AA$6275,'Cable Schedule'!$K$2:$K$6275,A34)</f>
        <v/>
      </c>
      <c r="G34" s="17">
        <f>SUMIFS('Cable Schedule'!$W$2:$W$6275,'Cable Schedule'!$K$2:$K$6275,A34)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Schedule'!$AA$2:$AA$6275,'Cable Schedule'!$K$2:$K$6275,A35)</f>
        <v/>
      </c>
      <c r="G35" s="17">
        <f>SUMIFS('Cable Schedule'!$W$2:$W$6275,'Cable Schedule'!$K$2:$K$6275,A35)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Schedule'!$AA$2:$AA$6275,'Cable Schedule'!$K$2:$K$6275,A36)</f>
        <v/>
      </c>
      <c r="G36" s="17">
        <f>SUMIFS('Cable Schedule'!$W$2:$W$6275,'Cable Schedule'!$K$2:$K$6275,A36)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Schedule'!$AA$2:$AA$6275,'Cable Schedule'!$K$2:$K$6275,A37)</f>
        <v/>
      </c>
      <c r="G37" s="17">
        <f>SUMIFS('Cable Schedule'!$W$2:$W$6275,'Cable Schedule'!$K$2:$K$6275,A37)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Schedule'!$AA$2:$AA$6275,'Cable Schedule'!$K$2:$K$6275,A38)</f>
        <v/>
      </c>
      <c r="G38" s="17">
        <f>SUMIFS('Cable Schedule'!$W$2:$W$6275,'Cable Schedule'!$K$2:$K$6275,A38)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Schedule'!$AA$2:$AA$6275,'Cable Schedule'!$K$2:$K$6275,A39)</f>
        <v/>
      </c>
      <c r="G39" s="17">
        <f>SUMIFS('Cable Schedule'!$W$2:$W$6275,'Cable Schedule'!$K$2:$K$6275,A39)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Schedule'!$AA$2:$AA$6275,'Cable Schedule'!$K$2:$K$6275,A40)</f>
        <v/>
      </c>
      <c r="G40" s="17">
        <f>SUMIFS('Cable Schedule'!$W$2:$W$6275,'Cable Schedule'!$K$2:$K$6275,A40)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Schedule'!$AA$2:$AA$6275,'Cable Schedule'!$K$2:$K$6275,A41)</f>
        <v/>
      </c>
      <c r="G41" s="17">
        <f>SUMIFS('Cable Schedule'!$W$2:$W$6275,'Cable Schedule'!$K$2:$K$6275,A41)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Schedule'!$AA$2:$AA$6275,'Cable Schedule'!$K$2:$K$6275,A42)</f>
        <v/>
      </c>
      <c r="G42" s="17">
        <f>SUMIFS('Cable Schedule'!$W$2:$W$6275,'Cable Schedule'!$K$2:$K$6275,A42)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Schedule'!$AA$2:$AA$6275,'Cable Schedule'!$K$2:$K$6275,A43)</f>
        <v/>
      </c>
      <c r="G43" s="17">
        <f>SUMIFS('Cable Schedule'!$W$2:$W$6275,'Cable Schedule'!$K$2:$K$6275,A43)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Schedule'!$AA$2:$AA$6275,'Cable Schedule'!$K$2:$K$6275,A44)</f>
        <v/>
      </c>
      <c r="G44" s="17">
        <f>SUMIFS('Cable Schedule'!$W$2:$W$6275,'Cable Schedule'!$K$2:$K$6275,A44)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Schedule'!$AA$2:$AA$6275,'Cable Schedule'!$K$2:$K$6275,A45)</f>
        <v/>
      </c>
      <c r="G45" s="17">
        <f>SUMIFS('Cable Schedule'!$W$2:$W$6275,'Cable Schedule'!$K$2:$K$6275,A45)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Schedule'!$AA$2:$AA$6275,'Cable Schedule'!$K$2:$K$6275,A46)</f>
        <v/>
      </c>
      <c r="G46" s="17">
        <f>SUMIFS('Cable Schedule'!$W$2:$W$6275,'Cable Schedule'!$K$2:$K$6275,A46)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Schedule'!$AA$2:$AA$6275,'Cable Schedule'!$K$2:$K$6275,A47)</f>
        <v/>
      </c>
      <c r="G47" s="17">
        <f>SUMIFS('Cable Schedule'!$W$2:$W$6275,'Cable Schedule'!$K$2:$K$6275,A47)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Schedule'!$AA$2:$AA$6275,'Cable Schedule'!$K$2:$K$6275,A48)</f>
        <v/>
      </c>
      <c r="G48" s="17">
        <f>SUMIFS('Cable Schedule'!$W$2:$W$6275,'Cable Schedule'!$K$2:$K$6275,A48)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Schedule'!$AA$2:$AA$6275,'Cable Schedule'!$K$2:$K$6275,A49)</f>
        <v/>
      </c>
      <c r="G49" s="17">
        <f>SUMIFS('Cable Schedule'!$W$2:$W$6275,'Cable Schedule'!$K$2:$K$6275,A49)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Schedule'!$AA$2:$AA$6275,'Cable Schedule'!$K$2:$K$6275,A50)</f>
        <v/>
      </c>
      <c r="G50" s="17">
        <f>SUMIFS('Cable Schedule'!$W$2:$W$6275,'Cable Schedule'!$K$2:$K$6275,A50)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Schedule'!$AA$2:$AA$6275,'Cable Schedule'!$K$2:$K$6275,A51)</f>
        <v/>
      </c>
      <c r="G51" s="17">
        <f>SUMIFS('Cable Schedule'!$W$2:$W$6275,'Cable Schedule'!$K$2:$K$6275,A51)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Schedule'!$AA$2:$AA$6275,'Cable Schedule'!$K$2:$K$6275,A52)</f>
        <v/>
      </c>
      <c r="G52" s="17">
        <f>SUMIFS('Cable Schedule'!$W$2:$W$6275,'Cable Schedule'!$K$2:$K$6275,A52)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Schedule'!$AA$2:$AA$6275,'Cable Schedule'!$K$2:$K$6275,A53)</f>
        <v/>
      </c>
      <c r="G53" s="17">
        <f>SUMIFS('Cable Schedule'!$W$2:$W$6275,'Cable Schedule'!$K$2:$K$6275,A53)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Schedule'!$AA$2:$AA$6275,'Cable Schedule'!$K$2:$K$6275,A54)</f>
        <v/>
      </c>
      <c r="G54" s="17">
        <f>SUMIFS('Cable Schedule'!$W$2:$W$6275,'Cable Schedule'!$K$2:$K$6275,A54)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Schedule'!$AA$2:$AA$6275,'Cable Schedule'!$K$2:$K$6275,A55)</f>
        <v/>
      </c>
      <c r="G55" s="17">
        <f>SUMIFS('Cable Schedule'!$W$2:$W$6275,'Cable Schedule'!$K$2:$K$6275,A55)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Schedule'!$AA$2:$AA$6275,'Cable Schedule'!$K$2:$K$6275,A56)</f>
        <v/>
      </c>
      <c r="G56" s="17">
        <f>SUMIFS('Cable Schedule'!$W$2:$W$6275,'Cable Schedule'!$K$2:$K$6275,A56)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Schedule'!$AA$2:$AA$6275,'Cable Schedule'!$K$2:$K$6275,A57)</f>
        <v/>
      </c>
      <c r="G57" s="17">
        <f>SUMIFS('Cable Schedule'!$W$2:$W$6275,'Cable Schedule'!$K$2:$K$6275,A57)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Schedule'!$AA$2:$AA$6275,'Cable Schedule'!$K$2:$K$6275,A58)</f>
        <v/>
      </c>
      <c r="G58" s="17">
        <f>SUMIFS('Cable Schedule'!$W$2:$W$6275,'Cable Schedule'!$K$2:$K$6275,A58)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Schedule'!$AA$2:$AA$6275,'Cable Schedule'!$K$2:$K$6275,A59)</f>
        <v/>
      </c>
      <c r="G59" s="17">
        <f>SUMIFS('Cable Schedule'!$W$2:$W$6275,'Cable Schedule'!$K$2:$K$6275,A59)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Schedule'!$AA$2:$AA$6275,'Cable Schedule'!$K$2:$K$6275,A60)</f>
        <v/>
      </c>
      <c r="G60" s="17">
        <f>SUMIFS('Cable Schedule'!$W$2:$W$6275,'Cable Schedule'!$K$2:$K$6275,A60)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Schedule'!$AA$2:$AA$6275,'Cable Schedule'!$K$2:$K$6275,A61)</f>
        <v/>
      </c>
      <c r="G61" s="17">
        <f>SUMIFS('Cable Schedule'!$W$2:$W$6275,'Cable Schedule'!$K$2:$K$6275,A61)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Schedule'!$AA$2:$AA$6275,'Cable Schedule'!$K$2:$K$6275,A62)</f>
        <v/>
      </c>
      <c r="G62" s="17">
        <f>SUMIFS('Cable Schedule'!$W$2:$W$6275,'Cable Schedule'!$K$2:$K$6275,A62)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Schedule'!$AA$2:$AA$6275,'Cable Schedule'!$K$2:$K$6275,A63)</f>
        <v/>
      </c>
      <c r="G63" s="17">
        <f>SUMIFS('Cable Schedule'!$W$2:$W$6275,'Cable Schedule'!$K$2:$K$6275,A63)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Schedule'!$AA$2:$AA$6275,'Cable Schedule'!$K$2:$K$6275,A64)</f>
        <v/>
      </c>
      <c r="G64" s="17">
        <f>SUMIFS('Cable Schedule'!$W$2:$W$6275,'Cable Schedule'!$K$2:$K$6275,A64)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Schedule'!$AA$2:$AA$6275,'Cable Schedule'!$K$2:$K$6275,A65)</f>
        <v/>
      </c>
      <c r="G65" s="17">
        <f>SUMIFS('Cable Schedule'!$W$2:$W$6275,'Cable Schedule'!$K$2:$K$6275,A65)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Schedule'!$AA$2:$AA$6275,'Cable Schedule'!$K$2:$K$6275,A66)</f>
        <v/>
      </c>
      <c r="G66" s="17">
        <f>SUMIFS('Cable Schedule'!$W$2:$W$6275,'Cable Schedule'!$K$2:$K$6275,A66)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Schedule'!$AA$2:$AA$6275,'Cable Schedule'!$K$2:$K$6275,A67)</f>
        <v/>
      </c>
      <c r="G67" s="17">
        <f>SUMIFS('Cable Schedule'!$W$2:$W$6275,'Cable Schedule'!$K$2:$K$6275,A67)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Schedule'!$AA$2:$AA$6275,'Cable Schedule'!$K$2:$K$6275,A68)</f>
        <v/>
      </c>
      <c r="G68" s="17">
        <f>SUMIFS('Cable Schedule'!$W$2:$W$6275,'Cable Schedule'!$K$2:$K$6275,A68)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Schedule'!$AA$2:$AA$6275,'Cable Schedule'!$K$2:$K$6275,A69)</f>
        <v/>
      </c>
      <c r="G69" s="17">
        <f>SUMIFS('Cable Schedule'!$W$2:$W$6275,'Cable Schedule'!$K$2:$K$6275,A69)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Schedule'!$AA$2:$AA$6275,'Cable Schedule'!$K$2:$K$6275,A70)</f>
        <v/>
      </c>
      <c r="G70" s="17">
        <f>SUMIFS('Cable Schedule'!$W$2:$W$6275,'Cable Schedule'!$K$2:$K$6275,A70)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Schedule'!$AA$2:$AA$6275,'Cable Schedule'!$K$2:$K$6275,A71)</f>
        <v/>
      </c>
      <c r="G71" s="17">
        <f>SUMIFS('Cable Schedule'!$W$2:$W$6275,'Cable Schedule'!$K$2:$K$6275,A71)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Schedule'!$AA$2:$AA$6275,'Cable Schedule'!$K$2:$K$6275,A72)</f>
        <v/>
      </c>
      <c r="G72" s="17">
        <f>SUMIFS('Cable Schedule'!$W$2:$W$6275,'Cable Schedule'!$K$2:$K$6275,A72)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Schedule'!$AA$2:$AA$6275,'Cable Schedule'!$K$2:$K$6275,A73)</f>
        <v/>
      </c>
      <c r="G73" s="17">
        <f>SUMIFS('Cable Schedule'!$W$2:$W$6275,'Cable Schedule'!$K$2:$K$6275,A73)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Schedule'!$AA$2:$AA$6275,'Cable Schedule'!$K$2:$K$6275,A74)</f>
        <v/>
      </c>
      <c r="G74" s="17">
        <f>SUMIFS('Cable Schedule'!$W$2:$W$6275,'Cable Schedule'!$K$2:$K$6275,A74)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Schedule'!$AA$2:$AA$6275,'Cable Schedule'!$K$2:$K$6275,A75)</f>
        <v/>
      </c>
      <c r="G75" s="17">
        <f>SUMIFS('Cable Schedule'!$W$2:$W$6275,'Cable Schedule'!$K$2:$K$6275,A75)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Schedule'!$AA$2:$AA$6275,'Cable Schedule'!$K$2:$K$6275,A76)</f>
        <v/>
      </c>
      <c r="G76" s="17">
        <f>SUMIFS('Cable Schedule'!$W$2:$W$6275,'Cable Schedule'!$K$2:$K$6275,A76)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Schedule'!$AA$2:$AA$6275,'Cable Schedule'!$K$2:$K$6275,A77)</f>
        <v/>
      </c>
      <c r="G77" s="17">
        <f>SUMIFS('Cable Schedule'!$W$2:$W$6275,'Cable Schedule'!$K$2:$K$6275,A77)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Schedule'!$AA$2:$AA$6275,'Cable Schedule'!$K$2:$K$6275,A78)</f>
        <v/>
      </c>
      <c r="G78" s="17">
        <f>SUMIFS('Cable Schedule'!$W$2:$W$6275,'Cable Schedule'!$K$2:$K$6275,A78)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Schedule'!$AA$2:$AA$6275,'Cable Schedule'!$K$2:$K$6275,A79)</f>
        <v/>
      </c>
      <c r="G79" s="17">
        <f>SUMIFS('Cable Schedule'!$W$2:$W$6275,'Cable Schedule'!$K$2:$K$6275,A79)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Schedule'!$AA$2:$AA$6275,'Cable Schedule'!$K$2:$K$6275,A80)</f>
        <v/>
      </c>
      <c r="G80" s="17">
        <f>SUMIFS('Cable Schedule'!$W$2:$W$6275,'Cable Schedule'!$K$2:$K$6275,A80)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Schedule'!$AA$2:$AA$6275,'Cable Schedule'!$K$2:$K$6275,A81)</f>
        <v/>
      </c>
      <c r="G81" s="17">
        <f>SUMIFS('Cable Schedule'!$W$2:$W$6275,'Cable Schedule'!$K$2:$K$6275,A81)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Schedule'!$AA$2:$AA$6275,'Cable Schedule'!$K$2:$K$6275,A82)</f>
        <v/>
      </c>
      <c r="G82" s="17">
        <f>SUMIFS('Cable Schedule'!$W$2:$W$6275,'Cable Schedule'!$K$2:$K$6275,A82)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Schedule'!$AA$2:$AA$6275,'Cable Schedule'!$K$2:$K$6275,A83)</f>
        <v/>
      </c>
      <c r="G83" s="17">
        <f>SUMIFS('Cable Schedule'!$W$2:$W$6275,'Cable Schedule'!$K$2:$K$6275,A83)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Schedule'!$AA$2:$AA$6275,'Cable Schedule'!$K$2:$K$6275,A84)</f>
        <v/>
      </c>
      <c r="G84" s="17">
        <f>SUMIFS('Cable Schedule'!$W$2:$W$6275,'Cable Schedule'!$K$2:$K$6275,A84)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Schedule'!$AA$2:$AA$6275,'Cable Schedule'!$K$2:$K$6275,A85)</f>
        <v/>
      </c>
      <c r="G85" s="17">
        <f>SUMIFS('Cable Schedule'!$W$2:$W$6275,'Cable Schedule'!$K$2:$K$6275,A85)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Schedule'!$AA$2:$AA$6275,'Cable Schedule'!$K$2:$K$6275,A86)</f>
        <v/>
      </c>
      <c r="G86" s="17">
        <f>SUMIFS('Cable Schedule'!$W$2:$W$6275,'Cable Schedule'!$K$2:$K$6275,A86)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Schedule'!$AA$2:$AA$6275,'Cable Schedule'!$K$2:$K$6275,A87)</f>
        <v/>
      </c>
      <c r="G87" s="17">
        <f>SUMIFS('Cable Schedule'!$W$2:$W$6275,'Cable Schedule'!$K$2:$K$6275,A87)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Schedule'!$AA$2:$AA$6275,'Cable Schedule'!$K$2:$K$6275,A88)</f>
        <v/>
      </c>
      <c r="G88" s="17">
        <f>SUMIFS('Cable Schedule'!$W$2:$W$6275,'Cable Schedule'!$K$2:$K$6275,A88)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Schedule'!$AA$2:$AA$6275,'Cable Schedule'!$K$2:$K$6275,A89)</f>
        <v/>
      </c>
      <c r="G89" s="17">
        <f>SUMIFS('Cable Schedule'!$W$2:$W$6275,'Cable Schedule'!$K$2:$K$6275,A89)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Schedule'!$AA$2:$AA$6275,'Cable Schedule'!$K$2:$K$6275,A90)</f>
        <v/>
      </c>
      <c r="G90" s="17">
        <f>SUMIFS('Cable Schedule'!$W$2:$W$6275,'Cable Schedule'!$K$2:$K$6275,A90)</f>
        <v/>
      </c>
      <c r="H90" s="18">
        <f>'Read Me'!$B$14</f>
        <v/>
      </c>
      <c r="I90" s="15">
        <f>ROUNDUP(G90*(1+H90),-2)</f>
        <v/>
      </c>
      <c r="J90" s="19" t="n">
        <v>1000</v>
      </c>
      <c r="K90" s="12">
        <f>IF(J90&gt;0,ROUNDUP(I90/J90,0),0)</f>
        <v/>
      </c>
      <c r="L90" s="20">
        <f>I90*0.3048/1000</f>
        <v/>
      </c>
    </row>
    <row r="91">
      <c r="A91" s="12" t="inlineStr">
        <is>
          <t>W|1/C|4/0</t>
        </is>
      </c>
      <c r="B91" s="12" t="inlineStr">
        <is>
          <t>Portable LV</t>
        </is>
      </c>
      <c r="C91" s="12" t="inlineStr">
        <is>
          <t>Type W 2 kV 1/C Cu, EPDM / CPE (portable, cam-lock)</t>
        </is>
      </c>
      <c r="D91" s="12" t="inlineStr">
        <is>
          <t>1/C</t>
        </is>
      </c>
      <c r="E91" s="12" t="inlineStr">
        <is>
          <t>4/0</t>
        </is>
      </c>
      <c r="F91" s="16">
        <f>SUMIFS('Cable Schedule'!$AA$2:$AA$6275,'Cable Schedule'!$K$2:$K$6275,A91)</f>
        <v/>
      </c>
      <c r="G91" s="17">
        <f>SUMIFS('Cable Schedule'!$W$2:$W$6275,'Cable Schedule'!$K$2:$K$6275,A91)</f>
        <v/>
      </c>
      <c r="H91" s="18">
        <f>'Read Me'!$B$14</f>
        <v/>
      </c>
      <c r="I91" s="15">
        <f>ROUNDUP(G91*(1+H91),-2)</f>
        <v/>
      </c>
      <c r="J91" s="19" t="n">
        <v>1000</v>
      </c>
      <c r="K91" s="12">
        <f>IF(J91&gt;0,ROUNDUP(I91/J91,0),0)</f>
        <v/>
      </c>
      <c r="L91" s="20">
        <f>I91*0.3048/1000</f>
        <v/>
      </c>
    </row>
    <row r="92">
      <c r="A92" s="12" t="inlineStr">
        <is>
          <t>MC|2/C+G|12</t>
        </is>
      </c>
      <c r="B92" s="12" t="inlineStr">
        <is>
          <t>Building wire</t>
        </is>
      </c>
      <c r="C92" s="12" t="inlineStr">
        <is>
          <t>Southwire MC 600 V, Cu THHN, Al interlocked armour (branch circuits)</t>
        </is>
      </c>
      <c r="D92" s="12" t="inlineStr">
        <is>
          <t>2/C+G</t>
        </is>
      </c>
      <c r="E92" s="12" t="inlineStr">
        <is>
          <t>12</t>
        </is>
      </c>
      <c r="F92" s="16">
        <f>SUMIFS('Cable Schedule'!$AA$2:$AA$6275,'Cable Schedule'!$K$2:$K$6275,A92)</f>
        <v/>
      </c>
      <c r="G92" s="17">
        <f>SUMIFS('Cable Schedule'!$W$2:$W$6275,'Cable Schedule'!$K$2:$K$6275,A92)</f>
        <v/>
      </c>
      <c r="H92" s="18">
        <f>'Read Me'!$B$14</f>
        <v/>
      </c>
      <c r="I92" s="15">
        <f>ROUNDUP(G92*(1+H92),-2)</f>
        <v/>
      </c>
      <c r="J92" s="19" t="n">
        <v>1000</v>
      </c>
      <c r="K92" s="12">
        <f>IF(J92&gt;0,ROUNDUP(I92/J92,0),0)</f>
        <v/>
      </c>
      <c r="L92" s="20">
        <f>I92*0.3048/1000</f>
        <v/>
      </c>
    </row>
    <row r="93">
      <c r="A93" s="12" t="inlineStr">
        <is>
          <t>MC|3/C+G|12</t>
        </is>
      </c>
      <c r="B93" s="12" t="inlineStr">
        <is>
          <t>Building wire</t>
        </is>
      </c>
      <c r="C93" s="12" t="inlineStr">
        <is>
          <t>Southwire MC 600 V, Cu THHN, Al interlocked armour (branch circuits)</t>
        </is>
      </c>
      <c r="D93" s="12" t="inlineStr">
        <is>
          <t>3/C+G</t>
        </is>
      </c>
      <c r="E93" s="12" t="inlineStr">
        <is>
          <t>12</t>
        </is>
      </c>
      <c r="F93" s="16">
        <f>SUMIFS('Cable Schedule'!$AA$2:$AA$6275,'Cable Schedule'!$K$2:$K$6275,A93)</f>
        <v/>
      </c>
      <c r="G93" s="17">
        <f>SUMIFS('Cable Schedule'!$W$2:$W$6275,'Cable Schedule'!$K$2:$K$6275,A93)</f>
        <v/>
      </c>
      <c r="H93" s="18">
        <f>'Read Me'!$B$14</f>
        <v/>
      </c>
      <c r="I93" s="15">
        <f>ROUNDUP(G93*(1+H93),-2)</f>
        <v/>
      </c>
      <c r="J93" s="19" t="n">
        <v>1000</v>
      </c>
      <c r="K93" s="12">
        <f>IF(J93&gt;0,ROUNDUP(I93/J93,0),0)</f>
        <v/>
      </c>
      <c r="L93" s="20">
        <f>I93*0.3048/1000</f>
        <v/>
      </c>
    </row>
    <row r="94">
      <c r="A94" s="12" t="inlineStr">
        <is>
          <t>THHN|1/C|12</t>
        </is>
      </c>
      <c r="B94" s="12" t="inlineStr">
        <is>
          <t>Building wire</t>
        </is>
      </c>
      <c r="C94" s="12" t="inlineStr">
        <is>
          <t>SIMpull THHN/THWN-2 600 V 1/C Cu (lighting, receptacles, small power)</t>
        </is>
      </c>
      <c r="D94" s="12" t="inlineStr">
        <is>
          <t>1/C</t>
        </is>
      </c>
      <c r="E94" s="12" t="inlineStr">
        <is>
          <t>12</t>
        </is>
      </c>
      <c r="F94" s="16">
        <f>SUMIFS('Cable Schedule'!$AA$2:$AA$6275,'Cable Schedule'!$K$2:$K$6275,A94)</f>
        <v/>
      </c>
      <c r="G94" s="17">
        <f>SUMIFS('Cable Schedule'!$W$2:$W$6275,'Cable Schedule'!$K$2:$K$6275,A94)</f>
        <v/>
      </c>
      <c r="H94" s="18">
        <f>'Read Me'!$B$14</f>
        <v/>
      </c>
      <c r="I94" s="15">
        <f>ROUNDUP(G94*(1+H94),-2)</f>
        <v/>
      </c>
      <c r="J94" s="19" t="n">
        <v>5000</v>
      </c>
      <c r="K94" s="12">
        <f>IF(J94&gt;0,ROUNDUP(I94/J94,0),0)</f>
        <v/>
      </c>
      <c r="L94" s="20">
        <f>I94*0.3048/1000</f>
        <v/>
      </c>
    </row>
    <row r="95">
      <c r="A95" s="12" t="inlineStr">
        <is>
          <t>THHN|1/C|4</t>
        </is>
      </c>
      <c r="B95" s="12" t="inlineStr">
        <is>
          <t>Building wire</t>
        </is>
      </c>
      <c r="C95" s="12" t="inlineStr">
        <is>
          <t>SIMpull THHN/THWN-2 600 V 1/C Cu (lighting, receptacles, small power)</t>
        </is>
      </c>
      <c r="D95" s="12" t="inlineStr">
        <is>
          <t>1/C</t>
        </is>
      </c>
      <c r="E95" s="12" t="inlineStr">
        <is>
          <t>4</t>
        </is>
      </c>
      <c r="F95" s="16">
        <f>SUMIFS('Cable Schedule'!$AA$2:$AA$6275,'Cable Schedule'!$K$2:$K$6275,A95)</f>
        <v/>
      </c>
      <c r="G95" s="17">
        <f>SUMIFS('Cable Schedule'!$W$2:$W$6275,'Cable Schedule'!$K$2:$K$6275,A95)</f>
        <v/>
      </c>
      <c r="H95" s="18">
        <f>'Read Me'!$B$14</f>
        <v/>
      </c>
      <c r="I95" s="15">
        <f>ROUNDUP(G95*(1+H95),-2)</f>
        <v/>
      </c>
      <c r="J95" s="19" t="n">
        <v>5000</v>
      </c>
      <c r="K95" s="12">
        <f>IF(J95&gt;0,ROUNDUP(I95/J95,0),0)</f>
        <v/>
      </c>
      <c r="L95" s="20">
        <f>I95*0.3048/1000</f>
        <v/>
      </c>
    </row>
    <row r="96">
      <c r="A96" s="12" t="inlineStr">
        <is>
          <t>THHN|1/C|2</t>
        </is>
      </c>
      <c r="B96" s="12" t="inlineStr">
        <is>
          <t>Building wire</t>
        </is>
      </c>
      <c r="C96" s="12" t="inlineStr">
        <is>
          <t>SIMpull THHN/THWN-2 600 V 1/C Cu (lighting, receptacles, small power)</t>
        </is>
      </c>
      <c r="D96" s="12" t="inlineStr">
        <is>
          <t>1/C</t>
        </is>
      </c>
      <c r="E96" s="12" t="inlineStr">
        <is>
          <t>2</t>
        </is>
      </c>
      <c r="F96" s="16">
        <f>SUMIFS('Cable Schedule'!$AA$2:$AA$6275,'Cable Schedule'!$K$2:$K$6275,A96)</f>
        <v/>
      </c>
      <c r="G96" s="17">
        <f>SUMIFS('Cable Schedule'!$W$2:$W$6275,'Cable Schedule'!$K$2:$K$6275,A96)</f>
        <v/>
      </c>
      <c r="H96" s="18">
        <f>'Read Me'!$B$14</f>
        <v/>
      </c>
      <c r="I96" s="15">
        <f>ROUNDUP(G96*(1+H96),-2)</f>
        <v/>
      </c>
      <c r="J96" s="19" t="n">
        <v>5000</v>
      </c>
      <c r="K96" s="12">
        <f>IF(J96&gt;0,ROUNDUP(I96/J96,0),0)</f>
        <v/>
      </c>
      <c r="L96" s="20">
        <f>I96*0.3048/1000</f>
        <v/>
      </c>
    </row>
    <row r="97">
      <c r="A97" s="12" t="inlineStr">
        <is>
          <t>THHN|1/C|1</t>
        </is>
      </c>
      <c r="B97" s="12" t="inlineStr">
        <is>
          <t>Building wire</t>
        </is>
      </c>
      <c r="C97" s="12" t="inlineStr">
        <is>
          <t>SIMpull THHN/THWN-2 600 V 1/C Cu (lighting, receptacles, small power)</t>
        </is>
      </c>
      <c r="D97" s="12" t="inlineStr">
        <is>
          <t>1/C</t>
        </is>
      </c>
      <c r="E97" s="12" t="inlineStr">
        <is>
          <t>1</t>
        </is>
      </c>
      <c r="F97" s="16">
        <f>SUMIFS('Cable Schedule'!$AA$2:$AA$6275,'Cable Schedule'!$K$2:$K$6275,A97)</f>
        <v/>
      </c>
      <c r="G97" s="17">
        <f>SUMIFS('Cable Schedule'!$W$2:$W$6275,'Cable Schedule'!$K$2:$K$6275,A97)</f>
        <v/>
      </c>
      <c r="H97" s="18">
        <f>'Read Me'!$B$14</f>
        <v/>
      </c>
      <c r="I97" s="15">
        <f>ROUNDUP(G97*(1+H97),-2)</f>
        <v/>
      </c>
      <c r="J97" s="19" t="n">
        <v>5000</v>
      </c>
      <c r="K97" s="12">
        <f>IF(J97&gt;0,ROUNDUP(I97/J97,0),0)</f>
        <v/>
      </c>
      <c r="L97" s="20">
        <f>I97*0.3048/1000</f>
        <v/>
      </c>
    </row>
    <row r="98">
      <c r="A98" s="12" t="inlineStr">
        <is>
          <t>THHN|1/C|4/0</t>
        </is>
      </c>
      <c r="B98" s="12" t="inlineStr">
        <is>
          <t>Building wire</t>
        </is>
      </c>
      <c r="C98" s="12" t="inlineStr">
        <is>
          <t>SIMpull THHN/THWN-2 600 V 1/C Cu (lighting, receptacles, small power)</t>
        </is>
      </c>
      <c r="D98" s="12" t="inlineStr">
        <is>
          <t>1/C</t>
        </is>
      </c>
      <c r="E98" s="12" t="inlineStr">
        <is>
          <t>4/0</t>
        </is>
      </c>
      <c r="F98" s="16">
        <f>SUMIFS('Cable Schedule'!$AA$2:$AA$6275,'Cable Schedule'!$K$2:$K$6275,A98)</f>
        <v/>
      </c>
      <c r="G98" s="17">
        <f>SUMIFS('Cable Schedule'!$W$2:$W$6275,'Cable Schedule'!$K$2:$K$6275,A98)</f>
        <v/>
      </c>
      <c r="H98" s="18">
        <f>'Read Me'!$B$14</f>
        <v/>
      </c>
      <c r="I98" s="15">
        <f>ROUNDUP(G98*(1+H98),-2)</f>
        <v/>
      </c>
      <c r="J98" s="19" t="n">
        <v>5000</v>
      </c>
      <c r="K98" s="12">
        <f>IF(J98&gt;0,ROUNDUP(I98/J98,0),0)</f>
        <v/>
      </c>
      <c r="L98" s="20">
        <f>I98*0.3048/1000</f>
        <v/>
      </c>
    </row>
    <row r="99">
      <c r="A99" s="12" t="inlineStr">
        <is>
          <t>THHN|1/C|3</t>
        </is>
      </c>
      <c r="B99" s="12" t="inlineStr">
        <is>
          <t>Building wire</t>
        </is>
      </c>
      <c r="C99" s="12" t="inlineStr">
        <is>
          <t>SIMpull THHN/THWN-2 600 V 1/C Cu (lighting, receptacles, small power)</t>
        </is>
      </c>
      <c r="D99" s="12" t="inlineStr">
        <is>
          <t>1/C</t>
        </is>
      </c>
      <c r="E99" s="12" t="inlineStr">
        <is>
          <t>3</t>
        </is>
      </c>
      <c r="F99" s="16">
        <f>SUMIFS('Cable Schedule'!$AA$2:$AA$6275,'Cable Schedule'!$K$2:$K$6275,A99)</f>
        <v/>
      </c>
      <c r="G99" s="17">
        <f>SUMIFS('Cable Schedule'!$W$2:$W$6275,'Cable Schedule'!$K$2:$K$6275,A99)</f>
        <v/>
      </c>
      <c r="H99" s="18">
        <f>'Read Me'!$B$14</f>
        <v/>
      </c>
      <c r="I99" s="15">
        <f>ROUNDUP(G99*(1+H99),-2)</f>
        <v/>
      </c>
      <c r="J99" s="19" t="n">
        <v>5000</v>
      </c>
      <c r="K99" s="12">
        <f>IF(J99&gt;0,ROUNDUP(I99/J99,0),0)</f>
        <v/>
      </c>
      <c r="L99" s="20">
        <f>I99*0.3048/1000</f>
        <v/>
      </c>
    </row>
    <row r="100">
      <c r="A100" s="12" t="inlineStr">
        <is>
          <t>BARE|1/C|4/0</t>
        </is>
      </c>
      <c r="B100" s="12" t="inlineStr">
        <is>
          <t>Grounding</t>
        </is>
      </c>
      <c r="C100" s="12" t="inlineStr">
        <is>
          <t>Bare Cu 4/0 AWG, 19 strand (ground grid and equipment grounds)</t>
        </is>
      </c>
      <c r="D100" s="12" t="inlineStr">
        <is>
          <t>1/C</t>
        </is>
      </c>
      <c r="E100" s="12" t="inlineStr">
        <is>
          <t>4/0</t>
        </is>
      </c>
      <c r="F100" s="16">
        <f>SUMIFS('Cable Schedule'!$AA$2:$AA$6275,'Cable Schedule'!$K$2:$K$6275,A100)</f>
        <v/>
      </c>
      <c r="G100" s="17">
        <f>SUMIFS('Cable Schedule'!$W$2:$W$6275,'Cable Schedule'!$K$2:$K$6275,A100)</f>
        <v/>
      </c>
      <c r="H100" s="18">
        <f>'Read Me'!$B$14</f>
        <v/>
      </c>
      <c r="I100" s="15">
        <f>ROUNDUP(G100*(1+H100),-2)</f>
        <v/>
      </c>
      <c r="J100" s="19" t="n">
        <v>5000</v>
      </c>
      <c r="K100" s="12">
        <f>IF(J100&gt;0,ROUNDUP(I100/J100,0),0)</f>
        <v/>
      </c>
      <c r="L100" s="20">
        <f>I100*0.3048/1000</f>
        <v/>
      </c>
    </row>
    <row r="101">
      <c r="A101" s="12" t="inlineStr">
        <is>
          <t>ACSR|1/C|1590</t>
        </is>
      </c>
      <c r="B101" s="12" t="inlineStr">
        <is>
          <t>Overhead</t>
        </is>
      </c>
      <c r="C101" s="12" t="inlineStr">
        <is>
          <t>Overhead conductor ACSR 1590 kcmil 'Falcon' (typ.)</t>
        </is>
      </c>
      <c r="D101" s="12" t="inlineStr">
        <is>
          <t>1/C</t>
        </is>
      </c>
      <c r="E101" s="12" t="inlineStr">
        <is>
          <t>1590 kcmil</t>
        </is>
      </c>
      <c r="F101" s="16">
        <f>SUMIFS('Cable Schedule'!$AA$2:$AA$6275,'Cable Schedule'!$K$2:$K$6275,A101)</f>
        <v/>
      </c>
      <c r="G101" s="17">
        <f>SUMIFS('Cable Schedule'!$W$2:$W$6275,'Cable Schedule'!$K$2:$K$6275,A101)</f>
        <v/>
      </c>
      <c r="H101" s="18">
        <f>'Read Me'!$B$14</f>
        <v/>
      </c>
      <c r="I101" s="15">
        <f>ROUNDUP(G101*(1+H101),-2)</f>
        <v/>
      </c>
      <c r="J101" s="19" t="n">
        <v>7000</v>
      </c>
      <c r="K101" s="12">
        <f>IF(J101&gt;0,ROUNDUP(I101/J101,0),0)</f>
        <v/>
      </c>
      <c r="L101" s="20">
        <f>I101*0.3048/1000</f>
        <v/>
      </c>
    </row>
    <row r="102">
      <c r="C102" s="21" t="inlineStr">
        <is>
          <t>Total</t>
        </is>
      </c>
      <c r="F102" s="22">
        <f>SUM(F2:F101)</f>
        <v/>
      </c>
      <c r="G102" s="22">
        <f>SUM(G2:G101)</f>
        <v/>
      </c>
      <c r="I102" s="22">
        <f>SUM(I2:I101)</f>
        <v/>
      </c>
      <c r="K102" s="22">
        <f>SUM(K2:K101)</f>
        <v/>
      </c>
      <c r="L102" s="23">
        <f>SUM(L2:L101)</f>
        <v/>
      </c>
    </row>
    <row r="104">
      <c r="A104"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Schedule'!X2:X6275)</f>
        <v/>
      </c>
    </row>
    <row r="3">
      <c r="A3" s="12" t="inlineStr">
        <is>
          <t>ARMOR-X / Type W connectors and glands</t>
        </is>
      </c>
      <c r="B3" s="17">
        <f>SUM('Cable Schedule'!Y2:Y6275)</f>
        <v/>
      </c>
    </row>
    <row r="4">
      <c r="A4" s="12" t="inlineStr">
        <is>
          <t>MV splice kits (allowance: 1 per 2,500 ft of MV 1/C)</t>
        </is>
      </c>
      <c r="B4" s="17">
        <f>ROUNDUP(SUMIFS('Cable Schedule'!W2:W6275,'Cable Schedule'!I2:I6275,"MV*",'Cable Schedule'!L2:L6275,"1/C")/2500,0)</f>
        <v/>
      </c>
    </row>
    <row r="5">
      <c r="A5" s="12" t="inlineStr">
        <is>
          <t>230 kV outdoor terminations</t>
        </is>
      </c>
      <c r="B5" s="17">
        <f>2*SUMIFS('Cable Schedule'!O2:O6275,'Cable Schedule'!I2:I6275,"HV 230 kV")</f>
        <v/>
      </c>
    </row>
    <row r="6">
      <c r="A6" s="12" t="inlineStr">
        <is>
          <t>600 V compression lugs (power, 4 per end)</t>
        </is>
      </c>
      <c r="B6" s="17">
        <f>2*4*SUMIFS('Cable Schedule'!N2:N6275,'Cable Schedule'!I2:I6275,"LV 600 V")</f>
        <v/>
      </c>
    </row>
    <row r="7">
      <c r="A7" s="12" t="inlineStr">
        <is>
          <t>Instrument / control cable glands (2 per run)</t>
        </is>
      </c>
      <c r="B7" s="17">
        <f>2*(COUNTIF('Cable Schedule'!I2:I6275,"Control")+COUNTIF('Cable Schedule'!I2:I6275,"Instrumentation"))</f>
        <v/>
      </c>
    </row>
    <row r="8">
      <c r="A8" s="12" t="inlineStr">
        <is>
          <t>Fibre patch / termination (2 per link)</t>
        </is>
      </c>
      <c r="B8" s="17">
        <f>2*COUNTIF('Cable Schedule'!I2:I6275,"Fibre / data")</f>
        <v/>
      </c>
    </row>
    <row r="9">
      <c r="A9" s="12" t="inlineStr">
        <is>
          <t>Ground connections: exothermic welds (allowance 1 per 25 ft of grid)</t>
        </is>
      </c>
      <c r="B9" s="17">
        <f>ROUNDUP(SUMIFS('Cable Schedule'!W2:W6275,'Cable Schedule'!I2:I6275,"Grounding")/25,0)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Schedule'!$W$2:$W$6275,'Cable Schedule'!$B$2:$B$6275,"A",'Cable Schedule'!$I$2:$I$6275,"MV 15 kV")</f>
        <v/>
      </c>
      <c r="C3" s="17">
        <f>SUMIFS('Cable Schedule'!$W$2:$W$6275,'Cable Schedule'!$B$2:$B$6275,"A",'Cable Schedule'!$I$2:$I$6275,"MV 5 kV")</f>
        <v/>
      </c>
      <c r="D3" s="17">
        <f>SUMIFS('Cable Schedule'!$W$2:$W$6275,'Cable Schedule'!$B$2:$B$6275,"A",'Cable Schedule'!$I$2:$I$6275,"MV 25 kV")</f>
        <v/>
      </c>
      <c r="E3" s="17">
        <f>SUMIFS('Cable Schedule'!$W$2:$W$6275,'Cable Schedule'!$B$2:$B$6275,"A",'Cable Schedule'!$I$2:$I$6275,"MV 35 kV")</f>
        <v/>
      </c>
      <c r="F3" s="17">
        <f>SUMIFS('Cable Schedule'!$W$2:$W$6275,'Cable Schedule'!$B$2:$B$6275,"A",'Cable Schedule'!$I$2:$I$6275,"HV 230 kV")</f>
        <v/>
      </c>
      <c r="G3" s="17">
        <f>SUMIFS('Cable Schedule'!$W$2:$W$6275,'Cable Schedule'!$B$2:$B$6275,"A",'Cable Schedule'!$I$2:$I$6275,"LV 600 V")</f>
        <v/>
      </c>
      <c r="H3" s="17">
        <f>SUMIFS('Cable Schedule'!$W$2:$W$6275,'Cable Schedule'!$B$2:$B$6275,"A",'Cable Schedule'!$I$2:$I$6275,"Control")</f>
        <v/>
      </c>
      <c r="I3" s="17">
        <f>SUMIFS('Cable Schedule'!$W$2:$W$6275,'Cable Schedule'!$B$2:$B$6275,"A",'Cable Schedule'!$I$2:$I$6275,"Instrumentation")</f>
        <v/>
      </c>
      <c r="J3" s="17">
        <f>SUMIFS('Cable Schedule'!$W$2:$W$6275,'Cable Schedule'!$B$2:$B$6275,"A",'Cable Schedule'!$I$2:$I$6275,"Fire alarm")</f>
        <v/>
      </c>
      <c r="K3" s="17">
        <f>SUMIFS('Cable Schedule'!$W$2:$W$6275,'Cable Schedule'!$B$2:$B$6275,"A",'Cable Schedule'!$I$2:$I$6275,"Fibre / data")</f>
        <v/>
      </c>
      <c r="L3" s="17">
        <f>SUMIFS('Cable Schedule'!$W$2:$W$6275,'Cable Schedule'!$B$2:$B$6275,"A",'Cable Schedule'!$I$2:$I$6275,"DC 2 kV")</f>
        <v/>
      </c>
      <c r="M3" s="17">
        <f>SUMIFS('Cable Schedule'!$W$2:$W$6275,'Cable Schedule'!$B$2:$B$6275,"A",'Cable Schedule'!$I$2:$I$6275,"Portable MV")</f>
        <v/>
      </c>
      <c r="N3" s="17">
        <f>SUMIFS('Cable Schedule'!$W$2:$W$6275,'Cable Schedule'!$B$2:$B$6275,"A",'Cable Schedule'!$I$2:$I$6275,"Portable LV")</f>
        <v/>
      </c>
      <c r="O3" s="17">
        <f>SUMIFS('Cable Schedule'!$W$2:$W$6275,'Cable Schedule'!$B$2:$B$6275,"A",'Cable Schedule'!$I$2:$I$6275,"Building wire")</f>
        <v/>
      </c>
      <c r="P3" s="17">
        <f>SUMIFS('Cable Schedule'!$W$2:$W$6275,'Cable Schedule'!$B$2:$B$6275,"A",'Cable Schedule'!$I$2:$I$6275,"Grounding")</f>
        <v/>
      </c>
      <c r="Q3" s="17">
        <f>SUMIFS('Cable Schedule'!$W$2:$W$6275,'Cable Schedule'!$B$2:$B$6275,"A",'Cable Schedule'!$I$2:$I$6275,"Overhead")</f>
        <v/>
      </c>
      <c r="R3" s="27">
        <f>SUM(B3:Q3)</f>
        <v/>
      </c>
    </row>
    <row r="4">
      <c r="A4" s="12" t="inlineStr">
        <is>
          <t>B  ACC</t>
        </is>
      </c>
      <c r="B4" s="17">
        <f>SUMIFS('Cable Schedule'!$W$2:$W$6275,'Cable Schedule'!$B$2:$B$6275,"B",'Cable Schedule'!$I$2:$I$6275,"MV 15 kV")</f>
        <v/>
      </c>
      <c r="C4" s="17">
        <f>SUMIFS('Cable Schedule'!$W$2:$W$6275,'Cable Schedule'!$B$2:$B$6275,"B",'Cable Schedule'!$I$2:$I$6275,"MV 5 kV")</f>
        <v/>
      </c>
      <c r="D4" s="17">
        <f>SUMIFS('Cable Schedule'!$W$2:$W$6275,'Cable Schedule'!$B$2:$B$6275,"B",'Cable Schedule'!$I$2:$I$6275,"MV 25 kV")</f>
        <v/>
      </c>
      <c r="E4" s="17">
        <f>SUMIFS('Cable Schedule'!$W$2:$W$6275,'Cable Schedule'!$B$2:$B$6275,"B",'Cable Schedule'!$I$2:$I$6275,"MV 35 kV")</f>
        <v/>
      </c>
      <c r="F4" s="17">
        <f>SUMIFS('Cable Schedule'!$W$2:$W$6275,'Cable Schedule'!$B$2:$B$6275,"B",'Cable Schedule'!$I$2:$I$6275,"HV 230 kV")</f>
        <v/>
      </c>
      <c r="G4" s="17">
        <f>SUMIFS('Cable Schedule'!$W$2:$W$6275,'Cable Schedule'!$B$2:$B$6275,"B",'Cable Schedule'!$I$2:$I$6275,"LV 600 V")</f>
        <v/>
      </c>
      <c r="H4" s="17">
        <f>SUMIFS('Cable Schedule'!$W$2:$W$6275,'Cable Schedule'!$B$2:$B$6275,"B",'Cable Schedule'!$I$2:$I$6275,"Control")</f>
        <v/>
      </c>
      <c r="I4" s="17">
        <f>SUMIFS('Cable Schedule'!$W$2:$W$6275,'Cable Schedule'!$B$2:$B$6275,"B",'Cable Schedule'!$I$2:$I$6275,"Instrumentation")</f>
        <v/>
      </c>
      <c r="J4" s="17">
        <f>SUMIFS('Cable Schedule'!$W$2:$W$6275,'Cable Schedule'!$B$2:$B$6275,"B",'Cable Schedule'!$I$2:$I$6275,"Fire alarm")</f>
        <v/>
      </c>
      <c r="K4" s="17">
        <f>SUMIFS('Cable Schedule'!$W$2:$W$6275,'Cable Schedule'!$B$2:$B$6275,"B",'Cable Schedule'!$I$2:$I$6275,"Fibre / data")</f>
        <v/>
      </c>
      <c r="L4" s="17">
        <f>SUMIFS('Cable Schedule'!$W$2:$W$6275,'Cable Schedule'!$B$2:$B$6275,"B",'Cable Schedule'!$I$2:$I$6275,"DC 2 kV")</f>
        <v/>
      </c>
      <c r="M4" s="17">
        <f>SUMIFS('Cable Schedule'!$W$2:$W$6275,'Cable Schedule'!$B$2:$B$6275,"B",'Cable Schedule'!$I$2:$I$6275,"Portable MV")</f>
        <v/>
      </c>
      <c r="N4" s="17">
        <f>SUMIFS('Cable Schedule'!$W$2:$W$6275,'Cable Schedule'!$B$2:$B$6275,"B",'Cable Schedule'!$I$2:$I$6275,"Portable LV")</f>
        <v/>
      </c>
      <c r="O4" s="17">
        <f>SUMIFS('Cable Schedule'!$W$2:$W$6275,'Cable Schedule'!$B$2:$B$6275,"B",'Cable Schedule'!$I$2:$I$6275,"Building wire")</f>
        <v/>
      </c>
      <c r="P4" s="17">
        <f>SUMIFS('Cable Schedule'!$W$2:$W$6275,'Cable Schedule'!$B$2:$B$6275,"B",'Cable Schedule'!$I$2:$I$6275,"Grounding")</f>
        <v/>
      </c>
      <c r="Q4" s="17">
        <f>SUMIFS('Cable Schedule'!$W$2:$W$6275,'Cable Schedule'!$B$2:$B$6275,"B",'Cable Schedule'!$I$2:$I$6275,"Overhead")</f>
        <v/>
      </c>
      <c r="R4" s="27">
        <f>SUM(B4:Q4)</f>
        <v/>
      </c>
    </row>
    <row r="5">
      <c r="A5" s="12" t="inlineStr">
        <is>
          <t>C  Grid interface</t>
        </is>
      </c>
      <c r="B5" s="17">
        <f>SUMIFS('Cable Schedule'!$W$2:$W$6275,'Cable Schedule'!$B$2:$B$6275,"C",'Cable Schedule'!$I$2:$I$6275,"MV 15 kV")</f>
        <v/>
      </c>
      <c r="C5" s="17">
        <f>SUMIFS('Cable Schedule'!$W$2:$W$6275,'Cable Schedule'!$B$2:$B$6275,"C",'Cable Schedule'!$I$2:$I$6275,"MV 5 kV")</f>
        <v/>
      </c>
      <c r="D5" s="17">
        <f>SUMIFS('Cable Schedule'!$W$2:$W$6275,'Cable Schedule'!$B$2:$B$6275,"C",'Cable Schedule'!$I$2:$I$6275,"MV 25 kV")</f>
        <v/>
      </c>
      <c r="E5" s="17">
        <f>SUMIFS('Cable Schedule'!$W$2:$W$6275,'Cable Schedule'!$B$2:$B$6275,"C",'Cable Schedule'!$I$2:$I$6275,"MV 35 kV")</f>
        <v/>
      </c>
      <c r="F5" s="17">
        <f>SUMIFS('Cable Schedule'!$W$2:$W$6275,'Cable Schedule'!$B$2:$B$6275,"C",'Cable Schedule'!$I$2:$I$6275,"HV 230 kV")</f>
        <v/>
      </c>
      <c r="G5" s="17">
        <f>SUMIFS('Cable Schedule'!$W$2:$W$6275,'Cable Schedule'!$B$2:$B$6275,"C",'Cable Schedule'!$I$2:$I$6275,"LV 600 V")</f>
        <v/>
      </c>
      <c r="H5" s="17">
        <f>SUMIFS('Cable Schedule'!$W$2:$W$6275,'Cable Schedule'!$B$2:$B$6275,"C",'Cable Schedule'!$I$2:$I$6275,"Control")</f>
        <v/>
      </c>
      <c r="I5" s="17">
        <f>SUMIFS('Cable Schedule'!$W$2:$W$6275,'Cable Schedule'!$B$2:$B$6275,"C",'Cable Schedule'!$I$2:$I$6275,"Instrumentation")</f>
        <v/>
      </c>
      <c r="J5" s="17">
        <f>SUMIFS('Cable Schedule'!$W$2:$W$6275,'Cable Schedule'!$B$2:$B$6275,"C",'Cable Schedule'!$I$2:$I$6275,"Fire alarm")</f>
        <v/>
      </c>
      <c r="K5" s="17">
        <f>SUMIFS('Cable Schedule'!$W$2:$W$6275,'Cable Schedule'!$B$2:$B$6275,"C",'Cable Schedule'!$I$2:$I$6275,"Fibre / data")</f>
        <v/>
      </c>
      <c r="L5" s="17">
        <f>SUMIFS('Cable Schedule'!$W$2:$W$6275,'Cable Schedule'!$B$2:$B$6275,"C",'Cable Schedule'!$I$2:$I$6275,"DC 2 kV")</f>
        <v/>
      </c>
      <c r="M5" s="17">
        <f>SUMIFS('Cable Schedule'!$W$2:$W$6275,'Cable Schedule'!$B$2:$B$6275,"C",'Cable Schedule'!$I$2:$I$6275,"Portable MV")</f>
        <v/>
      </c>
      <c r="N5" s="17">
        <f>SUMIFS('Cable Schedule'!$W$2:$W$6275,'Cable Schedule'!$B$2:$B$6275,"C",'Cable Schedule'!$I$2:$I$6275,"Portable LV")</f>
        <v/>
      </c>
      <c r="O5" s="17">
        <f>SUMIFS('Cable Schedule'!$W$2:$W$6275,'Cable Schedule'!$B$2:$B$6275,"C",'Cable Schedule'!$I$2:$I$6275,"Building wire")</f>
        <v/>
      </c>
      <c r="P5" s="17">
        <f>SUMIFS('Cable Schedule'!$W$2:$W$6275,'Cable Schedule'!$B$2:$B$6275,"C",'Cable Schedule'!$I$2:$I$6275,"Grounding")</f>
        <v/>
      </c>
      <c r="Q5" s="17">
        <f>SUMIFS('Cable Schedule'!$W$2:$W$6275,'Cable Schedule'!$B$2:$B$6275,"C",'Cable Schedule'!$I$2:$I$6275,"Overhead")</f>
        <v/>
      </c>
      <c r="R5" s="27">
        <f>SUM(B5:Q5)</f>
        <v/>
      </c>
    </row>
    <row r="6">
      <c r="A6" s="12" t="inlineStr">
        <is>
          <t>D  Fuel gas</t>
        </is>
      </c>
      <c r="B6" s="17">
        <f>SUMIFS('Cable Schedule'!$W$2:$W$6275,'Cable Schedule'!$B$2:$B$6275,"D",'Cable Schedule'!$I$2:$I$6275,"MV 15 kV")</f>
        <v/>
      </c>
      <c r="C6" s="17">
        <f>SUMIFS('Cable Schedule'!$W$2:$W$6275,'Cable Schedule'!$B$2:$B$6275,"D",'Cable Schedule'!$I$2:$I$6275,"MV 5 kV")</f>
        <v/>
      </c>
      <c r="D6" s="17">
        <f>SUMIFS('Cable Schedule'!$W$2:$W$6275,'Cable Schedule'!$B$2:$B$6275,"D",'Cable Schedule'!$I$2:$I$6275,"MV 25 kV")</f>
        <v/>
      </c>
      <c r="E6" s="17">
        <f>SUMIFS('Cable Schedule'!$W$2:$W$6275,'Cable Schedule'!$B$2:$B$6275,"D",'Cable Schedule'!$I$2:$I$6275,"MV 35 kV")</f>
        <v/>
      </c>
      <c r="F6" s="17">
        <f>SUMIFS('Cable Schedule'!$W$2:$W$6275,'Cable Schedule'!$B$2:$B$6275,"D",'Cable Schedule'!$I$2:$I$6275,"HV 230 kV")</f>
        <v/>
      </c>
      <c r="G6" s="17">
        <f>SUMIFS('Cable Schedule'!$W$2:$W$6275,'Cable Schedule'!$B$2:$B$6275,"D",'Cable Schedule'!$I$2:$I$6275,"LV 600 V")</f>
        <v/>
      </c>
      <c r="H6" s="17">
        <f>SUMIFS('Cable Schedule'!$W$2:$W$6275,'Cable Schedule'!$B$2:$B$6275,"D",'Cable Schedule'!$I$2:$I$6275,"Control")</f>
        <v/>
      </c>
      <c r="I6" s="17">
        <f>SUMIFS('Cable Schedule'!$W$2:$W$6275,'Cable Schedule'!$B$2:$B$6275,"D",'Cable Schedule'!$I$2:$I$6275,"Instrumentation")</f>
        <v/>
      </c>
      <c r="J6" s="17">
        <f>SUMIFS('Cable Schedule'!$W$2:$W$6275,'Cable Schedule'!$B$2:$B$6275,"D",'Cable Schedule'!$I$2:$I$6275,"Fire alarm")</f>
        <v/>
      </c>
      <c r="K6" s="17">
        <f>SUMIFS('Cable Schedule'!$W$2:$W$6275,'Cable Schedule'!$B$2:$B$6275,"D",'Cable Schedule'!$I$2:$I$6275,"Fibre / data")</f>
        <v/>
      </c>
      <c r="L6" s="17">
        <f>SUMIFS('Cable Schedule'!$W$2:$W$6275,'Cable Schedule'!$B$2:$B$6275,"D",'Cable Schedule'!$I$2:$I$6275,"DC 2 kV")</f>
        <v/>
      </c>
      <c r="M6" s="17">
        <f>SUMIFS('Cable Schedule'!$W$2:$W$6275,'Cable Schedule'!$B$2:$B$6275,"D",'Cable Schedule'!$I$2:$I$6275,"Portable MV")</f>
        <v/>
      </c>
      <c r="N6" s="17">
        <f>SUMIFS('Cable Schedule'!$W$2:$W$6275,'Cable Schedule'!$B$2:$B$6275,"D",'Cable Schedule'!$I$2:$I$6275,"Portable LV")</f>
        <v/>
      </c>
      <c r="O6" s="17">
        <f>SUMIFS('Cable Schedule'!$W$2:$W$6275,'Cable Schedule'!$B$2:$B$6275,"D",'Cable Schedule'!$I$2:$I$6275,"Building wire")</f>
        <v/>
      </c>
      <c r="P6" s="17">
        <f>SUMIFS('Cable Schedule'!$W$2:$W$6275,'Cable Schedule'!$B$2:$B$6275,"D",'Cable Schedule'!$I$2:$I$6275,"Grounding")</f>
        <v/>
      </c>
      <c r="Q6" s="17">
        <f>SUMIFS('Cable Schedule'!$W$2:$W$6275,'Cable Schedule'!$B$2:$B$6275,"D",'Cable Schedule'!$I$2:$I$6275,"Overhead")</f>
        <v/>
      </c>
      <c r="R6" s="27">
        <f>SUM(B6:Q6)</f>
        <v/>
      </c>
    </row>
    <row r="7">
      <c r="A7" s="12" t="inlineStr">
        <is>
          <t>E  Water / utilities</t>
        </is>
      </c>
      <c r="B7" s="17">
        <f>SUMIFS('Cable Schedule'!$W$2:$W$6275,'Cable Schedule'!$B$2:$B$6275,"E",'Cable Schedule'!$I$2:$I$6275,"MV 15 kV")</f>
        <v/>
      </c>
      <c r="C7" s="17">
        <f>SUMIFS('Cable Schedule'!$W$2:$W$6275,'Cable Schedule'!$B$2:$B$6275,"E",'Cable Schedule'!$I$2:$I$6275,"MV 5 kV")</f>
        <v/>
      </c>
      <c r="D7" s="17">
        <f>SUMIFS('Cable Schedule'!$W$2:$W$6275,'Cable Schedule'!$B$2:$B$6275,"E",'Cable Schedule'!$I$2:$I$6275,"MV 25 kV")</f>
        <v/>
      </c>
      <c r="E7" s="17">
        <f>SUMIFS('Cable Schedule'!$W$2:$W$6275,'Cable Schedule'!$B$2:$B$6275,"E",'Cable Schedule'!$I$2:$I$6275,"MV 35 kV")</f>
        <v/>
      </c>
      <c r="F7" s="17">
        <f>SUMIFS('Cable Schedule'!$W$2:$W$6275,'Cable Schedule'!$B$2:$B$6275,"E",'Cable Schedule'!$I$2:$I$6275,"HV 230 kV")</f>
        <v/>
      </c>
      <c r="G7" s="17">
        <f>SUMIFS('Cable Schedule'!$W$2:$W$6275,'Cable Schedule'!$B$2:$B$6275,"E",'Cable Schedule'!$I$2:$I$6275,"LV 600 V")</f>
        <v/>
      </c>
      <c r="H7" s="17">
        <f>SUMIFS('Cable Schedule'!$W$2:$W$6275,'Cable Schedule'!$B$2:$B$6275,"E",'Cable Schedule'!$I$2:$I$6275,"Control")</f>
        <v/>
      </c>
      <c r="I7" s="17">
        <f>SUMIFS('Cable Schedule'!$W$2:$W$6275,'Cable Schedule'!$B$2:$B$6275,"E",'Cable Schedule'!$I$2:$I$6275,"Instrumentation")</f>
        <v/>
      </c>
      <c r="J7" s="17">
        <f>SUMIFS('Cable Schedule'!$W$2:$W$6275,'Cable Schedule'!$B$2:$B$6275,"E",'Cable Schedule'!$I$2:$I$6275,"Fire alarm")</f>
        <v/>
      </c>
      <c r="K7" s="17">
        <f>SUMIFS('Cable Schedule'!$W$2:$W$6275,'Cable Schedule'!$B$2:$B$6275,"E",'Cable Schedule'!$I$2:$I$6275,"Fibre / data")</f>
        <v/>
      </c>
      <c r="L7" s="17">
        <f>SUMIFS('Cable Schedule'!$W$2:$W$6275,'Cable Schedule'!$B$2:$B$6275,"E",'Cable Schedule'!$I$2:$I$6275,"DC 2 kV")</f>
        <v/>
      </c>
      <c r="M7" s="17">
        <f>SUMIFS('Cable Schedule'!$W$2:$W$6275,'Cable Schedule'!$B$2:$B$6275,"E",'Cable Schedule'!$I$2:$I$6275,"Portable MV")</f>
        <v/>
      </c>
      <c r="N7" s="17">
        <f>SUMIFS('Cable Schedule'!$W$2:$W$6275,'Cable Schedule'!$B$2:$B$6275,"E",'Cable Schedule'!$I$2:$I$6275,"Portable LV")</f>
        <v/>
      </c>
      <c r="O7" s="17">
        <f>SUMIFS('Cable Schedule'!$W$2:$W$6275,'Cable Schedule'!$B$2:$B$6275,"E",'Cable Schedule'!$I$2:$I$6275,"Building wire")</f>
        <v/>
      </c>
      <c r="P7" s="17">
        <f>SUMIFS('Cable Schedule'!$W$2:$W$6275,'Cable Schedule'!$B$2:$B$6275,"E",'Cable Schedule'!$I$2:$I$6275,"Grounding")</f>
        <v/>
      </c>
      <c r="Q7" s="17">
        <f>SUMIFS('Cable Schedule'!$W$2:$W$6275,'Cable Schedule'!$B$2:$B$6275,"E",'Cable Schedule'!$I$2:$I$6275,"Overhead")</f>
        <v/>
      </c>
      <c r="R7" s="27">
        <f>SUM(B7:Q7)</f>
        <v/>
      </c>
    </row>
    <row r="8">
      <c r="A8" s="12" t="inlineStr">
        <is>
          <t>F  Controls / service</t>
        </is>
      </c>
      <c r="B8" s="17">
        <f>SUMIFS('Cable Schedule'!$W$2:$W$6275,'Cable Schedule'!$B$2:$B$6275,"F",'Cable Schedule'!$I$2:$I$6275,"MV 15 kV")</f>
        <v/>
      </c>
      <c r="C8" s="17">
        <f>SUMIFS('Cable Schedule'!$W$2:$W$6275,'Cable Schedule'!$B$2:$B$6275,"F",'Cable Schedule'!$I$2:$I$6275,"MV 5 kV")</f>
        <v/>
      </c>
      <c r="D8" s="17">
        <f>SUMIFS('Cable Schedule'!$W$2:$W$6275,'Cable Schedule'!$B$2:$B$6275,"F",'Cable Schedule'!$I$2:$I$6275,"MV 25 kV")</f>
        <v/>
      </c>
      <c r="E8" s="17">
        <f>SUMIFS('Cable Schedule'!$W$2:$W$6275,'Cable Schedule'!$B$2:$B$6275,"F",'Cable Schedule'!$I$2:$I$6275,"MV 35 kV")</f>
        <v/>
      </c>
      <c r="F8" s="17">
        <f>SUMIFS('Cable Schedule'!$W$2:$W$6275,'Cable Schedule'!$B$2:$B$6275,"F",'Cable Schedule'!$I$2:$I$6275,"HV 230 kV")</f>
        <v/>
      </c>
      <c r="G8" s="17">
        <f>SUMIFS('Cable Schedule'!$W$2:$W$6275,'Cable Schedule'!$B$2:$B$6275,"F",'Cable Schedule'!$I$2:$I$6275,"LV 600 V")</f>
        <v/>
      </c>
      <c r="H8" s="17">
        <f>SUMIFS('Cable Schedule'!$W$2:$W$6275,'Cable Schedule'!$B$2:$B$6275,"F",'Cable Schedule'!$I$2:$I$6275,"Control")</f>
        <v/>
      </c>
      <c r="I8" s="17">
        <f>SUMIFS('Cable Schedule'!$W$2:$W$6275,'Cable Schedule'!$B$2:$B$6275,"F",'Cable Schedule'!$I$2:$I$6275,"Instrumentation")</f>
        <v/>
      </c>
      <c r="J8" s="17">
        <f>SUMIFS('Cable Schedule'!$W$2:$W$6275,'Cable Schedule'!$B$2:$B$6275,"F",'Cable Schedule'!$I$2:$I$6275,"Fire alarm")</f>
        <v/>
      </c>
      <c r="K8" s="17">
        <f>SUMIFS('Cable Schedule'!$W$2:$W$6275,'Cable Schedule'!$B$2:$B$6275,"F",'Cable Schedule'!$I$2:$I$6275,"Fibre / data")</f>
        <v/>
      </c>
      <c r="L8" s="17">
        <f>SUMIFS('Cable Schedule'!$W$2:$W$6275,'Cable Schedule'!$B$2:$B$6275,"F",'Cable Schedule'!$I$2:$I$6275,"DC 2 kV")</f>
        <v/>
      </c>
      <c r="M8" s="17">
        <f>SUMIFS('Cable Schedule'!$W$2:$W$6275,'Cable Schedule'!$B$2:$B$6275,"F",'Cable Schedule'!$I$2:$I$6275,"Portable MV")</f>
        <v/>
      </c>
      <c r="N8" s="17">
        <f>SUMIFS('Cable Schedule'!$W$2:$W$6275,'Cable Schedule'!$B$2:$B$6275,"F",'Cable Schedule'!$I$2:$I$6275,"Portable LV")</f>
        <v/>
      </c>
      <c r="O8" s="17">
        <f>SUMIFS('Cable Schedule'!$W$2:$W$6275,'Cable Schedule'!$B$2:$B$6275,"F",'Cable Schedule'!$I$2:$I$6275,"Building wire")</f>
        <v/>
      </c>
      <c r="P8" s="17">
        <f>SUMIFS('Cable Schedule'!$W$2:$W$6275,'Cable Schedule'!$B$2:$B$6275,"F",'Cable Schedule'!$I$2:$I$6275,"Grounding")</f>
        <v/>
      </c>
      <c r="Q8" s="17">
        <f>SUMIFS('Cable Schedule'!$W$2:$W$6275,'Cable Schedule'!$B$2:$B$6275,"F",'Cable Schedule'!$I$2:$I$6275,"Overhead")</f>
        <v/>
      </c>
      <c r="R8" s="27">
        <f>SUM(B8:Q8)</f>
        <v/>
      </c>
    </row>
    <row r="9">
      <c r="A9" s="12" t="inlineStr">
        <is>
          <t>G  Carbon capture</t>
        </is>
      </c>
      <c r="B9" s="17">
        <f>SUMIFS('Cable Schedule'!$W$2:$W$6275,'Cable Schedule'!$B$2:$B$6275,"G",'Cable Schedule'!$I$2:$I$6275,"MV 15 kV")</f>
        <v/>
      </c>
      <c r="C9" s="17">
        <f>SUMIFS('Cable Schedule'!$W$2:$W$6275,'Cable Schedule'!$B$2:$B$6275,"G",'Cable Schedule'!$I$2:$I$6275,"MV 5 kV")</f>
        <v/>
      </c>
      <c r="D9" s="17">
        <f>SUMIFS('Cable Schedule'!$W$2:$W$6275,'Cable Schedule'!$B$2:$B$6275,"G",'Cable Schedule'!$I$2:$I$6275,"MV 25 kV")</f>
        <v/>
      </c>
      <c r="E9" s="17">
        <f>SUMIFS('Cable Schedule'!$W$2:$W$6275,'Cable Schedule'!$B$2:$B$6275,"G",'Cable Schedule'!$I$2:$I$6275,"MV 35 kV")</f>
        <v/>
      </c>
      <c r="F9" s="17">
        <f>SUMIFS('Cable Schedule'!$W$2:$W$6275,'Cable Schedule'!$B$2:$B$6275,"G",'Cable Schedule'!$I$2:$I$6275,"HV 230 kV")</f>
        <v/>
      </c>
      <c r="G9" s="17">
        <f>SUMIFS('Cable Schedule'!$W$2:$W$6275,'Cable Schedule'!$B$2:$B$6275,"G",'Cable Schedule'!$I$2:$I$6275,"LV 600 V")</f>
        <v/>
      </c>
      <c r="H9" s="17">
        <f>SUMIFS('Cable Schedule'!$W$2:$W$6275,'Cable Schedule'!$B$2:$B$6275,"G",'Cable Schedule'!$I$2:$I$6275,"Control")</f>
        <v/>
      </c>
      <c r="I9" s="17">
        <f>SUMIFS('Cable Schedule'!$W$2:$W$6275,'Cable Schedule'!$B$2:$B$6275,"G",'Cable Schedule'!$I$2:$I$6275,"Instrumentation")</f>
        <v/>
      </c>
      <c r="J9" s="17">
        <f>SUMIFS('Cable Schedule'!$W$2:$W$6275,'Cable Schedule'!$B$2:$B$6275,"G",'Cable Schedule'!$I$2:$I$6275,"Fire alarm")</f>
        <v/>
      </c>
      <c r="K9" s="17">
        <f>SUMIFS('Cable Schedule'!$W$2:$W$6275,'Cable Schedule'!$B$2:$B$6275,"G",'Cable Schedule'!$I$2:$I$6275,"Fibre / data")</f>
        <v/>
      </c>
      <c r="L9" s="17">
        <f>SUMIFS('Cable Schedule'!$W$2:$W$6275,'Cable Schedule'!$B$2:$B$6275,"G",'Cable Schedule'!$I$2:$I$6275,"DC 2 kV")</f>
        <v/>
      </c>
      <c r="M9" s="17">
        <f>SUMIFS('Cable Schedule'!$W$2:$W$6275,'Cable Schedule'!$B$2:$B$6275,"G",'Cable Schedule'!$I$2:$I$6275,"Portable MV")</f>
        <v/>
      </c>
      <c r="N9" s="17">
        <f>SUMIFS('Cable Schedule'!$W$2:$W$6275,'Cable Schedule'!$B$2:$B$6275,"G",'Cable Schedule'!$I$2:$I$6275,"Portable LV")</f>
        <v/>
      </c>
      <c r="O9" s="17">
        <f>SUMIFS('Cable Schedule'!$W$2:$W$6275,'Cable Schedule'!$B$2:$B$6275,"G",'Cable Schedule'!$I$2:$I$6275,"Building wire")</f>
        <v/>
      </c>
      <c r="P9" s="17">
        <f>SUMIFS('Cable Schedule'!$W$2:$W$6275,'Cable Schedule'!$B$2:$B$6275,"G",'Cable Schedule'!$I$2:$I$6275,"Grounding")</f>
        <v/>
      </c>
      <c r="Q9" s="17">
        <f>SUMIFS('Cable Schedule'!$W$2:$W$6275,'Cable Schedule'!$B$2:$B$6275,"G",'Cable Schedule'!$I$2:$I$6275,"Overhead")</f>
        <v/>
      </c>
      <c r="R9" s="27">
        <f>SUM(B9:Q9)</f>
        <v/>
      </c>
    </row>
    <row r="10">
      <c r="A10" s="12" t="inlineStr">
        <is>
          <t>H  BESS</t>
        </is>
      </c>
      <c r="B10" s="17">
        <f>SUMIFS('Cable Schedule'!$W$2:$W$6275,'Cable Schedule'!$B$2:$B$6275,"H",'Cable Schedule'!$I$2:$I$6275,"MV 15 kV")</f>
        <v/>
      </c>
      <c r="C10" s="17">
        <f>SUMIFS('Cable Schedule'!$W$2:$W$6275,'Cable Schedule'!$B$2:$B$6275,"H",'Cable Schedule'!$I$2:$I$6275,"MV 5 kV")</f>
        <v/>
      </c>
      <c r="D10" s="17">
        <f>SUMIFS('Cable Schedule'!$W$2:$W$6275,'Cable Schedule'!$B$2:$B$6275,"H",'Cable Schedule'!$I$2:$I$6275,"MV 25 kV")</f>
        <v/>
      </c>
      <c r="E10" s="17">
        <f>SUMIFS('Cable Schedule'!$W$2:$W$6275,'Cable Schedule'!$B$2:$B$6275,"H",'Cable Schedule'!$I$2:$I$6275,"MV 35 kV")</f>
        <v/>
      </c>
      <c r="F10" s="17">
        <f>SUMIFS('Cable Schedule'!$W$2:$W$6275,'Cable Schedule'!$B$2:$B$6275,"H",'Cable Schedule'!$I$2:$I$6275,"HV 230 kV")</f>
        <v/>
      </c>
      <c r="G10" s="17">
        <f>SUMIFS('Cable Schedule'!$W$2:$W$6275,'Cable Schedule'!$B$2:$B$6275,"H",'Cable Schedule'!$I$2:$I$6275,"LV 600 V")</f>
        <v/>
      </c>
      <c r="H10" s="17">
        <f>SUMIFS('Cable Schedule'!$W$2:$W$6275,'Cable Schedule'!$B$2:$B$6275,"H",'Cable Schedule'!$I$2:$I$6275,"Control")</f>
        <v/>
      </c>
      <c r="I10" s="17">
        <f>SUMIFS('Cable Schedule'!$W$2:$W$6275,'Cable Schedule'!$B$2:$B$6275,"H",'Cable Schedule'!$I$2:$I$6275,"Instrumentation")</f>
        <v/>
      </c>
      <c r="J10" s="17">
        <f>SUMIFS('Cable Schedule'!$W$2:$W$6275,'Cable Schedule'!$B$2:$B$6275,"H",'Cable Schedule'!$I$2:$I$6275,"Fire alarm")</f>
        <v/>
      </c>
      <c r="K10" s="17">
        <f>SUMIFS('Cable Schedule'!$W$2:$W$6275,'Cable Schedule'!$B$2:$B$6275,"H",'Cable Schedule'!$I$2:$I$6275,"Fibre / data")</f>
        <v/>
      </c>
      <c r="L10" s="17">
        <f>SUMIFS('Cable Schedule'!$W$2:$W$6275,'Cable Schedule'!$B$2:$B$6275,"H",'Cable Schedule'!$I$2:$I$6275,"DC 2 kV")</f>
        <v/>
      </c>
      <c r="M10" s="17">
        <f>SUMIFS('Cable Schedule'!$W$2:$W$6275,'Cable Schedule'!$B$2:$B$6275,"H",'Cable Schedule'!$I$2:$I$6275,"Portable MV")</f>
        <v/>
      </c>
      <c r="N10" s="17">
        <f>SUMIFS('Cable Schedule'!$W$2:$W$6275,'Cable Schedule'!$B$2:$B$6275,"H",'Cable Schedule'!$I$2:$I$6275,"Portable LV")</f>
        <v/>
      </c>
      <c r="O10" s="17">
        <f>SUMIFS('Cable Schedule'!$W$2:$W$6275,'Cable Schedule'!$B$2:$B$6275,"H",'Cable Schedule'!$I$2:$I$6275,"Building wire")</f>
        <v/>
      </c>
      <c r="P10" s="17">
        <f>SUMIFS('Cable Schedule'!$W$2:$W$6275,'Cable Schedule'!$B$2:$B$6275,"H",'Cable Schedule'!$I$2:$I$6275,"Grounding")</f>
        <v/>
      </c>
      <c r="Q10" s="17">
        <f>SUMIFS('Cable Schedule'!$W$2:$W$6275,'Cable Schedule'!$B$2:$B$6275,"H",'Cable Schedule'!$I$2:$I$6275,"Overhead")</f>
        <v/>
      </c>
      <c r="R10" s="27">
        <f>SUM(B10:Q10)</f>
        <v/>
      </c>
    </row>
    <row r="11">
      <c r="A11" s="12" t="inlineStr">
        <is>
          <t>I  Modular / portable power</t>
        </is>
      </c>
      <c r="B11" s="17">
        <f>SUMIFS('Cable Schedule'!$W$2:$W$6275,'Cable Schedule'!$B$2:$B$6275,"I",'Cable Schedule'!$I$2:$I$6275,"MV 15 kV")</f>
        <v/>
      </c>
      <c r="C11" s="17">
        <f>SUMIFS('Cable Schedule'!$W$2:$W$6275,'Cable Schedule'!$B$2:$B$6275,"I",'Cable Schedule'!$I$2:$I$6275,"MV 5 kV")</f>
        <v/>
      </c>
      <c r="D11" s="17">
        <f>SUMIFS('Cable Schedule'!$W$2:$W$6275,'Cable Schedule'!$B$2:$B$6275,"I",'Cable Schedule'!$I$2:$I$6275,"MV 25 kV")</f>
        <v/>
      </c>
      <c r="E11" s="17">
        <f>SUMIFS('Cable Schedule'!$W$2:$W$6275,'Cable Schedule'!$B$2:$B$6275,"I",'Cable Schedule'!$I$2:$I$6275,"MV 35 kV")</f>
        <v/>
      </c>
      <c r="F11" s="17">
        <f>SUMIFS('Cable Schedule'!$W$2:$W$6275,'Cable Schedule'!$B$2:$B$6275,"I",'Cable Schedule'!$I$2:$I$6275,"HV 230 kV")</f>
        <v/>
      </c>
      <c r="G11" s="17">
        <f>SUMIFS('Cable Schedule'!$W$2:$W$6275,'Cable Schedule'!$B$2:$B$6275,"I",'Cable Schedule'!$I$2:$I$6275,"LV 600 V")</f>
        <v/>
      </c>
      <c r="H11" s="17">
        <f>SUMIFS('Cable Schedule'!$W$2:$W$6275,'Cable Schedule'!$B$2:$B$6275,"I",'Cable Schedule'!$I$2:$I$6275,"Control")</f>
        <v/>
      </c>
      <c r="I11" s="17">
        <f>SUMIFS('Cable Schedule'!$W$2:$W$6275,'Cable Schedule'!$B$2:$B$6275,"I",'Cable Schedule'!$I$2:$I$6275,"Instrumentation")</f>
        <v/>
      </c>
      <c r="J11" s="17">
        <f>SUMIFS('Cable Schedule'!$W$2:$W$6275,'Cable Schedule'!$B$2:$B$6275,"I",'Cable Schedule'!$I$2:$I$6275,"Fire alarm")</f>
        <v/>
      </c>
      <c r="K11" s="17">
        <f>SUMIFS('Cable Schedule'!$W$2:$W$6275,'Cable Schedule'!$B$2:$B$6275,"I",'Cable Schedule'!$I$2:$I$6275,"Fibre / data")</f>
        <v/>
      </c>
      <c r="L11" s="17">
        <f>SUMIFS('Cable Schedule'!$W$2:$W$6275,'Cable Schedule'!$B$2:$B$6275,"I",'Cable Schedule'!$I$2:$I$6275,"DC 2 kV")</f>
        <v/>
      </c>
      <c r="M11" s="17">
        <f>SUMIFS('Cable Schedule'!$W$2:$W$6275,'Cable Schedule'!$B$2:$B$6275,"I",'Cable Schedule'!$I$2:$I$6275,"Portable MV")</f>
        <v/>
      </c>
      <c r="N11" s="17">
        <f>SUMIFS('Cable Schedule'!$W$2:$W$6275,'Cable Schedule'!$B$2:$B$6275,"I",'Cable Schedule'!$I$2:$I$6275,"Portable LV")</f>
        <v/>
      </c>
      <c r="O11" s="17">
        <f>SUMIFS('Cable Schedule'!$W$2:$W$6275,'Cable Schedule'!$B$2:$B$6275,"I",'Cable Schedule'!$I$2:$I$6275,"Building wire")</f>
        <v/>
      </c>
      <c r="P11" s="17">
        <f>SUMIFS('Cable Schedule'!$W$2:$W$6275,'Cable Schedule'!$B$2:$B$6275,"I",'Cable Schedule'!$I$2:$I$6275,"Grounding")</f>
        <v/>
      </c>
      <c r="Q11" s="17">
        <f>SUMIFS('Cable Schedule'!$W$2:$W$6275,'Cable Schedule'!$B$2:$B$6275,"I",'Cable Schedule'!$I$2:$I$6275,"Overhead")</f>
        <v/>
      </c>
      <c r="R11" s="27">
        <f>SUM(B11:Q11)</f>
        <v/>
      </c>
    </row>
    <row r="12">
      <c r="A12" s="12" t="inlineStr">
        <is>
          <t>J  GT inlet chilling</t>
        </is>
      </c>
      <c r="B12" s="17">
        <f>SUMIFS('Cable Schedule'!$W$2:$W$6275,'Cable Schedule'!$B$2:$B$6275,"J",'Cable Schedule'!$I$2:$I$6275,"MV 15 kV")</f>
        <v/>
      </c>
      <c r="C12" s="17">
        <f>SUMIFS('Cable Schedule'!$W$2:$W$6275,'Cable Schedule'!$B$2:$B$6275,"J",'Cable Schedule'!$I$2:$I$6275,"MV 5 kV")</f>
        <v/>
      </c>
      <c r="D12" s="17">
        <f>SUMIFS('Cable Schedule'!$W$2:$W$6275,'Cable Schedule'!$B$2:$B$6275,"J",'Cable Schedule'!$I$2:$I$6275,"MV 25 kV")</f>
        <v/>
      </c>
      <c r="E12" s="17">
        <f>SUMIFS('Cable Schedule'!$W$2:$W$6275,'Cable Schedule'!$B$2:$B$6275,"J",'Cable Schedule'!$I$2:$I$6275,"MV 35 kV")</f>
        <v/>
      </c>
      <c r="F12" s="17">
        <f>SUMIFS('Cable Schedule'!$W$2:$W$6275,'Cable Schedule'!$B$2:$B$6275,"J",'Cable Schedule'!$I$2:$I$6275,"HV 230 kV")</f>
        <v/>
      </c>
      <c r="G12" s="17">
        <f>SUMIFS('Cable Schedule'!$W$2:$W$6275,'Cable Schedule'!$B$2:$B$6275,"J",'Cable Schedule'!$I$2:$I$6275,"LV 600 V")</f>
        <v/>
      </c>
      <c r="H12" s="17">
        <f>SUMIFS('Cable Schedule'!$W$2:$W$6275,'Cable Schedule'!$B$2:$B$6275,"J",'Cable Schedule'!$I$2:$I$6275,"Control")</f>
        <v/>
      </c>
      <c r="I12" s="17">
        <f>SUMIFS('Cable Schedule'!$W$2:$W$6275,'Cable Schedule'!$B$2:$B$6275,"J",'Cable Schedule'!$I$2:$I$6275,"Instrumentation")</f>
        <v/>
      </c>
      <c r="J12" s="17">
        <f>SUMIFS('Cable Schedule'!$W$2:$W$6275,'Cable Schedule'!$B$2:$B$6275,"J",'Cable Schedule'!$I$2:$I$6275,"Fire alarm")</f>
        <v/>
      </c>
      <c r="K12" s="17">
        <f>SUMIFS('Cable Schedule'!$W$2:$W$6275,'Cable Schedule'!$B$2:$B$6275,"J",'Cable Schedule'!$I$2:$I$6275,"Fibre / data")</f>
        <v/>
      </c>
      <c r="L12" s="17">
        <f>SUMIFS('Cable Schedule'!$W$2:$W$6275,'Cable Schedule'!$B$2:$B$6275,"J",'Cable Schedule'!$I$2:$I$6275,"DC 2 kV")</f>
        <v/>
      </c>
      <c r="M12" s="17">
        <f>SUMIFS('Cable Schedule'!$W$2:$W$6275,'Cable Schedule'!$B$2:$B$6275,"J",'Cable Schedule'!$I$2:$I$6275,"Portable MV")</f>
        <v/>
      </c>
      <c r="N12" s="17">
        <f>SUMIFS('Cable Schedule'!$W$2:$W$6275,'Cable Schedule'!$B$2:$B$6275,"J",'Cable Schedule'!$I$2:$I$6275,"Portable LV")</f>
        <v/>
      </c>
      <c r="O12" s="17">
        <f>SUMIFS('Cable Schedule'!$W$2:$W$6275,'Cable Schedule'!$B$2:$B$6275,"J",'Cable Schedule'!$I$2:$I$6275,"Building wire")</f>
        <v/>
      </c>
      <c r="P12" s="17">
        <f>SUMIFS('Cable Schedule'!$W$2:$W$6275,'Cable Schedule'!$B$2:$B$6275,"J",'Cable Schedule'!$I$2:$I$6275,"Grounding")</f>
        <v/>
      </c>
      <c r="Q12" s="17">
        <f>SUMIFS('Cable Schedule'!$W$2:$W$6275,'Cable Schedule'!$B$2:$B$6275,"J",'Cable Schedule'!$I$2:$I$6275,"Overhead")</f>
        <v/>
      </c>
      <c r="R12" s="27">
        <f>SUM(B12:Q12)</f>
        <v/>
      </c>
    </row>
    <row r="13">
      <c r="A13" s="12" t="inlineStr">
        <is>
          <t>K  Fuel supply (adjacent market)</t>
        </is>
      </c>
      <c r="B13" s="17">
        <f>SUMIFS('Cable Schedule'!$W$2:$W$6275,'Cable Schedule'!$B$2:$B$6275,"K",'Cable Schedule'!$I$2:$I$6275,"MV 15 kV")</f>
        <v/>
      </c>
      <c r="C13" s="17">
        <f>SUMIFS('Cable Schedule'!$W$2:$W$6275,'Cable Schedule'!$B$2:$B$6275,"K",'Cable Schedule'!$I$2:$I$6275,"MV 5 kV")</f>
        <v/>
      </c>
      <c r="D13" s="17">
        <f>SUMIFS('Cable Schedule'!$W$2:$W$6275,'Cable Schedule'!$B$2:$B$6275,"K",'Cable Schedule'!$I$2:$I$6275,"MV 25 kV")</f>
        <v/>
      </c>
      <c r="E13" s="17">
        <f>SUMIFS('Cable Schedule'!$W$2:$W$6275,'Cable Schedule'!$B$2:$B$6275,"K",'Cable Schedule'!$I$2:$I$6275,"MV 35 kV")</f>
        <v/>
      </c>
      <c r="F13" s="17">
        <f>SUMIFS('Cable Schedule'!$W$2:$W$6275,'Cable Schedule'!$B$2:$B$6275,"K",'Cable Schedule'!$I$2:$I$6275,"HV 230 kV")</f>
        <v/>
      </c>
      <c r="G13" s="17">
        <f>SUMIFS('Cable Schedule'!$W$2:$W$6275,'Cable Schedule'!$B$2:$B$6275,"K",'Cable Schedule'!$I$2:$I$6275,"LV 600 V")</f>
        <v/>
      </c>
      <c r="H13" s="17">
        <f>SUMIFS('Cable Schedule'!$W$2:$W$6275,'Cable Schedule'!$B$2:$B$6275,"K",'Cable Schedule'!$I$2:$I$6275,"Control")</f>
        <v/>
      </c>
      <c r="I13" s="17">
        <f>SUMIFS('Cable Schedule'!$W$2:$W$6275,'Cable Schedule'!$B$2:$B$6275,"K",'Cable Schedule'!$I$2:$I$6275,"Instrumentation")</f>
        <v/>
      </c>
      <c r="J13" s="17">
        <f>SUMIFS('Cable Schedule'!$W$2:$W$6275,'Cable Schedule'!$B$2:$B$6275,"K",'Cable Schedule'!$I$2:$I$6275,"Fire alarm")</f>
        <v/>
      </c>
      <c r="K13" s="17">
        <f>SUMIFS('Cable Schedule'!$W$2:$W$6275,'Cable Schedule'!$B$2:$B$6275,"K",'Cable Schedule'!$I$2:$I$6275,"Fibre / data")</f>
        <v/>
      </c>
      <c r="L13" s="17">
        <f>SUMIFS('Cable Schedule'!$W$2:$W$6275,'Cable Schedule'!$B$2:$B$6275,"K",'Cable Schedule'!$I$2:$I$6275,"DC 2 kV")</f>
        <v/>
      </c>
      <c r="M13" s="17">
        <f>SUMIFS('Cable Schedule'!$W$2:$W$6275,'Cable Schedule'!$B$2:$B$6275,"K",'Cable Schedule'!$I$2:$I$6275,"Portable MV")</f>
        <v/>
      </c>
      <c r="N13" s="17">
        <f>SUMIFS('Cable Schedule'!$W$2:$W$6275,'Cable Schedule'!$B$2:$B$6275,"K",'Cable Schedule'!$I$2:$I$6275,"Portable LV")</f>
        <v/>
      </c>
      <c r="O13" s="17">
        <f>SUMIFS('Cable Schedule'!$W$2:$W$6275,'Cable Schedule'!$B$2:$B$6275,"K",'Cable Schedule'!$I$2:$I$6275,"Building wire")</f>
        <v/>
      </c>
      <c r="P13" s="17">
        <f>SUMIFS('Cable Schedule'!$W$2:$W$6275,'Cable Schedule'!$B$2:$B$6275,"K",'Cable Schedule'!$I$2:$I$6275,"Grounding")</f>
        <v/>
      </c>
      <c r="Q13" s="17">
        <f>SUMIFS('Cable Schedule'!$W$2:$W$6275,'Cable Schedule'!$B$2:$B$6275,"K",'Cable Schedule'!$I$2:$I$6275,"Overhead")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Schedule'!B2:B6275,"?")</f>
        <v/>
      </c>
    </row>
    <row r="18">
      <c r="A18" s="21" t="inlineStr">
        <is>
          <t>Cables (count)</t>
        </is>
      </c>
      <c r="B18" s="17">
        <f>SUM('Cable Schedule'!AA2:AA6275)</f>
        <v/>
      </c>
    </row>
    <row r="20">
      <c r="A20" s="21" t="inlineStr">
        <is>
          <t>Device count behind the schedule (typical for each equipment class)</t>
        </is>
      </c>
    </row>
    <row r="21">
      <c r="A21" s="12" t="inlineStr">
        <is>
          <t>Analog instruments</t>
        </is>
      </c>
      <c r="B21" s="29" t="n">
        <v>6046</v>
      </c>
    </row>
    <row r="22">
      <c r="A22" s="12" t="inlineStr">
        <is>
          <t>Discrete devices</t>
        </is>
      </c>
      <c r="B22" s="29" t="n">
        <v>6398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3000</v>
      </c>
      <c r="G1416" s="12" t="n">
        <v>3600</v>
      </c>
      <c r="H1416" s="12" t="inlineStr">
        <is>
          <t>PAD-LV 480 V paralleling switchboard</t>
        </is>
      </c>
      <c r="I1416" s="12" t="inlineStr">
        <is>
          <t>LV 600 V</t>
        </is>
      </c>
      <c r="J1416" s="12" t="inlineStr">
        <is>
          <t>500 kcmil</t>
        </is>
      </c>
      <c r="K1416" s="12" t="n">
        <v>12</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51000</v>
      </c>
      <c r="G1701" s="12" t="n">
        <v>2371</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51000</v>
      </c>
      <c r="G1743" s="12" t="n">
        <v>948</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91600</v>
      </c>
      <c r="G1748" s="12" t="n">
        <v>1703</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PAD-LV 480 V paralleling switchboard</t>
        </is>
      </c>
      <c r="B1750" s="12" t="inlineStr">
        <is>
          <t>PAD-LV</t>
        </is>
      </c>
      <c r="C1750" s="12" t="inlineStr">
        <is>
          <t>I</t>
        </is>
      </c>
      <c r="D1750" s="12" t="inlineStr">
        <is>
          <t>GEN-O 480 V to PAD-LV (Type W sets, cam-lock)</t>
        </is>
      </c>
      <c r="E1750" s="12" t="n">
        <v>480</v>
      </c>
      <c r="F1750" s="12" t="n">
        <v>1000</v>
      </c>
      <c r="G1750" s="12" t="n">
        <v>1203</v>
      </c>
      <c r="H1750" s="12" t="inlineStr">
        <is>
          <t>GEN-O: open engine-generator skid</t>
        </is>
      </c>
      <c r="I1750" s="12" t="inlineStr">
        <is>
          <t>Portable LV</t>
        </is>
      </c>
      <c r="J1750" s="12" t="inlineStr">
        <is>
          <t>4/0</t>
        </is>
      </c>
      <c r="K1750" s="12" t="n">
        <v>4</v>
      </c>
    </row>
    <row r="1751">
      <c r="A1751" s="12" t="inlineStr">
        <is>
          <t>LB: commissioning load bank (trailer)</t>
        </is>
      </c>
      <c r="B1751" s="12" t="inlineStr">
        <is>
          <t>LB</t>
        </is>
      </c>
      <c r="C1751" s="12" t="inlineStr">
        <is>
          <t>I</t>
        </is>
      </c>
      <c r="D1751" s="12" t="inlineStr">
        <is>
          <t>PIC to commissioning load bank</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2026-10-28T01:23:14Z</dcterms:created>
  <dcterms:modified xmlns:dcterms="http://purl.org/dc/terms/" xmlns:xsi="http://www.w3.org/2001/XMLSchema-instance" xsi:type="dcterms:W3CDTF">2026-10-28T01:23:17Z</dcterms:modified>
</cp:coreProperties>
</file>